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021915EE-E145-4171-8A93-862052665BCB}" xr6:coauthVersionLast="47" xr6:coauthVersionMax="47" xr10:uidLastSave="{00000000-0000-0000-0000-000000000000}"/>
  <bookViews>
    <workbookView xWindow="1065" yWindow="-21135" windowWidth="30855" windowHeight="18495" firstSheet="12" activeTab="16"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1" i="78" l="1"/>
  <c r="F12" i="78"/>
  <c r="F13" i="78"/>
  <c r="F14" i="78"/>
  <c r="F15" i="78"/>
  <c r="F16" i="78"/>
  <c r="F17" i="78"/>
  <c r="F18" i="78"/>
  <c r="F19" i="78"/>
  <c r="F20" i="78"/>
  <c r="F21" i="78"/>
  <c r="F22" i="78"/>
  <c r="F23" i="78"/>
  <c r="F24" i="78"/>
  <c r="F25" i="78"/>
  <c r="F26" i="78"/>
  <c r="F10" i="78"/>
  <c r="F9" i="78"/>
  <c r="AO7" i="78"/>
  <c r="AP7" i="78"/>
  <c r="AQ7" i="78"/>
  <c r="AR7" i="78"/>
  <c r="AS7" i="78"/>
  <c r="AT7" i="78"/>
  <c r="AN7" i="78"/>
  <c r="G26" i="79"/>
  <c r="G27" i="79"/>
  <c r="K25" i="79"/>
  <c r="L25" i="79"/>
  <c r="M25" i="79"/>
  <c r="N25" i="79"/>
  <c r="G25" i="79"/>
  <c r="G23" i="79"/>
  <c r="G15" i="79"/>
  <c r="G14" i="79"/>
  <c r="G10" i="79"/>
  <c r="G11" i="79"/>
  <c r="G12" i="79"/>
  <c r="AN7" i="79"/>
  <c r="AO7" i="79"/>
  <c r="AP7" i="79"/>
  <c r="AQ7" i="79"/>
  <c r="AR7" i="79"/>
  <c r="AS7" i="79"/>
  <c r="AM7" i="79"/>
  <c r="C26" i="83" l="1"/>
  <c r="J7" i="112" l="1"/>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U7" i="79"/>
  <c r="AT7" i="79"/>
  <c r="AL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BW7" i="78"/>
  <c r="AV7" i="78"/>
  <c r="AM7" i="78"/>
  <c r="AL7" i="78"/>
  <c r="S7" i="78"/>
  <c r="T7" i="78"/>
  <c r="U7" i="78"/>
  <c r="V7" i="78"/>
  <c r="W7" i="78"/>
  <c r="X7" i="78"/>
  <c r="Y7" i="78"/>
  <c r="Z7" i="78"/>
  <c r="AA7" i="78"/>
  <c r="AB7" i="78"/>
  <c r="AC7" i="78"/>
  <c r="AD7" i="78"/>
  <c r="AE7" i="78"/>
  <c r="AF7" i="78"/>
  <c r="AG7" i="78"/>
  <c r="AH7" i="78"/>
  <c r="AI7" i="78"/>
  <c r="AJ7" i="78"/>
  <c r="AK7" i="78"/>
  <c r="R7" i="78"/>
  <c r="I7" i="78"/>
  <c r="J7" i="78"/>
  <c r="K7" i="78"/>
  <c r="L7" i="78"/>
  <c r="M7" i="78"/>
  <c r="N7" i="78"/>
  <c r="O7" i="78"/>
  <c r="P7" i="78"/>
  <c r="Q7" i="78"/>
  <c r="G7" i="78"/>
  <c r="D10" i="76" l="1"/>
  <c r="E10" i="76"/>
  <c r="D11" i="76"/>
  <c r="E11" i="76"/>
  <c r="D12" i="76"/>
  <c r="E12" i="76"/>
  <c r="D13" i="76"/>
  <c r="E13" i="76"/>
  <c r="D14" i="76"/>
  <c r="E14" i="76"/>
  <c r="D15" i="76"/>
  <c r="E15" i="76"/>
  <c r="D16" i="76"/>
  <c r="E16" i="76"/>
  <c r="D17" i="76"/>
  <c r="E17" i="76"/>
  <c r="D18" i="76"/>
  <c r="E18" i="76"/>
  <c r="D19" i="76"/>
  <c r="E19" i="76"/>
  <c r="D20" i="76"/>
  <c r="E20" i="76"/>
  <c r="D21" i="76"/>
  <c r="E21" i="76"/>
  <c r="D22" i="76"/>
  <c r="E22" i="76"/>
  <c r="D23" i="76"/>
  <c r="E23" i="76"/>
  <c r="D24" i="76"/>
  <c r="E24" i="76"/>
  <c r="F24" i="76"/>
  <c r="G24" i="76" s="1"/>
  <c r="D25" i="76"/>
  <c r="E25" i="76"/>
  <c r="F25" i="76"/>
  <c r="G25" i="76" s="1"/>
  <c r="D26" i="76"/>
  <c r="E26" i="76"/>
  <c r="F26" i="76"/>
  <c r="G26" i="76" s="1"/>
  <c r="D27" i="76"/>
  <c r="E27" i="76"/>
  <c r="F27" i="76"/>
  <c r="G27" i="76"/>
  <c r="D28" i="76"/>
  <c r="E28" i="76"/>
  <c r="D29" i="76"/>
  <c r="E29" i="76"/>
  <c r="F29" i="76"/>
  <c r="G29" i="76" s="1"/>
  <c r="D30" i="76"/>
  <c r="E30" i="76"/>
  <c r="F30" i="76"/>
  <c r="G30" i="76" s="1"/>
  <c r="D31" i="76"/>
  <c r="E31" i="76"/>
  <c r="F31" i="76"/>
  <c r="G31" i="76" s="1"/>
  <c r="D32" i="76"/>
  <c r="E32" i="76"/>
  <c r="F32" i="76"/>
  <c r="G32" i="76" s="1"/>
  <c r="D33" i="76"/>
  <c r="E33" i="76"/>
  <c r="D34" i="76"/>
  <c r="E34" i="76"/>
  <c r="D35" i="76"/>
  <c r="E35" i="76"/>
  <c r="D36" i="76"/>
  <c r="E36" i="76"/>
  <c r="D37" i="76"/>
  <c r="E37" i="76"/>
  <c r="D38" i="76"/>
  <c r="E38" i="76"/>
  <c r="F38" i="76"/>
  <c r="G38" i="76"/>
  <c r="D39" i="76"/>
  <c r="E39" i="76"/>
  <c r="D40" i="76"/>
  <c r="E40" i="76"/>
  <c r="F40" i="76"/>
  <c r="G40" i="76" s="1"/>
  <c r="D41" i="76"/>
  <c r="E41" i="76"/>
  <c r="F41" i="76"/>
  <c r="G41" i="76" s="1"/>
  <c r="D42" i="76"/>
  <c r="E42" i="76"/>
  <c r="F42" i="76"/>
  <c r="G42" i="76" s="1"/>
  <c r="D43" i="76"/>
  <c r="E43" i="76"/>
  <c r="F43" i="76"/>
  <c r="G43" i="76" s="1"/>
  <c r="D44" i="76"/>
  <c r="E44" i="76"/>
  <c r="F44" i="76"/>
  <c r="G44" i="76" s="1"/>
  <c r="D45" i="76"/>
  <c r="E45" i="76"/>
  <c r="F45" i="76"/>
  <c r="G45" i="76" s="1"/>
  <c r="D46" i="76"/>
  <c r="E46" i="76"/>
  <c r="F46" i="76"/>
  <c r="G46" i="76" s="1"/>
  <c r="D47" i="76"/>
  <c r="E47" i="76"/>
  <c r="F47" i="76"/>
  <c r="G47" i="76" s="1"/>
  <c r="D48" i="76"/>
  <c r="E48" i="76"/>
  <c r="F48" i="76"/>
  <c r="G48" i="76"/>
  <c r="D49" i="76"/>
  <c r="E49" i="76"/>
  <c r="D50" i="76"/>
  <c r="E50" i="76"/>
  <c r="D51" i="76"/>
  <c r="E51" i="76"/>
  <c r="F51" i="76"/>
  <c r="G51" i="76"/>
  <c r="D52" i="76"/>
  <c r="E52" i="76"/>
  <c r="F52" i="76"/>
  <c r="G52" i="76" s="1"/>
  <c r="D53" i="76"/>
  <c r="E53" i="76"/>
  <c r="F53" i="76"/>
  <c r="G53" i="76"/>
  <c r="D54" i="76"/>
  <c r="E54" i="76"/>
  <c r="D55" i="76"/>
  <c r="E55" i="76"/>
  <c r="F55" i="76"/>
  <c r="G55" i="76" s="1"/>
  <c r="D56" i="76"/>
  <c r="E56" i="76"/>
  <c r="F56" i="76"/>
  <c r="G56" i="76" s="1"/>
  <c r="D57" i="76"/>
  <c r="E57" i="76"/>
  <c r="F57" i="76"/>
  <c r="G57" i="76" s="1"/>
  <c r="D58" i="76"/>
  <c r="E58" i="76"/>
  <c r="F58" i="76"/>
  <c r="G58" i="76" s="1"/>
  <c r="D59" i="76"/>
  <c r="E59" i="76"/>
  <c r="F59" i="76"/>
  <c r="G59" i="76" s="1"/>
  <c r="D60" i="76"/>
  <c r="E60" i="76"/>
  <c r="F60" i="76"/>
  <c r="G60" i="76"/>
  <c r="D61" i="76"/>
  <c r="E61" i="76"/>
  <c r="F61" i="76"/>
  <c r="G61" i="76" s="1"/>
  <c r="D62" i="76"/>
  <c r="E62" i="76"/>
  <c r="D63" i="76"/>
  <c r="E63" i="76"/>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F84" i="76"/>
  <c r="G84" i="76"/>
  <c r="D85" i="76"/>
  <c r="E85" i="76"/>
  <c r="F85" i="76"/>
  <c r="G85" i="76" s="1"/>
  <c r="D86" i="76"/>
  <c r="E86" i="76"/>
  <c r="F86" i="76"/>
  <c r="G86" i="76" s="1"/>
  <c r="D87" i="76"/>
  <c r="E87" i="76"/>
  <c r="F87" i="76"/>
  <c r="G87" i="76"/>
  <c r="D88" i="76"/>
  <c r="E88" i="76"/>
  <c r="F88" i="76"/>
  <c r="G88" i="76" s="1"/>
  <c r="D89" i="76"/>
  <c r="E89" i="76"/>
  <c r="F89" i="76"/>
  <c r="G89" i="76" s="1"/>
  <c r="D90" i="76"/>
  <c r="E90" i="76"/>
  <c r="F90" i="76"/>
  <c r="G90" i="76"/>
  <c r="D91" i="76"/>
  <c r="E91" i="76"/>
  <c r="F91" i="76"/>
  <c r="G91" i="76" s="1"/>
  <c r="D92" i="76"/>
  <c r="E92" i="76"/>
  <c r="F92" i="76"/>
  <c r="G92" i="76" s="1"/>
  <c r="D93" i="76"/>
  <c r="E93" i="76"/>
  <c r="F93" i="76"/>
  <c r="G93" i="76"/>
  <c r="D94" i="76"/>
  <c r="E94" i="76"/>
  <c r="F94" i="76"/>
  <c r="G94" i="76" s="1"/>
  <c r="D95" i="76"/>
  <c r="E95" i="76"/>
  <c r="F95" i="76"/>
  <c r="G95" i="76" s="1"/>
  <c r="D96" i="76"/>
  <c r="E96" i="76"/>
  <c r="F96" i="76"/>
  <c r="G96" i="76"/>
  <c r="D97" i="76"/>
  <c r="E97" i="76"/>
  <c r="F97" i="76"/>
  <c r="G97" i="76" s="1"/>
  <c r="D98" i="76"/>
  <c r="E98" i="76"/>
  <c r="F98" i="76"/>
  <c r="G98" i="76" s="1"/>
  <c r="D99" i="76"/>
  <c r="E99" i="76"/>
  <c r="F99" i="76"/>
  <c r="G99" i="76"/>
  <c r="D100" i="76"/>
  <c r="E100" i="76"/>
  <c r="F100" i="76"/>
  <c r="G100" i="76" s="1"/>
  <c r="D101" i="76"/>
  <c r="E101" i="76"/>
  <c r="F101" i="76"/>
  <c r="G101" i="76" s="1"/>
  <c r="D102" i="76"/>
  <c r="E102" i="76"/>
  <c r="F102" i="76"/>
  <c r="G102" i="76"/>
  <c r="D103" i="76"/>
  <c r="E103" i="76"/>
  <c r="F103" i="76"/>
  <c r="G103" i="76" s="1"/>
  <c r="D104" i="76"/>
  <c r="E104" i="76"/>
  <c r="D105" i="76"/>
  <c r="E105" i="76"/>
  <c r="D106" i="76"/>
  <c r="E106" i="76"/>
  <c r="D107" i="76"/>
  <c r="E107" i="76"/>
  <c r="D108" i="76"/>
  <c r="E108" i="76"/>
  <c r="D109" i="76"/>
  <c r="E109" i="76"/>
  <c r="D110" i="76"/>
  <c r="E110" i="76"/>
  <c r="D111" i="76"/>
  <c r="E111" i="76"/>
  <c r="D112" i="76"/>
  <c r="E112" i="76"/>
  <c r="D113" i="76"/>
  <c r="E113" i="76"/>
  <c r="D114" i="76"/>
  <c r="E114" i="76"/>
  <c r="F114" i="76"/>
  <c r="G114" i="76" s="1"/>
  <c r="D115" i="76"/>
  <c r="E115" i="76"/>
  <c r="D116" i="76"/>
  <c r="E116" i="76"/>
  <c r="F116" i="76"/>
  <c r="G116" i="76" s="1"/>
  <c r="D117" i="76"/>
  <c r="E117" i="76"/>
  <c r="D118" i="76"/>
  <c r="E118" i="76"/>
  <c r="D119" i="76"/>
  <c r="E119" i="76"/>
  <c r="D120" i="76"/>
  <c r="E120" i="76"/>
  <c r="D121" i="76"/>
  <c r="E121" i="76"/>
  <c r="D122" i="76"/>
  <c r="E122" i="76"/>
  <c r="D123" i="76"/>
  <c r="E123" i="76"/>
  <c r="D124" i="76"/>
  <c r="E124"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9" i="79" l="1"/>
  <c r="BF18" i="79"/>
  <c r="BF14" i="79"/>
  <c r="BF13" i="79"/>
  <c r="BF10" i="79"/>
  <c r="AV10" i="79" s="1"/>
  <c r="BF9" i="79"/>
  <c r="AV9" i="79" s="1"/>
  <c r="T16" i="123" l="1"/>
  <c r="T15" i="123"/>
  <c r="T16" i="101"/>
  <c r="T15" i="101"/>
  <c r="C39" i="102"/>
  <c r="C22" i="102"/>
  <c r="C23" i="102"/>
  <c r="BH21" i="79"/>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M57"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D57" i="127" s="1"/>
  <c r="AY20" i="79"/>
  <c r="D56" i="127" s="1"/>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P155" i="92" l="1"/>
  <c r="BA21" i="79"/>
  <c r="F57" i="127" s="1"/>
  <c r="BA19" i="79"/>
  <c r="F55" i="127" s="1"/>
  <c r="AZ19" i="79"/>
  <c r="E55" i="127" s="1"/>
  <c r="K55" i="127"/>
  <c r="BB19" i="79"/>
  <c r="G55" i="127" s="1"/>
  <c r="L130" i="92"/>
  <c r="K130" i="92"/>
  <c r="I130" i="92"/>
  <c r="BS20" i="79"/>
  <c r="R55" i="127" l="1"/>
  <c r="BB21" i="79"/>
  <c r="G57" i="127" s="1"/>
  <c r="AZ20" i="79"/>
  <c r="E56" i="127" s="1"/>
  <c r="I12" i="122"/>
  <c r="E11" i="122"/>
  <c r="E10" i="122"/>
  <c r="E9" i="122"/>
  <c r="E14" i="122" s="1"/>
  <c r="E8" i="122"/>
  <c r="H6" i="122"/>
  <c r="H11" i="122" s="1"/>
  <c r="G6" i="122"/>
  <c r="F6" i="122"/>
  <c r="F8" i="122" s="1"/>
  <c r="F10" i="122" s="1"/>
  <c r="H5" i="122"/>
  <c r="H10" i="122" s="1"/>
  <c r="G5" i="122"/>
  <c r="G9" i="122" s="1"/>
  <c r="F5" i="122"/>
  <c r="F9" i="122" s="1"/>
  <c r="BC21" i="79" l="1"/>
  <c r="H57" i="127" s="1"/>
  <c r="K7" i="122"/>
  <c r="K9" i="122"/>
  <c r="G10" i="122"/>
  <c r="H7" i="122"/>
  <c r="H9" i="122" s="1"/>
  <c r="BB20" i="79" l="1"/>
  <c r="G56" i="127" s="1"/>
  <c r="O44" i="80"/>
  <c r="O25" i="80"/>
  <c r="F36" i="79" l="1"/>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BF21" i="79"/>
  <c r="K57" i="127" s="1"/>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BF20" i="79"/>
  <c r="K56" i="127" s="1"/>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U5" i="78"/>
  <c r="AU7" i="78" s="1"/>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Q9" i="78" s="1"/>
  <c r="Q71" i="87"/>
  <c r="V71" i="87" s="1"/>
  <c r="U72" i="87" l="1"/>
  <c r="AR9" i="78" s="1"/>
  <c r="Q72" i="87"/>
  <c r="Q73" i="87"/>
  <c r="X73" i="87"/>
  <c r="U73" i="87"/>
  <c r="AU9" i="78" s="1"/>
  <c r="AU10" i="78" s="1"/>
  <c r="AU11" i="78" s="1"/>
  <c r="AU12" i="78" s="1"/>
  <c r="AU13" i="78" s="1"/>
  <c r="AU14" i="78" s="1"/>
  <c r="AU15" i="78" s="1"/>
  <c r="AU16" i="78" s="1"/>
  <c r="AU17" i="78" s="1"/>
  <c r="AU18" i="78" s="1"/>
  <c r="AU19" i="78" s="1"/>
  <c r="AU20" i="78" s="1"/>
  <c r="AU21" i="78" s="1"/>
  <c r="AU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F36" i="76" s="1"/>
  <c r="G36" i="76" s="1"/>
  <c r="L18" i="93"/>
  <c r="B18" i="93"/>
  <c r="AW25" i="78"/>
  <c r="AX25" i="78" s="1"/>
  <c r="AY25" i="78" s="1"/>
  <c r="C37" i="102"/>
  <c r="O59" i="84"/>
  <c r="O58" i="84"/>
  <c r="N57" i="84"/>
  <c r="M58" i="84"/>
  <c r="M59" i="84"/>
  <c r="AC10" i="93"/>
  <c r="AC33" i="93"/>
  <c r="AC34" i="93"/>
  <c r="AC29" i="93"/>
  <c r="AC28" i="93"/>
  <c r="AC27" i="93"/>
  <c r="AC21" i="93"/>
  <c r="F47" i="106"/>
  <c r="E47" i="106"/>
  <c r="N26" i="79"/>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J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44" i="112"/>
  <c r="I44" i="112"/>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F49" i="76" s="1"/>
  <c r="G49" i="76" s="1"/>
  <c r="K39" i="76"/>
  <c r="K35" i="76"/>
  <c r="F35" i="76" s="1"/>
  <c r="G35" i="76" s="1"/>
  <c r="K34" i="76"/>
  <c r="F34" i="76" s="1"/>
  <c r="G34" i="76" s="1"/>
  <c r="K33" i="76"/>
  <c r="K10" i="76"/>
  <c r="F10" i="76" s="1"/>
  <c r="G10" i="76" s="1"/>
  <c r="K11" i="76"/>
  <c r="F11" i="76" s="1"/>
  <c r="G11" i="76" s="1"/>
  <c r="K12" i="76"/>
  <c r="F12" i="76" s="1"/>
  <c r="G12" i="76" s="1"/>
  <c r="K13" i="76"/>
  <c r="F13" i="76" s="1"/>
  <c r="G13" i="76" s="1"/>
  <c r="K14" i="76"/>
  <c r="F14" i="76" s="1"/>
  <c r="G14" i="76" s="1"/>
  <c r="K15" i="76"/>
  <c r="K16" i="76"/>
  <c r="F16" i="76" s="1"/>
  <c r="G16" i="76" s="1"/>
  <c r="K17" i="76"/>
  <c r="F17" i="76" s="1"/>
  <c r="G17" i="76" s="1"/>
  <c r="K18" i="76"/>
  <c r="K19" i="76"/>
  <c r="F19" i="76" s="1"/>
  <c r="G19" i="76" s="1"/>
  <c r="K20" i="76"/>
  <c r="F20" i="76" s="1"/>
  <c r="G20" i="76" s="1"/>
  <c r="K21" i="76"/>
  <c r="K22" i="76"/>
  <c r="F22" i="76" s="1"/>
  <c r="G22" i="76" s="1"/>
  <c r="K23" i="76"/>
  <c r="F23" i="76" s="1"/>
  <c r="G23" i="76" s="1"/>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W30" i="78"/>
  <c r="AX30" i="78" s="1"/>
  <c r="AY30" i="78" s="1"/>
  <c r="AZ30" i="78" s="1"/>
  <c r="AW27" i="78"/>
  <c r="AX27" i="78" s="1"/>
  <c r="AY27" i="78" s="1"/>
  <c r="AZ27" i="78" s="1"/>
  <c r="BG26" i="78"/>
  <c r="BH26" i="78" s="1"/>
  <c r="BI26" i="78" s="1"/>
  <c r="AW26" i="78"/>
  <c r="AX26" i="78" s="1"/>
  <c r="AY26" i="78" s="1"/>
  <c r="AW29" i="78"/>
  <c r="AX29" i="78" s="1"/>
  <c r="AY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W29" i="78"/>
  <c r="X29" i="78"/>
  <c r="Y29" i="78"/>
  <c r="Z29" i="78"/>
  <c r="AA29" i="78"/>
  <c r="AB29" i="78"/>
  <c r="AC29" i="78"/>
  <c r="AD29" i="78"/>
  <c r="AE29" i="78"/>
  <c r="AF29" i="78"/>
  <c r="V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W18" i="78" s="1"/>
  <c r="W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D18" i="78" s="1"/>
  <c r="AD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9" i="81"/>
  <c r="P29"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S24" i="78"/>
  <c r="K24" i="106" s="1"/>
  <c r="P106" i="89"/>
  <c r="S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V18" i="78" s="1"/>
  <c r="Q73" i="85"/>
  <c r="AX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5" i="81"/>
  <c r="J15" i="81" s="1"/>
  <c r="C15" i="81"/>
  <c r="D15" i="81"/>
  <c r="I15" i="81"/>
  <c r="B16" i="81"/>
  <c r="F16" i="81" s="1"/>
  <c r="C16" i="81"/>
  <c r="D16" i="81"/>
  <c r="I16" i="81"/>
  <c r="B17" i="81"/>
  <c r="F17" i="81" s="1"/>
  <c r="C17" i="81"/>
  <c r="D17" i="81"/>
  <c r="I17" i="81"/>
  <c r="B18" i="81"/>
  <c r="F18" i="81" s="1"/>
  <c r="C18" i="81"/>
  <c r="D18" i="81"/>
  <c r="I18" i="81"/>
  <c r="B19" i="81"/>
  <c r="K19" i="81" s="1"/>
  <c r="C19" i="81"/>
  <c r="D19" i="81"/>
  <c r="I19" i="81"/>
  <c r="B20" i="81"/>
  <c r="J20" i="81" s="1"/>
  <c r="C20" i="81"/>
  <c r="D20" i="81"/>
  <c r="I20" i="81"/>
  <c r="B21" i="81"/>
  <c r="F21" i="81" s="1"/>
  <c r="C21" i="81"/>
  <c r="D21" i="81"/>
  <c r="I21" i="81"/>
  <c r="B22" i="81"/>
  <c r="N22" i="81" s="1"/>
  <c r="O22" i="81" s="1"/>
  <c r="P22" i="81" s="1"/>
  <c r="C22" i="81"/>
  <c r="D22" i="81"/>
  <c r="I22" i="81"/>
  <c r="B23" i="81"/>
  <c r="J23" i="81" s="1"/>
  <c r="C23" i="81"/>
  <c r="D23" i="81"/>
  <c r="I23" i="81"/>
  <c r="B24" i="81"/>
  <c r="K24" i="81" s="1"/>
  <c r="C24" i="81"/>
  <c r="D24" i="81"/>
  <c r="I24" i="81"/>
  <c r="B25" i="81"/>
  <c r="N25" i="81" s="1"/>
  <c r="O25" i="81" s="1"/>
  <c r="P25" i="81" s="1"/>
  <c r="C25" i="81"/>
  <c r="D25" i="81"/>
  <c r="I25" i="81"/>
  <c r="B26" i="81"/>
  <c r="J26" i="81" s="1"/>
  <c r="C26" i="81"/>
  <c r="D26" i="81"/>
  <c r="I26" i="81"/>
  <c r="B27" i="81"/>
  <c r="N27" i="81" s="1"/>
  <c r="O27" i="81" s="1"/>
  <c r="P27" i="81" s="1"/>
  <c r="C27" i="81"/>
  <c r="D27" i="81"/>
  <c r="I27" i="81"/>
  <c r="B28" i="81"/>
  <c r="N28" i="81" s="1"/>
  <c r="O28" i="81" s="1"/>
  <c r="P28" i="81" s="1"/>
  <c r="C28" i="81"/>
  <c r="D28" i="81"/>
  <c r="I28" i="81"/>
  <c r="B29" i="81"/>
  <c r="F29" i="81" s="1"/>
  <c r="C29" i="81"/>
  <c r="D29"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AV13" i="79"/>
  <c r="B14" i="79"/>
  <c r="B36" i="111" s="1"/>
  <c r="C14" i="79"/>
  <c r="C36" i="112" s="1"/>
  <c r="D14" i="79"/>
  <c r="D36" i="121" s="1"/>
  <c r="AV14" i="79"/>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C22" i="79"/>
  <c r="D22" i="79"/>
  <c r="D45" i="106" s="1"/>
  <c r="M22" i="79"/>
  <c r="B23" i="79"/>
  <c r="B46" i="106" s="1"/>
  <c r="C23" i="79"/>
  <c r="D23" i="79"/>
  <c r="D45" i="121" s="1"/>
  <c r="B25" i="79"/>
  <c r="C25" i="79"/>
  <c r="C61" i="127" s="1"/>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Y10" i="78" s="1"/>
  <c r="D10" i="11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AT10" i="78"/>
  <c r="AT11" i="78" s="1"/>
  <c r="AT12" i="78" s="1"/>
  <c r="AT13" i="78" s="1"/>
  <c r="AT14" i="78" s="1"/>
  <c r="AT15" i="78" s="1"/>
  <c r="AT16" i="78" s="1"/>
  <c r="AT17" i="78" s="1"/>
  <c r="AT18" i="78" s="1"/>
  <c r="AT19" i="78" s="1"/>
  <c r="AT20" i="78" s="1"/>
  <c r="AT21" i="78" s="1"/>
  <c r="AT22" i="78" s="1"/>
  <c r="B11" i="78"/>
  <c r="C11" i="78"/>
  <c r="C11" i="111" s="1"/>
  <c r="H11" i="111" s="1"/>
  <c r="B12" i="78"/>
  <c r="C12" i="78"/>
  <c r="AV12" i="78" s="1"/>
  <c r="D12" i="121"/>
  <c r="B13" i="78"/>
  <c r="B13" i="111" s="1"/>
  <c r="C13" i="78"/>
  <c r="D13" i="112"/>
  <c r="B14" i="78"/>
  <c r="B14" i="112" s="1"/>
  <c r="C14" i="78"/>
  <c r="AV14" i="78" s="1"/>
  <c r="B15" i="78"/>
  <c r="C15" i="78"/>
  <c r="Y15" i="78" s="1"/>
  <c r="D15" i="121"/>
  <c r="B16" i="78"/>
  <c r="B16" i="121" s="1"/>
  <c r="C16" i="78"/>
  <c r="W16" i="78" s="1"/>
  <c r="D16" i="121"/>
  <c r="B17" i="78"/>
  <c r="C17" i="78"/>
  <c r="C17" i="110" s="1"/>
  <c r="B18" i="78"/>
  <c r="C18" i="78"/>
  <c r="C18" i="106" s="1"/>
  <c r="D36" i="113"/>
  <c r="AW18" i="78"/>
  <c r="B19" i="78"/>
  <c r="B19" i="121" s="1"/>
  <c r="C19" i="78"/>
  <c r="D19" i="121"/>
  <c r="B20" i="78"/>
  <c r="B20" i="110" s="1"/>
  <c r="C20" i="78"/>
  <c r="AW20" i="78" s="1"/>
  <c r="B21" i="78"/>
  <c r="C21" i="78"/>
  <c r="AD21" i="78" s="1"/>
  <c r="B22" i="78"/>
  <c r="D22" i="78" s="1"/>
  <c r="C22" i="78"/>
  <c r="C22" i="106" s="1"/>
  <c r="H22" i="106" s="1"/>
  <c r="B23" i="78"/>
  <c r="B51" i="113" s="1"/>
  <c r="J53" i="113" s="1"/>
  <c r="C23" i="78"/>
  <c r="D23" i="121"/>
  <c r="S23" i="78"/>
  <c r="AH23" i="78" s="1"/>
  <c r="B24" i="78"/>
  <c r="B24" i="106" s="1"/>
  <c r="C24" i="78"/>
  <c r="B25" i="78"/>
  <c r="C25" i="78"/>
  <c r="B26" i="78"/>
  <c r="C26" i="78"/>
  <c r="C26" i="111" s="1"/>
  <c r="D26" i="121"/>
  <c r="BE26" i="78"/>
  <c r="B27" i="78"/>
  <c r="B27" i="121" s="1"/>
  <c r="C27" i="78"/>
  <c r="C27" i="121" s="1"/>
  <c r="S27" i="78"/>
  <c r="Y16" i="79" s="1"/>
  <c r="B28" i="78"/>
  <c r="C28" i="78"/>
  <c r="S28" i="78"/>
  <c r="AH28" i="78" s="1"/>
  <c r="B29" i="78"/>
  <c r="C29" i="78"/>
  <c r="B117" i="85" s="1"/>
  <c r="D29" i="121"/>
  <c r="S29" i="78"/>
  <c r="T29" i="78" s="1"/>
  <c r="B30" i="78"/>
  <c r="B30" i="112" s="1"/>
  <c r="C30" i="78"/>
  <c r="C30" i="121" s="1"/>
  <c r="B62" i="76"/>
  <c r="B9" i="82" s="1"/>
  <c r="F9" i="82" s="1"/>
  <c r="C62" i="76"/>
  <c r="C9" i="82" s="1"/>
  <c r="B63" i="76"/>
  <c r="B10" i="82" s="1"/>
  <c r="F10" i="82" s="1"/>
  <c r="C63" i="76"/>
  <c r="C10" i="82" s="1"/>
  <c r="B64" i="76"/>
  <c r="B11" i="82" s="1"/>
  <c r="F11" i="82" s="1"/>
  <c r="C64" i="76"/>
  <c r="C11" i="82" s="1"/>
  <c r="B65" i="76"/>
  <c r="B12" i="82" s="1"/>
  <c r="F12" i="82" s="1"/>
  <c r="C65" i="76"/>
  <c r="C12" i="82" s="1"/>
  <c r="B66" i="76"/>
  <c r="B13" i="82" s="1"/>
  <c r="F13" i="82" s="1"/>
  <c r="C66" i="76"/>
  <c r="C13" i="82" s="1"/>
  <c r="B67" i="76"/>
  <c r="B14" i="82" s="1"/>
  <c r="F14" i="82" s="1"/>
  <c r="C67" i="76"/>
  <c r="C14" i="82" s="1"/>
  <c r="B68" i="76"/>
  <c r="B15" i="82" s="1"/>
  <c r="F15" i="82" s="1"/>
  <c r="C68" i="76"/>
  <c r="C15" i="82" s="1"/>
  <c r="B69" i="76"/>
  <c r="B16" i="82" s="1"/>
  <c r="F16" i="82" s="1"/>
  <c r="C69" i="76"/>
  <c r="C16" i="82" s="1"/>
  <c r="B70" i="76"/>
  <c r="B17" i="82" s="1"/>
  <c r="F17" i="82" s="1"/>
  <c r="C70" i="76"/>
  <c r="C17" i="82" s="1"/>
  <c r="B71" i="76"/>
  <c r="B18" i="82" s="1"/>
  <c r="F18" i="82" s="1"/>
  <c r="C71" i="76"/>
  <c r="C18" i="82" s="1"/>
  <c r="B72" i="76"/>
  <c r="B19" i="82" s="1"/>
  <c r="F19" i="82" s="1"/>
  <c r="C72" i="76"/>
  <c r="C19" i="82" s="1"/>
  <c r="B75" i="76"/>
  <c r="B22" i="82" s="1"/>
  <c r="F22" i="82" s="1"/>
  <c r="C75" i="76"/>
  <c r="C22" i="82" s="1"/>
  <c r="B76" i="76"/>
  <c r="B23" i="82" s="1"/>
  <c r="F23" i="82" s="1"/>
  <c r="C76" i="76"/>
  <c r="C23" i="82" s="1"/>
  <c r="B77" i="76"/>
  <c r="B24" i="82" s="1"/>
  <c r="F24" i="82" s="1"/>
  <c r="C77" i="76"/>
  <c r="C24" i="82" s="1"/>
  <c r="B78" i="76"/>
  <c r="B25" i="82" s="1"/>
  <c r="F25" i="82" s="1"/>
  <c r="C78" i="76"/>
  <c r="C25" i="82" s="1"/>
  <c r="B79" i="76"/>
  <c r="B26" i="82" s="1"/>
  <c r="F26" i="82" s="1"/>
  <c r="C79" i="76"/>
  <c r="C26" i="82" s="1"/>
  <c r="B80" i="76"/>
  <c r="B27" i="82" s="1"/>
  <c r="F27" i="82" s="1"/>
  <c r="C80" i="76"/>
  <c r="C27" i="82" s="1"/>
  <c r="B81" i="76"/>
  <c r="B28" i="82" s="1"/>
  <c r="F28" i="82" s="1"/>
  <c r="C81" i="76"/>
  <c r="C28" i="82" s="1"/>
  <c r="B82" i="76"/>
  <c r="B29" i="82" s="1"/>
  <c r="F29" i="82" s="1"/>
  <c r="C82"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B44" i="111"/>
  <c r="C41" i="111"/>
  <c r="B20" i="106"/>
  <c r="D10" i="110"/>
  <c r="D18" i="110"/>
  <c r="B10" i="106"/>
  <c r="B10" i="110"/>
  <c r="M5" i="87"/>
  <c r="L8" i="87"/>
  <c r="AD9" i="79"/>
  <c r="AD10" i="79" s="1"/>
  <c r="C43" i="106"/>
  <c r="B59" i="106"/>
  <c r="B96" i="85"/>
  <c r="D24" i="110"/>
  <c r="B48" i="106"/>
  <c r="D57" i="106"/>
  <c r="C16" i="106"/>
  <c r="W9" i="78"/>
  <c r="D10" i="78"/>
  <c r="R22" i="78"/>
  <c r="I22" i="106" s="1"/>
  <c r="P10" i="86"/>
  <c r="Q40" i="85" s="1"/>
  <c r="T49" i="86"/>
  <c r="Q62" i="85"/>
  <c r="Q61" i="85"/>
  <c r="E10" i="79"/>
  <c r="E33" i="121" s="1"/>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8" i="81"/>
  <c r="O18" i="81" s="1"/>
  <c r="P18" i="81" s="1"/>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H22" i="78" s="1"/>
  <c r="Q57" i="91"/>
  <c r="P52" i="91"/>
  <c r="P51" i="91"/>
  <c r="I132" i="95"/>
  <c r="V15" i="97"/>
  <c r="Q52" i="91"/>
  <c r="G49" i="98"/>
  <c r="U10" i="97"/>
  <c r="O150" i="90"/>
  <c r="I137" i="90"/>
  <c r="U12" i="86"/>
  <c r="V12" i="86" s="1"/>
  <c r="S12" i="86" s="1"/>
  <c r="P141" i="90"/>
  <c r="N138" i="90"/>
  <c r="Z10" i="79"/>
  <c r="J33" i="106" s="1"/>
  <c r="W35" i="85"/>
  <c r="I21" i="80"/>
  <c r="J112" i="85"/>
  <c r="AW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J27" i="81"/>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V18" i="78"/>
  <c r="V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AW12" i="78" l="1"/>
  <c r="K29" i="106"/>
  <c r="AE17" i="78"/>
  <c r="F15" i="76"/>
  <c r="G15" i="76" s="1"/>
  <c r="F9" i="76"/>
  <c r="G9" i="76" s="1"/>
  <c r="F21" i="76"/>
  <c r="G21" i="76" s="1"/>
  <c r="F33" i="76"/>
  <c r="G33" i="76" s="1"/>
  <c r="F50" i="76"/>
  <c r="G50" i="76"/>
  <c r="F18" i="76"/>
  <c r="G18" i="76" s="1"/>
  <c r="F39" i="76"/>
  <c r="G39" i="76" s="1"/>
  <c r="O13" i="82"/>
  <c r="J17" i="81"/>
  <c r="K17" i="81"/>
  <c r="N17" i="81"/>
  <c r="O17" i="81" s="1"/>
  <c r="P17" i="81" s="1"/>
  <c r="N24" i="81"/>
  <c r="O24" i="81" s="1"/>
  <c r="P24" i="81" s="1"/>
  <c r="V9" i="78"/>
  <c r="AH29" i="78"/>
  <c r="R9" i="78"/>
  <c r="I9" i="110" s="1"/>
  <c r="X9" i="78"/>
  <c r="AD9" i="78"/>
  <c r="AE9" i="78"/>
  <c r="C9" i="110"/>
  <c r="H9" i="110" s="1"/>
  <c r="AW9" i="78"/>
  <c r="C15" i="113"/>
  <c r="C9" i="106"/>
  <c r="AH25" i="78"/>
  <c r="K28" i="106"/>
  <c r="C9" i="111"/>
  <c r="H9" i="111" s="1"/>
  <c r="C9" i="112"/>
  <c r="T26" i="106"/>
  <c r="C29" i="106"/>
  <c r="U29" i="106"/>
  <c r="R15" i="78"/>
  <c r="I15" i="110" s="1"/>
  <c r="B83" i="85"/>
  <c r="AA83" i="85" s="1"/>
  <c r="B9" i="110"/>
  <c r="G86" i="98"/>
  <c r="H86" i="98" s="1"/>
  <c r="K23" i="106"/>
  <c r="C15" i="106"/>
  <c r="H15" i="106" s="1"/>
  <c r="B19" i="111"/>
  <c r="AH24" i="78"/>
  <c r="B23" i="106"/>
  <c r="AV16" i="78"/>
  <c r="C20" i="110"/>
  <c r="H20" i="110" s="1"/>
  <c r="B30" i="111"/>
  <c r="B128" i="85"/>
  <c r="AV20" i="78"/>
  <c r="F97" i="98" s="1"/>
  <c r="W12" i="78"/>
  <c r="C12" i="111"/>
  <c r="H12" i="111" s="1"/>
  <c r="AX12" i="78"/>
  <c r="O7" i="88" s="1"/>
  <c r="P7" i="88" s="1"/>
  <c r="R12" i="78"/>
  <c r="AG12" i="78" s="1"/>
  <c r="Z16" i="78"/>
  <c r="C12" i="112"/>
  <c r="H12" i="112" s="1"/>
  <c r="V12" i="78"/>
  <c r="AX16" i="78"/>
  <c r="O11" i="88" s="1"/>
  <c r="P11" i="88" s="1"/>
  <c r="AY16" i="78" s="1"/>
  <c r="R70" i="85" s="1"/>
  <c r="X16" i="78"/>
  <c r="C12" i="110"/>
  <c r="B34" i="106"/>
  <c r="B9" i="106"/>
  <c r="C41" i="112"/>
  <c r="B49" i="111"/>
  <c r="C16" i="112"/>
  <c r="H16" i="112" s="1"/>
  <c r="D9" i="78"/>
  <c r="E9" i="111" s="1"/>
  <c r="W21" i="78"/>
  <c r="D53" i="112"/>
  <c r="C30" i="113"/>
  <c r="I9" i="79"/>
  <c r="AV21" i="78"/>
  <c r="F98" i="98" s="1"/>
  <c r="M98" i="98" s="1"/>
  <c r="B34" i="111"/>
  <c r="C12" i="106"/>
  <c r="H12" i="106" s="1"/>
  <c r="AC12" i="106" s="1"/>
  <c r="AB16" i="78"/>
  <c r="AF22" i="78"/>
  <c r="C38" i="106"/>
  <c r="D20" i="78"/>
  <c r="E20" i="106" s="1"/>
  <c r="X22" i="78"/>
  <c r="D14" i="110"/>
  <c r="AD16" i="78"/>
  <c r="B27" i="111"/>
  <c r="C22" i="111"/>
  <c r="H22" i="111" s="1"/>
  <c r="V22" i="78"/>
  <c r="AW22" i="78"/>
  <c r="H16" i="78"/>
  <c r="C2" i="93"/>
  <c r="B52" i="106"/>
  <c r="C16" i="110"/>
  <c r="P16" i="110" s="1"/>
  <c r="L16" i="106" s="1"/>
  <c r="B27" i="112"/>
  <c r="AF16" i="78"/>
  <c r="B27" i="106"/>
  <c r="AW11" i="78"/>
  <c r="C11" i="106"/>
  <c r="H11" i="106" s="1"/>
  <c r="Z15" i="78"/>
  <c r="B82" i="85"/>
  <c r="R82" i="85" s="1"/>
  <c r="C11" i="112"/>
  <c r="H11" i="112" s="1"/>
  <c r="AV11" i="78"/>
  <c r="D34" i="111"/>
  <c r="AX15" i="78"/>
  <c r="O10" i="88" s="1"/>
  <c r="P10" i="88" s="1"/>
  <c r="AY15" i="78" s="1"/>
  <c r="C15" i="110"/>
  <c r="H15" i="110" s="1"/>
  <c r="AW15" i="78"/>
  <c r="H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E9" i="112"/>
  <c r="F22" i="81"/>
  <c r="N19" i="81"/>
  <c r="O19" i="81" s="1"/>
  <c r="P19" i="81" s="1"/>
  <c r="B32" i="106"/>
  <c r="B22" i="106"/>
  <c r="B32" i="111"/>
  <c r="K28" i="81"/>
  <c r="J25" i="81"/>
  <c r="J28" i="81"/>
  <c r="K22" i="81"/>
  <c r="F25" i="81"/>
  <c r="E9" i="79"/>
  <c r="F28" i="81"/>
  <c r="K9" i="81"/>
  <c r="F19" i="81"/>
  <c r="K25" i="81"/>
  <c r="N9" i="81"/>
  <c r="J22" i="81"/>
  <c r="N16" i="81"/>
  <c r="O16" i="81" s="1"/>
  <c r="P16" i="81" s="1"/>
  <c r="J16" i="81"/>
  <c r="AX14" i="78"/>
  <c r="O9" i="88" s="1"/>
  <c r="P9" i="88" s="1"/>
  <c r="AY14" i="78" s="1"/>
  <c r="M14" i="111" s="1"/>
  <c r="C14" i="106"/>
  <c r="H14" i="106" s="1"/>
  <c r="AC14" i="106" s="1"/>
  <c r="J19" i="81"/>
  <c r="AW14" i="78"/>
  <c r="K16" i="81"/>
  <c r="B53" i="112"/>
  <c r="X21" i="78"/>
  <c r="C21" i="110"/>
  <c r="H21" i="110" s="1"/>
  <c r="A54" i="113"/>
  <c r="AB14" i="78"/>
  <c r="AE11" i="78"/>
  <c r="Z9" i="78"/>
  <c r="V15" i="78"/>
  <c r="R20" i="78"/>
  <c r="I20" i="110" s="1"/>
  <c r="D40" i="111"/>
  <c r="AX17" i="78"/>
  <c r="O12" i="88" s="1"/>
  <c r="P12" i="88" s="1"/>
  <c r="AY17" i="78" s="1"/>
  <c r="AV9" i="78"/>
  <c r="F86" i="98" s="1"/>
  <c r="M86" i="98" s="1"/>
  <c r="AW21" i="78"/>
  <c r="D40" i="112"/>
  <c r="D56" i="111"/>
  <c r="C21" i="106"/>
  <c r="H21" i="106" s="1"/>
  <c r="AC21" i="106" s="1"/>
  <c r="A31" i="106"/>
  <c r="D41" i="106"/>
  <c r="A31" i="111"/>
  <c r="AF21" i="78"/>
  <c r="A31" i="112"/>
  <c r="AX21" i="78"/>
  <c r="O16" i="88" s="1"/>
  <c r="P16" i="88" s="1"/>
  <c r="AY21" i="78" s="1"/>
  <c r="AE21" i="78"/>
  <c r="A23" i="110"/>
  <c r="Z21" i="78"/>
  <c r="B19" i="125"/>
  <c r="C20" i="121"/>
  <c r="H20" i="121" s="1"/>
  <c r="AX20" i="78"/>
  <c r="O15" i="88" s="1"/>
  <c r="P15" i="88" s="1"/>
  <c r="AY20" i="78" s="1"/>
  <c r="AC177" i="85"/>
  <c r="D43" i="111"/>
  <c r="B13" i="112"/>
  <c r="B30" i="106"/>
  <c r="B30" i="121"/>
  <c r="B20" i="112"/>
  <c r="B20" i="121"/>
  <c r="C16" i="111"/>
  <c r="H16" i="111" s="1"/>
  <c r="B15" i="125"/>
  <c r="C16" i="121"/>
  <c r="H16" i="121" s="1"/>
  <c r="C18" i="113"/>
  <c r="B11" i="125"/>
  <c r="C12" i="121"/>
  <c r="H12" i="121" s="1"/>
  <c r="D10" i="112"/>
  <c r="D10" i="121"/>
  <c r="AX9" i="78"/>
  <c r="O4" i="88" s="1"/>
  <c r="P4" i="88" s="1"/>
  <c r="AY9" i="78" s="1"/>
  <c r="Z22" i="78"/>
  <c r="AC21" i="78"/>
  <c r="E9" i="121"/>
  <c r="B93" i="85"/>
  <c r="R93" i="85" s="1"/>
  <c r="D39" i="111"/>
  <c r="D43" i="112"/>
  <c r="D12" i="111"/>
  <c r="C20" i="111"/>
  <c r="H20" i="111" s="1"/>
  <c r="C27" i="111"/>
  <c r="B12" i="111"/>
  <c r="B12" i="121"/>
  <c r="AW10" i="78"/>
  <c r="B9" i="125"/>
  <c r="C10" i="121"/>
  <c r="H10" i="121" s="1"/>
  <c r="AX22" i="78"/>
  <c r="O17" i="88" s="1"/>
  <c r="P17" i="88" s="1"/>
  <c r="AY22" i="78" s="1"/>
  <c r="M22" i="111" s="1"/>
  <c r="W20" i="78"/>
  <c r="Y9" i="78"/>
  <c r="J18" i="81"/>
  <c r="F27" i="81"/>
  <c r="D44" i="106"/>
  <c r="C30" i="106"/>
  <c r="D12" i="110"/>
  <c r="D39" i="112"/>
  <c r="D12" i="112"/>
  <c r="C20" i="112"/>
  <c r="H20" i="112" s="1"/>
  <c r="C27" i="112"/>
  <c r="C23" i="111"/>
  <c r="C23" i="121"/>
  <c r="B18" i="125"/>
  <c r="C19" i="121"/>
  <c r="H19" i="121" s="1"/>
  <c r="D11" i="112"/>
  <c r="D11" i="121"/>
  <c r="B12" i="113"/>
  <c r="J14" i="113" s="1"/>
  <c r="B10" i="121"/>
  <c r="R16" i="78"/>
  <c r="AG16" i="78" s="1"/>
  <c r="AB9" i="78"/>
  <c r="K18" i="81"/>
  <c r="B37" i="106"/>
  <c r="D18" i="113"/>
  <c r="C42" i="113"/>
  <c r="C30" i="111"/>
  <c r="C29" i="111"/>
  <c r="C29" i="121"/>
  <c r="O27" i="113"/>
  <c r="C26" i="121"/>
  <c r="B23" i="112"/>
  <c r="B23" i="121"/>
  <c r="B14" i="125"/>
  <c r="C15" i="121"/>
  <c r="H15" i="121" s="1"/>
  <c r="B10" i="125"/>
  <c r="C11" i="121"/>
  <c r="H11" i="121" s="1"/>
  <c r="D9" i="112"/>
  <c r="D9" i="121"/>
  <c r="AV22" i="78"/>
  <c r="F101" i="98" s="1"/>
  <c r="V21" i="78"/>
  <c r="N21" i="81"/>
  <c r="O21" i="81" s="1"/>
  <c r="P21" i="81" s="1"/>
  <c r="J24" i="81"/>
  <c r="B87" i="85"/>
  <c r="R87" i="85" s="1"/>
  <c r="D16" i="110"/>
  <c r="D16" i="111"/>
  <c r="B24" i="111"/>
  <c r="C30" i="112"/>
  <c r="B29" i="106"/>
  <c r="B29" i="121"/>
  <c r="N27" i="113"/>
  <c r="B26" i="121"/>
  <c r="D22" i="111"/>
  <c r="D22" i="121"/>
  <c r="B15" i="111"/>
  <c r="B15" i="121"/>
  <c r="B15" i="113"/>
  <c r="J17" i="113" s="1"/>
  <c r="B11" i="121"/>
  <c r="B8" i="125"/>
  <c r="C9" i="121"/>
  <c r="H9" i="121" s="1"/>
  <c r="AD11" i="78"/>
  <c r="AD22" i="78"/>
  <c r="D20" i="121"/>
  <c r="K27" i="81"/>
  <c r="K21" i="81"/>
  <c r="B122" i="85"/>
  <c r="D16" i="112"/>
  <c r="B24" i="112"/>
  <c r="D25" i="112"/>
  <c r="D25" i="121"/>
  <c r="C22" i="110"/>
  <c r="H22" i="110" s="1"/>
  <c r="B21" i="125"/>
  <c r="C22" i="121"/>
  <c r="H22" i="121" s="1"/>
  <c r="D18" i="112"/>
  <c r="D18" i="121"/>
  <c r="D24" i="113"/>
  <c r="D14" i="121"/>
  <c r="B9" i="113"/>
  <c r="J11" i="113" s="1"/>
  <c r="B9" i="121"/>
  <c r="AA16" i="78"/>
  <c r="AV15" i="78"/>
  <c r="F91" i="98" s="1"/>
  <c r="AB21" i="78"/>
  <c r="V16" i="78"/>
  <c r="D30" i="111"/>
  <c r="D30" i="121"/>
  <c r="D13" i="78"/>
  <c r="E13" i="121" s="1"/>
  <c r="B13" i="121"/>
  <c r="D40" i="106"/>
  <c r="AC176" i="85"/>
  <c r="D30" i="113"/>
  <c r="D28" i="121"/>
  <c r="O26" i="113"/>
  <c r="C25" i="121"/>
  <c r="B22" i="111"/>
  <c r="B22" i="121"/>
  <c r="C36" i="113"/>
  <c r="B17" i="125"/>
  <c r="C18" i="121"/>
  <c r="H18" i="121" s="1"/>
  <c r="C14" i="111"/>
  <c r="H14" i="111" s="1"/>
  <c r="B13" i="125"/>
  <c r="C14" i="121"/>
  <c r="H14" i="121" s="1"/>
  <c r="R21" i="78"/>
  <c r="AG21" i="78" s="1"/>
  <c r="AE15" i="78"/>
  <c r="AF20" i="78"/>
  <c r="N25" i="113"/>
  <c r="B24" i="121"/>
  <c r="F24" i="81"/>
  <c r="C20" i="106"/>
  <c r="H20" i="106" s="1"/>
  <c r="AC20" i="106" s="1"/>
  <c r="B50" i="106"/>
  <c r="C27" i="106"/>
  <c r="D30" i="112"/>
  <c r="C28" i="106"/>
  <c r="C28" i="121"/>
  <c r="N26" i="113"/>
  <c r="B25" i="121"/>
  <c r="D21" i="112"/>
  <c r="D21" i="121"/>
  <c r="B36" i="113"/>
  <c r="J38" i="113" s="1"/>
  <c r="B18" i="121"/>
  <c r="B14" i="106"/>
  <c r="B14" i="121"/>
  <c r="AX11" i="78"/>
  <c r="O6" i="88" s="1"/>
  <c r="R14" i="78"/>
  <c r="I14" i="110" s="1"/>
  <c r="AC9" i="78"/>
  <c r="X11" i="78"/>
  <c r="E10" i="106"/>
  <c r="E10" i="121"/>
  <c r="D27" i="121"/>
  <c r="B17" i="110"/>
  <c r="B17" i="121"/>
  <c r="E10" i="110"/>
  <c r="J21" i="81"/>
  <c r="AA20" i="78"/>
  <c r="Z20" i="78"/>
  <c r="AE20" i="78"/>
  <c r="B28" i="106"/>
  <c r="B28" i="121"/>
  <c r="C45" i="113"/>
  <c r="B20" i="125"/>
  <c r="C21" i="121"/>
  <c r="H21" i="121" s="1"/>
  <c r="D33" i="113"/>
  <c r="D17" i="121"/>
  <c r="D13" i="110"/>
  <c r="D13" i="121"/>
  <c r="R11" i="78"/>
  <c r="I11" i="110" s="1"/>
  <c r="AX13" i="78"/>
  <c r="O8" i="88" s="1"/>
  <c r="P8" i="88" s="1"/>
  <c r="AY13" i="78" s="1"/>
  <c r="R67" i="85" s="1"/>
  <c r="AC14" i="78"/>
  <c r="O25" i="113"/>
  <c r="C24" i="121"/>
  <c r="H20" i="78"/>
  <c r="AC20" i="78"/>
  <c r="D24" i="121"/>
  <c r="B45" i="113"/>
  <c r="J47" i="113" s="1"/>
  <c r="B21" i="121"/>
  <c r="C17" i="111"/>
  <c r="H17" i="111" s="1"/>
  <c r="B16" i="125"/>
  <c r="C17" i="121"/>
  <c r="H17" i="121" s="1"/>
  <c r="B12" i="125"/>
  <c r="C13" i="121"/>
  <c r="H13" i="121" s="1"/>
  <c r="W15" i="78"/>
  <c r="Y16" i="78"/>
  <c r="AE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Y22" i="78" s="1"/>
  <c r="BH108" i="85"/>
  <c r="W108" i="85"/>
  <c r="AA21" i="78" s="1"/>
  <c r="BF102" i="85"/>
  <c r="U102" i="85"/>
  <c r="Y14" i="78" s="1"/>
  <c r="Q37" i="85"/>
  <c r="H14" i="78" s="1"/>
  <c r="AN100" i="85" a="1"/>
  <c r="AN100" i="85" s="1"/>
  <c r="AB100" i="85" s="1"/>
  <c r="AF12" i="78" s="1"/>
  <c r="AN105" i="85" a="1"/>
  <c r="AN105" i="85" s="1"/>
  <c r="AB105" i="85" s="1"/>
  <c r="AF111" i="85" a="1"/>
  <c r="AF111" i="85" s="1"/>
  <c r="T111" i="85" s="1"/>
  <c r="AM109" i="85" a="1"/>
  <c r="AM109" i="85" s="1"/>
  <c r="AA109" i="85" s="1"/>
  <c r="AF106" i="85" a="1"/>
  <c r="AF106" i="85" s="1"/>
  <c r="T106" i="85" s="1"/>
  <c r="X20" i="78" s="1"/>
  <c r="AJ106" i="85" a="1"/>
  <c r="AJ106" i="85" s="1"/>
  <c r="X106" i="85" s="1"/>
  <c r="AB20" i="78" s="1"/>
  <c r="AK114" i="85" a="1"/>
  <c r="AK114" i="85" s="1"/>
  <c r="Y114" i="85" s="1"/>
  <c r="AC11" i="78" s="1"/>
  <c r="AD102" i="85" a="1"/>
  <c r="AD102" i="85" s="1"/>
  <c r="R102" i="85" s="1"/>
  <c r="V14" i="78" s="1"/>
  <c r="AI114" i="85" a="1"/>
  <c r="AI114" i="85" s="1"/>
  <c r="W114" i="85" s="1"/>
  <c r="AA11" i="78" s="1"/>
  <c r="AH107" i="85" a="1"/>
  <c r="AH107" i="85" s="1"/>
  <c r="V107" i="85" s="1"/>
  <c r="Z18" i="78" s="1"/>
  <c r="Z19" i="78" s="1"/>
  <c r="AM107" i="85" a="1"/>
  <c r="AM107" i="85" s="1"/>
  <c r="AA107" i="85" s="1"/>
  <c r="AE18" i="78" s="1"/>
  <c r="AE19" i="78" s="1"/>
  <c r="AJ103" i="85" a="1"/>
  <c r="AJ103" i="85" s="1"/>
  <c r="X103" i="85" s="1"/>
  <c r="AB15" i="78" s="1"/>
  <c r="AQ113" i="85"/>
  <c r="AR113" i="85" s="1"/>
  <c r="BD113" i="85" s="1"/>
  <c r="BA112" i="85"/>
  <c r="AW112" i="85" s="1"/>
  <c r="AQ112" i="85"/>
  <c r="AV113" i="85"/>
  <c r="I149" i="85"/>
  <c r="J149" i="85"/>
  <c r="L149" i="85"/>
  <c r="O149" i="85"/>
  <c r="G149" i="85"/>
  <c r="W112" i="85"/>
  <c r="AA9" i="78" s="1"/>
  <c r="AE110" i="85" a="1"/>
  <c r="AE110" i="85" s="1"/>
  <c r="S110" i="85" s="1"/>
  <c r="W22" i="78" s="1"/>
  <c r="AD106" i="85" a="1"/>
  <c r="AD106" i="85" s="1"/>
  <c r="R106" i="85" s="1"/>
  <c r="V20" i="78" s="1"/>
  <c r="AI102" i="85" a="1"/>
  <c r="AI102" i="85" s="1"/>
  <c r="M149" i="85"/>
  <c r="AG114" i="85" a="1"/>
  <c r="AG114" i="85" s="1"/>
  <c r="U114" i="85" s="1"/>
  <c r="Y11" i="78" s="1"/>
  <c r="AN114" i="85" a="1"/>
  <c r="AN114" i="85" s="1"/>
  <c r="AB114" i="85" s="1"/>
  <c r="AF11" i="78" s="1"/>
  <c r="AJ114" i="85" a="1"/>
  <c r="AJ114" i="85" s="1"/>
  <c r="X114" i="85" s="1"/>
  <c r="AB11" i="78" s="1"/>
  <c r="AH114" i="85" a="1"/>
  <c r="AH114" i="85" s="1"/>
  <c r="V114" i="85" s="1"/>
  <c r="Z11" i="78" s="1"/>
  <c r="AR112" i="85"/>
  <c r="BA106" i="85"/>
  <c r="BA104" i="85"/>
  <c r="W16" i="85"/>
  <c r="Q16" i="85" s="1"/>
  <c r="Q43" i="85"/>
  <c r="H21" i="78" s="1"/>
  <c r="AG100" i="85" a="1"/>
  <c r="AG100" i="85" s="1"/>
  <c r="U100" i="85" s="1"/>
  <c r="Y12" i="78" s="1"/>
  <c r="AM101" i="85" a="1"/>
  <c r="AM101" i="85" s="1"/>
  <c r="AA101" i="85" s="1"/>
  <c r="AE13" i="78" s="1"/>
  <c r="AN103" i="85" a="1"/>
  <c r="AN103" i="85" s="1"/>
  <c r="AB103" i="85" s="1"/>
  <c r="AF15" i="78" s="1"/>
  <c r="AI105" i="85" a="1"/>
  <c r="AI105" i="85" s="1"/>
  <c r="AO103" i="85" a="1"/>
  <c r="AO103" i="85" s="1"/>
  <c r="AC103" i="85" s="1"/>
  <c r="AH111" i="85" a="1"/>
  <c r="AH111" i="85" s="1"/>
  <c r="V111" i="85" s="1"/>
  <c r="AF102" i="85" a="1"/>
  <c r="AF102" i="85" s="1"/>
  <c r="AO109" i="85" a="1"/>
  <c r="AO109" i="85" s="1"/>
  <c r="AC109" i="85" s="1"/>
  <c r="AD105" i="85" a="1"/>
  <c r="AD105" i="85" s="1"/>
  <c r="R105" i="85" s="1"/>
  <c r="V17" i="78" s="1"/>
  <c r="AE102" i="85" a="1"/>
  <c r="AE102" i="85" s="1"/>
  <c r="S102" i="85" s="1"/>
  <c r="W14" i="78" s="1"/>
  <c r="AL102" i="85" a="1"/>
  <c r="AL102" i="85" s="1"/>
  <c r="Z102" i="85" s="1"/>
  <c r="AD14" i="78" s="1"/>
  <c r="AJ107" i="85" a="1"/>
  <c r="AJ107" i="85" s="1"/>
  <c r="X107" i="85" s="1"/>
  <c r="AB18" i="78" s="1"/>
  <c r="AB19" i="78" s="1"/>
  <c r="AO114" i="85" a="1"/>
  <c r="AO114" i="85" s="1"/>
  <c r="AC114" i="85" s="1"/>
  <c r="AN107" i="85" a="1"/>
  <c r="AN107" i="85" s="1"/>
  <c r="AB107" i="85" s="1"/>
  <c r="AF18" i="78" s="1"/>
  <c r="AF19" i="78" s="1"/>
  <c r="AQ106" i="85"/>
  <c r="AV105" i="85"/>
  <c r="AR105" i="85" s="1"/>
  <c r="BA102" i="85"/>
  <c r="AO100" i="85" a="1"/>
  <c r="AO100" i="85" s="1"/>
  <c r="AC100" i="85" s="1"/>
  <c r="AL101" i="85" a="1"/>
  <c r="AL101" i="85" s="1"/>
  <c r="Z101" i="85" s="1"/>
  <c r="AD13" i="78" s="1"/>
  <c r="AO110" i="85" a="1"/>
  <c r="AO110" i="85" s="1"/>
  <c r="AC110" i="85" s="1"/>
  <c r="AF103" i="85" a="1"/>
  <c r="AF103" i="85" s="1"/>
  <c r="T103" i="85" s="1"/>
  <c r="X15" i="78" s="1"/>
  <c r="AG106" i="85" a="1"/>
  <c r="AG106" i="85" s="1"/>
  <c r="U106" i="85" s="1"/>
  <c r="Y20" i="78" s="1"/>
  <c r="AM102" i="85" a="1"/>
  <c r="AM102" i="85" s="1"/>
  <c r="AA102" i="85" s="1"/>
  <c r="AE14" i="78" s="1"/>
  <c r="AM110" i="85" a="1"/>
  <c r="AM110" i="85" s="1"/>
  <c r="AA110" i="85" s="1"/>
  <c r="AM100" i="85" a="1"/>
  <c r="AM100" i="85" s="1"/>
  <c r="AA100" i="85" s="1"/>
  <c r="AE12" i="78" s="1"/>
  <c r="AK103" i="85" a="1"/>
  <c r="AK103" i="85" s="1"/>
  <c r="Y103" i="85" s="1"/>
  <c r="AC15" i="78" s="1"/>
  <c r="AD114" i="85" a="1"/>
  <c r="AD114" i="85" s="1"/>
  <c r="R114" i="85" s="1"/>
  <c r="V11" i="78" s="1"/>
  <c r="AE114" i="85" a="1"/>
  <c r="AE114" i="85" s="1"/>
  <c r="S114" i="85" s="1"/>
  <c r="W11" i="78" s="1"/>
  <c r="AN102" i="85" a="1"/>
  <c r="AN102" i="85" s="1"/>
  <c r="AB102" i="85" s="1"/>
  <c r="AF14" i="78" s="1"/>
  <c r="AQ105" i="85"/>
  <c r="AL103" i="85" a="1"/>
  <c r="AL103" i="85" s="1"/>
  <c r="Z103" i="85" s="1"/>
  <c r="AD15" i="78" s="1"/>
  <c r="AL111" i="85" a="1"/>
  <c r="AL111" i="85" s="1"/>
  <c r="Z111" i="85" s="1"/>
  <c r="AK109" i="85" a="1"/>
  <c r="AK109" i="85" s="1"/>
  <c r="Y109" i="85" s="1"/>
  <c r="AL106" i="85" a="1"/>
  <c r="AL106" i="85" s="1"/>
  <c r="Z106" i="85" s="1"/>
  <c r="AD20" i="78" s="1"/>
  <c r="AD101" i="85" a="1"/>
  <c r="AD101" i="85" s="1"/>
  <c r="R101" i="85" s="1"/>
  <c r="V13" i="78" s="1"/>
  <c r="AK104" i="85" a="1"/>
  <c r="AK104" i="85" s="1"/>
  <c r="Y104" i="85" s="1"/>
  <c r="AC16" i="78" s="1"/>
  <c r="AN112" i="85" a="1"/>
  <c r="AN112" i="85" s="1"/>
  <c r="AB112" i="85" s="1"/>
  <c r="AF9" i="78" s="1"/>
  <c r="AO107" i="85" a="1"/>
  <c r="AO107" i="85" s="1"/>
  <c r="AC107" i="85" s="1"/>
  <c r="AI103" i="85" a="1"/>
  <c r="AI103" i="85" s="1"/>
  <c r="W103" i="85" s="1"/>
  <c r="AA15" i="78" s="1"/>
  <c r="AF107" i="85" a="1"/>
  <c r="AF107" i="85" s="1"/>
  <c r="T107" i="85" s="1"/>
  <c r="X18" i="78" s="1"/>
  <c r="X19" i="78" s="1"/>
  <c r="AQ114" i="85"/>
  <c r="AQ104" i="85"/>
  <c r="AR104" i="85" s="1"/>
  <c r="BD104" i="85" s="1"/>
  <c r="BA114" i="85"/>
  <c r="BM114" i="85" s="1"/>
  <c r="Q38" i="85"/>
  <c r="H15" i="78" s="1"/>
  <c r="T47" i="86"/>
  <c r="Q34" i="85"/>
  <c r="Q33" i="85"/>
  <c r="O58" i="91"/>
  <c r="P16" i="86"/>
  <c r="Q46" i="85"/>
  <c r="S6" i="86"/>
  <c r="P6" i="86"/>
  <c r="T45" i="86" s="1"/>
  <c r="T10" i="79"/>
  <c r="J107" i="85"/>
  <c r="R18" i="78" s="1"/>
  <c r="I18" i="110" s="1"/>
  <c r="V102" i="85"/>
  <c r="Z14" i="78" s="1"/>
  <c r="BG102" i="85"/>
  <c r="O111" i="85"/>
  <c r="T102" i="85"/>
  <c r="X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AA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F13" i="78" s="1"/>
  <c r="AG101" i="85" a="1"/>
  <c r="AG101" i="85" s="1"/>
  <c r="U101" i="85" s="1"/>
  <c r="AF109" i="85" a="1"/>
  <c r="AF109" i="85" s="1"/>
  <c r="T109" i="85" s="1"/>
  <c r="AL100" i="85" a="1"/>
  <c r="AL100" i="85" s="1"/>
  <c r="Z100" i="85" s="1"/>
  <c r="AD12" i="78" s="1"/>
  <c r="AI109" i="85" a="1"/>
  <c r="AI109" i="85" s="1"/>
  <c r="W109" i="85" s="1"/>
  <c r="AF9" i="79" s="1"/>
  <c r="AK107" i="85" a="1"/>
  <c r="AK107" i="85" s="1"/>
  <c r="Y107" i="85" s="1"/>
  <c r="AC18" i="78" s="1"/>
  <c r="AC19" i="78" s="1"/>
  <c r="AG107" i="85" a="1"/>
  <c r="AG107" i="85" s="1"/>
  <c r="U107" i="85" s="1"/>
  <c r="Y18" i="78" s="1"/>
  <c r="Y19" i="78" s="1"/>
  <c r="AK101" i="85" a="1"/>
  <c r="AK101" i="85" s="1"/>
  <c r="Y101" i="85" s="1"/>
  <c r="Y131" i="85"/>
  <c r="BJ131" i="85"/>
  <c r="AV109" i="85"/>
  <c r="BA109" i="85"/>
  <c r="AV101" i="85"/>
  <c r="BA101" i="85"/>
  <c r="BN107" i="85"/>
  <c r="BC104" i="85"/>
  <c r="AF105" i="85" a="1"/>
  <c r="AF105" i="85" s="1"/>
  <c r="T105" i="85" s="1"/>
  <c r="X17" i="78" s="1"/>
  <c r="AH100" i="85" a="1"/>
  <c r="AH100" i="85" s="1"/>
  <c r="V100" i="85" s="1"/>
  <c r="Z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B12" i="78" s="1"/>
  <c r="AO101" i="85" a="1"/>
  <c r="AO101" i="85" s="1"/>
  <c r="AC101" i="85" s="1"/>
  <c r="AK100" i="85" a="1"/>
  <c r="AK100" i="85" s="1"/>
  <c r="Y100" i="85" s="1"/>
  <c r="AC12" i="78" s="1"/>
  <c r="AJ101" i="85" a="1"/>
  <c r="AJ101" i="85" s="1"/>
  <c r="X101" i="85" s="1"/>
  <c r="AB13" i="78" s="1"/>
  <c r="BH114" i="85"/>
  <c r="AR106" i="85"/>
  <c r="BD106" i="85" s="1"/>
  <c r="BC112" i="85"/>
  <c r="AQ101" i="85"/>
  <c r="AE105" i="85" a="1"/>
  <c r="AE105" i="85" s="1"/>
  <c r="S105" i="85" s="1"/>
  <c r="W17" i="78" s="1"/>
  <c r="AH105" i="85" a="1"/>
  <c r="AH105" i="85" s="1"/>
  <c r="V105" i="85" s="1"/>
  <c r="Z17" i="78" s="1"/>
  <c r="AL109" i="85" a="1"/>
  <c r="AL109" i="85" s="1"/>
  <c r="Z109" i="85" s="1"/>
  <c r="AI9" i="79" s="1"/>
  <c r="AI10" i="79" s="1"/>
  <c r="AJ105" i="85" a="1"/>
  <c r="AJ105" i="85" s="1"/>
  <c r="X105" i="85" s="1"/>
  <c r="AI107" i="85" a="1"/>
  <c r="AI107" i="85" s="1"/>
  <c r="AF100" i="85" a="1"/>
  <c r="AF100" i="85" s="1"/>
  <c r="T100" i="85" s="1"/>
  <c r="X12" i="78" s="1"/>
  <c r="AM113" i="85" a="1"/>
  <c r="AM113" i="85" s="1"/>
  <c r="AA113" i="85" s="1"/>
  <c r="AD113" i="85" a="1"/>
  <c r="AD113" i="85" s="1"/>
  <c r="R113" i="85" s="1"/>
  <c r="V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9" i="112"/>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4" i="106" s="1"/>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G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D11" i="78"/>
  <c r="E11" i="121" s="1"/>
  <c r="B24" i="113"/>
  <c r="J26" i="113" s="1"/>
  <c r="F92" i="98"/>
  <c r="M92" i="98" s="1"/>
  <c r="D14" i="78"/>
  <c r="E14" i="121" s="1"/>
  <c r="B18" i="110"/>
  <c r="D22" i="110"/>
  <c r="D9" i="111"/>
  <c r="B18" i="106"/>
  <c r="B20" i="111"/>
  <c r="D9" i="113"/>
  <c r="B23" i="111"/>
  <c r="B15" i="106"/>
  <c r="D21" i="110"/>
  <c r="B18" i="111"/>
  <c r="C25" i="112"/>
  <c r="E9" i="110"/>
  <c r="G103" i="98"/>
  <c r="H103" i="98" s="1"/>
  <c r="D15" i="78"/>
  <c r="E15" i="110" s="1"/>
  <c r="B14" i="110"/>
  <c r="D9" i="110"/>
  <c r="B18" i="112"/>
  <c r="D11" i="111"/>
  <c r="I15" i="106"/>
  <c r="E9" i="106"/>
  <c r="E10" i="111"/>
  <c r="G92" i="98"/>
  <c r="H92" i="98" s="1"/>
  <c r="AG15" i="78"/>
  <c r="E10" i="112"/>
  <c r="B11" i="110"/>
  <c r="D21" i="111"/>
  <c r="U28" i="106"/>
  <c r="B11" i="106"/>
  <c r="D26" i="111"/>
  <c r="D45" i="113"/>
  <c r="C23" i="112"/>
  <c r="C10" i="110"/>
  <c r="U10" i="110" s="1"/>
  <c r="V10" i="110" s="1"/>
  <c r="B25" i="112"/>
  <c r="C29" i="112"/>
  <c r="R14" i="88"/>
  <c r="S14" i="88" s="1"/>
  <c r="AZ19" i="78"/>
  <c r="C33" i="113"/>
  <c r="B17" i="106"/>
  <c r="C17" i="106"/>
  <c r="H17" i="106" s="1"/>
  <c r="AE22" i="78"/>
  <c r="AC13" i="78"/>
  <c r="B21" i="110"/>
  <c r="B21" i="113"/>
  <c r="J23" i="113" s="1"/>
  <c r="D20" i="111"/>
  <c r="B21" i="111"/>
  <c r="D14" i="111"/>
  <c r="C22" i="112"/>
  <c r="H22" i="112" s="1"/>
  <c r="AY19" i="78"/>
  <c r="G82" i="98"/>
  <c r="H82" i="98" s="1"/>
  <c r="AF17" i="78"/>
  <c r="H17" i="78"/>
  <c r="R13" i="78"/>
  <c r="AG13" i="78" s="1"/>
  <c r="AW17" i="78"/>
  <c r="D17" i="78"/>
  <c r="E17" i="121" s="1"/>
  <c r="D21" i="78"/>
  <c r="E21" i="121" s="1"/>
  <c r="AC22" i="78"/>
  <c r="C13" i="110"/>
  <c r="B21" i="106"/>
  <c r="B13" i="110"/>
  <c r="D20" i="112"/>
  <c r="B21" i="112"/>
  <c r="D14" i="112"/>
  <c r="C48" i="113"/>
  <c r="G97" i="98"/>
  <c r="H97" i="98" s="1"/>
  <c r="AH27" i="78"/>
  <c r="AB22" i="78"/>
  <c r="B17" i="111"/>
  <c r="D42" i="113"/>
  <c r="AC22" i="106"/>
  <c r="X22" i="106"/>
  <c r="AV17" i="78"/>
  <c r="F94" i="98" s="1"/>
  <c r="AV13" i="78"/>
  <c r="F87" i="98" s="1"/>
  <c r="W13" i="78"/>
  <c r="D20" i="110"/>
  <c r="B17" i="112"/>
  <c r="C24" i="111"/>
  <c r="D24" i="111"/>
  <c r="R17" i="78"/>
  <c r="Z13" i="78"/>
  <c r="B33" i="113"/>
  <c r="J35" i="113" s="1"/>
  <c r="C24" i="112"/>
  <c r="D24" i="112"/>
  <c r="C28" i="111"/>
  <c r="F89" i="98"/>
  <c r="M89" i="98" s="1"/>
  <c r="Y13" i="78"/>
  <c r="C24" i="106"/>
  <c r="AA13" i="78"/>
  <c r="X13" i="78"/>
  <c r="C13" i="111"/>
  <c r="H13" i="111" s="1"/>
  <c r="D27" i="111"/>
  <c r="B26" i="112"/>
  <c r="C13" i="106"/>
  <c r="H13" i="106" s="1"/>
  <c r="AD17" i="78"/>
  <c r="C13" i="112"/>
  <c r="H13" i="112" s="1"/>
  <c r="D27" i="112"/>
  <c r="B10" i="112"/>
  <c r="B15" i="110"/>
  <c r="B13" i="106"/>
  <c r="AW13" i="78"/>
  <c r="K27" i="106"/>
  <c r="U27" i="106" s="1"/>
  <c r="AC17" i="78"/>
  <c r="C21" i="113"/>
  <c r="D18" i="111"/>
  <c r="F102" i="98"/>
  <c r="M102" i="98" s="1"/>
  <c r="Y17" i="78"/>
  <c r="AB17" i="78"/>
  <c r="BA30" i="78"/>
  <c r="BB30" i="78" s="1"/>
  <c r="BC30" i="78" s="1"/>
  <c r="BD30" i="78" s="1"/>
  <c r="AZ25" i="78"/>
  <c r="BA25" i="78" s="1"/>
  <c r="BB25" i="78" s="1"/>
  <c r="BC25" i="78" s="1"/>
  <c r="BD25" i="78" s="1"/>
  <c r="M25" i="111"/>
  <c r="U25" i="106"/>
  <c r="L25" i="106"/>
  <c r="AZ29" i="78"/>
  <c r="AZ26" i="78"/>
  <c r="BA26" i="78" s="1"/>
  <c r="BJ26" i="78"/>
  <c r="BK26" i="78" s="1"/>
  <c r="BL26" i="78" s="1"/>
  <c r="BM26" i="78" s="1"/>
  <c r="BN26" i="78" s="1"/>
  <c r="BO26" i="78" s="1"/>
  <c r="BP26" i="78" s="1"/>
  <c r="BQ26" i="78" s="1"/>
  <c r="BA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Y21" i="78"/>
  <c r="N9" i="82"/>
  <c r="O17" i="82"/>
  <c r="O11" i="82"/>
  <c r="N15" i="82"/>
  <c r="U29" i="78"/>
  <c r="AJ29" i="78" s="1"/>
  <c r="AI29" i="78"/>
  <c r="AK29" i="78" s="1"/>
  <c r="S30" i="86"/>
  <c r="P30" i="86"/>
  <c r="P1" i="86" s="1"/>
  <c r="Q35" i="85"/>
  <c r="H12" i="78" s="1"/>
  <c r="AA10" i="79"/>
  <c r="M29" i="106"/>
  <c r="K26" i="81"/>
  <c r="N26" i="81"/>
  <c r="O26" i="81" s="1"/>
  <c r="P26" i="81" s="1"/>
  <c r="N23" i="81"/>
  <c r="O23" i="81" s="1"/>
  <c r="P23" i="81" s="1"/>
  <c r="K23" i="81"/>
  <c r="F20" i="81"/>
  <c r="N20" i="81"/>
  <c r="O20" i="81" s="1"/>
  <c r="P20" i="81" s="1"/>
  <c r="K20" i="81"/>
  <c r="F23" i="81"/>
  <c r="F26" i="81"/>
  <c r="P6" i="88"/>
  <c r="AY11" i="78" s="1"/>
  <c r="D23" i="112"/>
  <c r="D23" i="111"/>
  <c r="D51" i="113"/>
  <c r="D39" i="113"/>
  <c r="D19" i="112"/>
  <c r="D19" i="111"/>
  <c r="D19" i="110"/>
  <c r="D16" i="78"/>
  <c r="E16" i="121" s="1"/>
  <c r="B16" i="110"/>
  <c r="B16" i="106"/>
  <c r="B30" i="113"/>
  <c r="J32" i="113" s="1"/>
  <c r="B16" i="112"/>
  <c r="B16" i="111"/>
  <c r="G84" i="98"/>
  <c r="H84" i="98" s="1"/>
  <c r="G90" i="98"/>
  <c r="H90" i="98" s="1"/>
  <c r="G93" i="98"/>
  <c r="H93" i="98" s="1"/>
  <c r="G96" i="98"/>
  <c r="H96" i="98" s="1"/>
  <c r="G102" i="98"/>
  <c r="H102" i="98" s="1"/>
  <c r="D12" i="78"/>
  <c r="E12" i="121" s="1"/>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G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Z10" i="78"/>
  <c r="X83" i="85"/>
  <c r="AD10" i="78"/>
  <c r="C10" i="111"/>
  <c r="H10" i="111" s="1"/>
  <c r="AB10" i="78"/>
  <c r="AX10" i="78"/>
  <c r="O5" i="88" s="1"/>
  <c r="AC10" i="78"/>
  <c r="AE10" i="78"/>
  <c r="W10" i="78"/>
  <c r="AA10" i="78"/>
  <c r="AF10" i="78"/>
  <c r="R10" i="78"/>
  <c r="H10" i="78"/>
  <c r="AV10" i="78"/>
  <c r="F88" i="98" s="1"/>
  <c r="C13" i="77"/>
  <c r="C10" i="106"/>
  <c r="C12" i="113"/>
  <c r="X10" i="78"/>
  <c r="D55" i="112"/>
  <c r="D55" i="111"/>
  <c r="A54" i="106"/>
  <c r="A51" i="112"/>
  <c r="A51" i="111"/>
  <c r="B39" i="111"/>
  <c r="B40" i="106"/>
  <c r="B39" i="112"/>
  <c r="D35" i="112"/>
  <c r="D35" i="111"/>
  <c r="D64" i="113"/>
  <c r="D36" i="106"/>
  <c r="H17" i="110"/>
  <c r="N15" i="81"/>
  <c r="O15" i="81" s="1"/>
  <c r="P15" i="81" s="1"/>
  <c r="K15" i="81"/>
  <c r="F15" i="81"/>
  <c r="P13" i="88"/>
  <c r="AY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Z83" i="85" l="1"/>
  <c r="L9" i="110"/>
  <c r="P9" i="110"/>
  <c r="L9" i="106" s="1"/>
  <c r="AB83" i="85"/>
  <c r="Y83" i="85"/>
  <c r="AC83" i="85"/>
  <c r="R83" i="85"/>
  <c r="AG20" i="78"/>
  <c r="I20" i="106"/>
  <c r="X14" i="106"/>
  <c r="K9" i="110"/>
  <c r="K9" i="106" s="1"/>
  <c r="E32" i="111"/>
  <c r="G9" i="79"/>
  <c r="I12" i="106"/>
  <c r="I16" i="110"/>
  <c r="U21" i="110"/>
  <c r="V21" i="110" s="1"/>
  <c r="P21" i="110"/>
  <c r="L21" i="106" s="1"/>
  <c r="X21" i="106"/>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BA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Z9" i="78" s="1"/>
  <c r="S78" i="85" s="1"/>
  <c r="E15" i="111"/>
  <c r="I11" i="106"/>
  <c r="AG11" i="78"/>
  <c r="E15" i="106"/>
  <c r="AG18" i="78"/>
  <c r="R19" i="78"/>
  <c r="I19" i="106" s="1"/>
  <c r="I14" i="106"/>
  <c r="AG14" i="78"/>
  <c r="E32" i="112"/>
  <c r="E32" i="106"/>
  <c r="E24" i="110"/>
  <c r="S87" i="85"/>
  <c r="I86" i="98"/>
  <c r="X20" i="106"/>
  <c r="AE20" i="106" s="1"/>
  <c r="AD20" i="106" s="1"/>
  <c r="C16" i="77"/>
  <c r="S22" i="106"/>
  <c r="E15" i="112"/>
  <c r="E15" i="121"/>
  <c r="R76" i="85"/>
  <c r="L10" i="110"/>
  <c r="Q17" i="88"/>
  <c r="AZ22" i="78" s="1"/>
  <c r="S76" i="85" s="1"/>
  <c r="AE21" i="106"/>
  <c r="AD21" i="106" s="1"/>
  <c r="E12" i="79"/>
  <c r="E35" i="106" s="1"/>
  <c r="X33" i="106"/>
  <c r="L17" i="79"/>
  <c r="L23" i="79"/>
  <c r="K23" i="79"/>
  <c r="K35" i="79" s="1"/>
  <c r="K11" i="79"/>
  <c r="M17" i="79"/>
  <c r="K17" i="79"/>
  <c r="J66" i="113"/>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AA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H13" i="78" s="1"/>
  <c r="BM112" i="85"/>
  <c r="U9" i="110" s="1"/>
  <c r="V9" i="110" s="1"/>
  <c r="BN110" i="85"/>
  <c r="BD110" i="85"/>
  <c r="L22" i="110" s="1"/>
  <c r="BM102" i="85"/>
  <c r="U14" i="110" s="1"/>
  <c r="V14" i="110" s="1"/>
  <c r="AT112" i="85"/>
  <c r="BF112" i="85" s="1"/>
  <c r="N9" i="110" s="1"/>
  <c r="BH102" i="85"/>
  <c r="P14" i="110" s="1"/>
  <c r="L14" i="106" s="1"/>
  <c r="W102" i="85"/>
  <c r="AA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AA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AA18" i="78" s="1"/>
  <c r="AA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J26" i="78" s="1"/>
  <c r="H22" i="87"/>
  <c r="T14" i="79" s="1"/>
  <c r="L11" i="79"/>
  <c r="L26" i="79"/>
  <c r="K19" i="79"/>
  <c r="K18"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Z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G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BA14" i="78" s="1"/>
  <c r="T68" i="85" s="1"/>
  <c r="S82" i="85"/>
  <c r="BA29" i="78"/>
  <c r="BB27" i="78"/>
  <c r="T87" i="85"/>
  <c r="M25" i="106"/>
  <c r="H10" i="106"/>
  <c r="Q15" i="88"/>
  <c r="AZ20" i="78" s="1"/>
  <c r="S72" i="85" s="1"/>
  <c r="M24" i="106"/>
  <c r="BB19" i="78"/>
  <c r="T14" i="88"/>
  <c r="U14" i="79"/>
  <c r="AI26" i="78"/>
  <c r="H19" i="106"/>
  <c r="BB26" i="78"/>
  <c r="T83" i="85"/>
  <c r="N25" i="111"/>
  <c r="K25" i="111" s="1"/>
  <c r="BE25" i="78"/>
  <c r="BF25" i="78" s="1"/>
  <c r="BG25" i="78" s="1"/>
  <c r="BH25" i="78" s="1"/>
  <c r="BI25" i="78" s="1"/>
  <c r="BJ25" i="78" s="1"/>
  <c r="BK25" i="78" s="1"/>
  <c r="BL25" i="78" s="1"/>
  <c r="BM25" i="78" s="1"/>
  <c r="BN25" i="78" s="1"/>
  <c r="BO25" i="78" s="1"/>
  <c r="BP25" i="78" s="1"/>
  <c r="BQ25" i="78" s="1"/>
  <c r="BR25" i="78" s="1"/>
  <c r="BS25" i="78" s="1"/>
  <c r="BE30" i="78"/>
  <c r="W93" i="85"/>
  <c r="Q12" i="88"/>
  <c r="Q11" i="88"/>
  <c r="P33" i="86"/>
  <c r="R71" i="85"/>
  <c r="M17" i="111"/>
  <c r="S17" i="106"/>
  <c r="P72" i="86"/>
  <c r="Q10" i="88"/>
  <c r="AZ15" i="78" s="1"/>
  <c r="S69" i="85" s="1"/>
  <c r="Q60" i="85"/>
  <c r="H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Y12" i="78"/>
  <c r="Q7" i="88"/>
  <c r="I10" i="106"/>
  <c r="I10" i="110"/>
  <c r="AG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AF128" i="85" l="1"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G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BA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H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BA20" i="78" s="1"/>
  <c r="T72" i="85" s="1"/>
  <c r="R13" i="88"/>
  <c r="S9" i="88"/>
  <c r="T9" i="88" s="1"/>
  <c r="U33" i="106"/>
  <c r="R10" i="88"/>
  <c r="S10" i="88" s="1"/>
  <c r="L33" i="106"/>
  <c r="U16" i="106"/>
  <c r="U32" i="106"/>
  <c r="AC10" i="106"/>
  <c r="X10" i="106"/>
  <c r="AC19" i="106"/>
  <c r="X19" i="106"/>
  <c r="AZ14" i="78"/>
  <c r="S68" i="85" s="1"/>
  <c r="BC27" i="78"/>
  <c r="U87" i="85"/>
  <c r="BF30" i="78"/>
  <c r="X93" i="85"/>
  <c r="BC19" i="78"/>
  <c r="U14" i="88"/>
  <c r="BC26" i="78"/>
  <c r="U83" i="85"/>
  <c r="T82" i="85"/>
  <c r="BB29" i="78"/>
  <c r="AZ10" i="78"/>
  <c r="S79" i="85" s="1"/>
  <c r="Q18" i="88"/>
  <c r="U17" i="106"/>
  <c r="W8" i="85"/>
  <c r="O103" i="85" s="1"/>
  <c r="S15" i="78" s="1"/>
  <c r="Q9" i="86"/>
  <c r="R9" i="86" s="1"/>
  <c r="Q10" i="86"/>
  <c r="R10" i="86" s="1"/>
  <c r="Q31" i="86"/>
  <c r="R31" i="86" s="1"/>
  <c r="W12" i="85"/>
  <c r="O107" i="85" s="1"/>
  <c r="S18" i="78" s="1"/>
  <c r="W11" i="85"/>
  <c r="O106" i="85" s="1"/>
  <c r="S20" i="78" s="1"/>
  <c r="Q5" i="86"/>
  <c r="W10" i="85"/>
  <c r="O105" i="85" s="1"/>
  <c r="S17" i="78" s="1"/>
  <c r="Q14" i="86"/>
  <c r="R14" i="86" s="1"/>
  <c r="W15" i="85"/>
  <c r="O110" i="85" s="1"/>
  <c r="S22" i="78" s="1"/>
  <c r="W14" i="85"/>
  <c r="O109" i="85" s="1"/>
  <c r="Q16" i="86"/>
  <c r="R16" i="86" s="1"/>
  <c r="W30" i="85"/>
  <c r="O112" i="85" s="1"/>
  <c r="S9" i="78" s="1"/>
  <c r="W6" i="85"/>
  <c r="O101" i="85" s="1"/>
  <c r="S13" i="78" s="1"/>
  <c r="Q32" i="86"/>
  <c r="R32" i="86" s="1"/>
  <c r="Q11" i="86"/>
  <c r="R11" i="86" s="1"/>
  <c r="W31" i="85"/>
  <c r="O113" i="85" s="1"/>
  <c r="S10" i="78" s="1"/>
  <c r="Q12" i="86"/>
  <c r="R12" i="86" s="1"/>
  <c r="W13" i="85"/>
  <c r="O108" i="85" s="1"/>
  <c r="S21" i="78" s="1"/>
  <c r="W5" i="85"/>
  <c r="Q13" i="86"/>
  <c r="R13" i="86" s="1"/>
  <c r="Q6" i="86"/>
  <c r="R6" i="86" s="1"/>
  <c r="W7" i="85"/>
  <c r="O102" i="85" s="1"/>
  <c r="S14" i="78" s="1"/>
  <c r="W9" i="85"/>
  <c r="O104" i="85" s="1"/>
  <c r="S16" i="78" s="1"/>
  <c r="Q15" i="86"/>
  <c r="R15" i="86" s="1"/>
  <c r="Q7" i="86"/>
  <c r="R7" i="86" s="1"/>
  <c r="Q8" i="86"/>
  <c r="R8" i="86" s="1"/>
  <c r="Q30" i="86"/>
  <c r="R30" i="86" s="1"/>
  <c r="W32" i="85"/>
  <c r="O114" i="85" s="1"/>
  <c r="S11" i="78" s="1"/>
  <c r="AZ16" i="78"/>
  <c r="S70" i="85" s="1"/>
  <c r="R11" i="88"/>
  <c r="S72" i="86"/>
  <c r="T72" i="86"/>
  <c r="O72" i="86"/>
  <c r="AZ17" i="78"/>
  <c r="S71" i="85" s="1"/>
  <c r="R12" i="88"/>
  <c r="AZ21" i="78"/>
  <c r="S74" i="85" s="1"/>
  <c r="R16" i="88"/>
  <c r="R122" i="85"/>
  <c r="BC122" i="85"/>
  <c r="AA128" i="85"/>
  <c r="BL128" i="85"/>
  <c r="U13" i="106"/>
  <c r="BK122" i="85"/>
  <c r="Z122" i="85"/>
  <c r="BI122" i="85"/>
  <c r="X122" i="85"/>
  <c r="BJ128" i="85"/>
  <c r="Y128" i="85"/>
  <c r="L34" i="79"/>
  <c r="L33" i="79"/>
  <c r="L32" i="79"/>
  <c r="W122" i="85"/>
  <c r="BH122" i="85"/>
  <c r="AZ13" i="78"/>
  <c r="S67" i="85" s="1"/>
  <c r="R8" i="88"/>
  <c r="U15" i="106"/>
  <c r="BE122" i="85"/>
  <c r="T122" i="85"/>
  <c r="R128" i="85"/>
  <c r="U11" i="106"/>
  <c r="BF122" i="85"/>
  <c r="U122" i="85"/>
  <c r="U21" i="106"/>
  <c r="T21" i="106"/>
  <c r="BN122" i="85"/>
  <c r="AC122" i="85"/>
  <c r="AA122" i="85"/>
  <c r="BL122" i="85"/>
  <c r="BA9" i="78"/>
  <c r="T78" i="85" s="1"/>
  <c r="S4" i="88"/>
  <c r="BM128" i="85"/>
  <c r="AZ11" i="78"/>
  <c r="S80" i="85" s="1"/>
  <c r="R6" i="88"/>
  <c r="R5" i="88"/>
  <c r="BM122" i="85"/>
  <c r="AB122" i="85"/>
  <c r="T20" i="106"/>
  <c r="U20" i="106"/>
  <c r="T9" i="106"/>
  <c r="U9" i="106"/>
  <c r="M105" i="98"/>
  <c r="M107" i="98" s="1"/>
  <c r="N101" i="98" s="1"/>
  <c r="O101" i="98" s="1"/>
  <c r="K22" i="78" s="1"/>
  <c r="AY10" i="78"/>
  <c r="P18" i="88"/>
  <c r="P19" i="88" s="1"/>
  <c r="BJ122" i="85"/>
  <c r="Y122" i="85"/>
  <c r="AZ12" i="78"/>
  <c r="S66" i="85" s="1"/>
  <c r="R7" i="88"/>
  <c r="I105" i="98"/>
  <c r="I107" i="98" s="1"/>
  <c r="J95" i="98" s="1"/>
  <c r="K95" i="98" s="1"/>
  <c r="L18" i="78" s="1"/>
  <c r="V122" i="85"/>
  <c r="BG122" i="85"/>
  <c r="M12" i="111"/>
  <c r="S12" i="106"/>
  <c r="R66" i="85"/>
  <c r="S122" i="85"/>
  <c r="BD122" i="85"/>
  <c r="L10" i="80"/>
  <c r="L19" i="80"/>
  <c r="O19" i="80"/>
  <c r="O10" i="80"/>
  <c r="O22" i="80"/>
  <c r="N19" i="80"/>
  <c r="N10" i="80"/>
  <c r="M10" i="80"/>
  <c r="M19" i="80"/>
  <c r="M22" i="80" s="1"/>
  <c r="K10" i="80"/>
  <c r="K19" i="80"/>
  <c r="K21" i="80" s="1"/>
  <c r="T128" i="85" l="1"/>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B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B14" i="78"/>
  <c r="U68" i="85" s="1"/>
  <c r="AE19" i="106"/>
  <c r="AD19" i="106" s="1"/>
  <c r="AE10" i="106"/>
  <c r="AD10" i="106" s="1"/>
  <c r="P10" i="106"/>
  <c r="P19" i="106"/>
  <c r="T19" i="106" s="1"/>
  <c r="S88" i="92"/>
  <c r="S84" i="92"/>
  <c r="S90" i="92" s="1"/>
  <c r="S85" i="92"/>
  <c r="S91" i="92" s="1"/>
  <c r="H89" i="92"/>
  <c r="I83" i="92"/>
  <c r="S15" i="88"/>
  <c r="T15" i="88" s="1"/>
  <c r="S13" i="88"/>
  <c r="BA18" i="78"/>
  <c r="T73" i="85" s="1"/>
  <c r="BA15" i="78"/>
  <c r="T69" i="85" s="1"/>
  <c r="N90" i="98"/>
  <c r="O90" i="98" s="1"/>
  <c r="K23" i="78" s="1"/>
  <c r="N97" i="98"/>
  <c r="O97" i="98" s="1"/>
  <c r="K20" i="78" s="1"/>
  <c r="J90" i="98"/>
  <c r="K90" i="98" s="1"/>
  <c r="L23" i="78" s="1"/>
  <c r="N99" i="98"/>
  <c r="O99" i="98" s="1"/>
  <c r="K25" i="78" s="1"/>
  <c r="N83" i="98"/>
  <c r="O83" i="98" s="1"/>
  <c r="K27" i="78" s="1"/>
  <c r="BC29" i="78"/>
  <c r="U82" i="85"/>
  <c r="BD26" i="78"/>
  <c r="W83" i="85" s="1"/>
  <c r="V83" i="85"/>
  <c r="J100" i="98"/>
  <c r="K100" i="98" s="1"/>
  <c r="L24" i="78" s="1"/>
  <c r="BD19" i="78"/>
  <c r="N19" i="111" s="1"/>
  <c r="O19" i="111" s="1"/>
  <c r="K19" i="111" s="1"/>
  <c r="V14" i="88"/>
  <c r="BG30" i="78"/>
  <c r="Y93" i="85"/>
  <c r="BD27" i="78"/>
  <c r="V87" i="85"/>
  <c r="N94" i="98"/>
  <c r="O94" i="98" s="1"/>
  <c r="K17" i="78" s="1"/>
  <c r="N91" i="98"/>
  <c r="O91" i="98" s="1"/>
  <c r="K15" i="78" s="1"/>
  <c r="BA16" i="78"/>
  <c r="T70" i="85" s="1"/>
  <c r="S11" i="88"/>
  <c r="T21" i="78"/>
  <c r="J21" i="106"/>
  <c r="AH21" i="78"/>
  <c r="J21" i="110"/>
  <c r="Q33" i="86"/>
  <c r="R5" i="86"/>
  <c r="T20" i="78"/>
  <c r="AH20" i="78"/>
  <c r="J20" i="106"/>
  <c r="J20" i="110"/>
  <c r="T11" i="78"/>
  <c r="J11" i="110"/>
  <c r="J11" i="106"/>
  <c r="AH11" i="78"/>
  <c r="J10" i="110"/>
  <c r="AH10" i="78"/>
  <c r="T10" i="78"/>
  <c r="J10" i="106"/>
  <c r="J18" i="110"/>
  <c r="S19" i="78"/>
  <c r="J18" i="106"/>
  <c r="AH18" i="78"/>
  <c r="T18" i="78"/>
  <c r="J82" i="98"/>
  <c r="K82" i="98" s="1"/>
  <c r="L30" i="78" s="1"/>
  <c r="J91" i="98"/>
  <c r="K91" i="98" s="1"/>
  <c r="L15" i="78" s="1"/>
  <c r="BA17" i="78"/>
  <c r="T71" i="85" s="1"/>
  <c r="S12" i="88"/>
  <c r="J101" i="98"/>
  <c r="K101" i="98" s="1"/>
  <c r="L22" i="78" s="1"/>
  <c r="AH13" i="78"/>
  <c r="J13" i="106"/>
  <c r="J13" i="110"/>
  <c r="T13" i="78"/>
  <c r="J9" i="106"/>
  <c r="AH9" i="78"/>
  <c r="J9" i="110"/>
  <c r="T9" i="78"/>
  <c r="AH15" i="78"/>
  <c r="J15" i="106"/>
  <c r="T15" i="78"/>
  <c r="J15" i="110"/>
  <c r="J97" i="98"/>
  <c r="K97" i="98" s="1"/>
  <c r="L20" i="78" s="1"/>
  <c r="R18" i="88"/>
  <c r="R19" i="88" s="1"/>
  <c r="J16" i="110"/>
  <c r="T16" i="78"/>
  <c r="AH16" i="78"/>
  <c r="J16" i="106"/>
  <c r="T14" i="78"/>
  <c r="J14" i="110"/>
  <c r="AH14" i="78"/>
  <c r="J14" i="106"/>
  <c r="AH22" i="78"/>
  <c r="J22" i="110"/>
  <c r="T22" i="78"/>
  <c r="J22" i="106"/>
  <c r="O100" i="85"/>
  <c r="W34" i="85"/>
  <c r="W36" i="85" s="1"/>
  <c r="J17" i="110"/>
  <c r="T17" i="78"/>
  <c r="AH17" i="78"/>
  <c r="J17" i="106"/>
  <c r="BA13" i="78"/>
  <c r="T67" i="85" s="1"/>
  <c r="S8" i="88"/>
  <c r="BB15" i="78"/>
  <c r="U69" i="85" s="1"/>
  <c r="T10" i="88"/>
  <c r="J92" i="98"/>
  <c r="K92" i="98" s="1"/>
  <c r="L11" i="78" s="1"/>
  <c r="J98" i="98"/>
  <c r="K98" i="98" s="1"/>
  <c r="L21" i="78" s="1"/>
  <c r="J86" i="98"/>
  <c r="K86" i="98" s="1"/>
  <c r="L9" i="78" s="1"/>
  <c r="J89" i="98"/>
  <c r="K89" i="98" s="1"/>
  <c r="L14" i="78" s="1"/>
  <c r="J102" i="98"/>
  <c r="K102" i="98" s="1"/>
  <c r="L29" i="78" s="1"/>
  <c r="S10" i="106"/>
  <c r="M10" i="111"/>
  <c r="R79" i="85"/>
  <c r="R115" i="85" s="1"/>
  <c r="BB9" i="78"/>
  <c r="U78" i="85" s="1"/>
  <c r="T4" i="88"/>
  <c r="J99" i="98"/>
  <c r="K99" i="98" s="1"/>
  <c r="L25" i="78" s="1"/>
  <c r="J85" i="98"/>
  <c r="K85" i="98" s="1"/>
  <c r="L12" i="78" s="1"/>
  <c r="N93" i="98"/>
  <c r="O93" i="98" s="1"/>
  <c r="K16" i="78" s="1"/>
  <c r="J87" i="98"/>
  <c r="K87" i="98" s="1"/>
  <c r="L13" i="78" s="1"/>
  <c r="N85" i="98"/>
  <c r="O85" i="98" s="1"/>
  <c r="K12" i="78" s="1"/>
  <c r="J93" i="98"/>
  <c r="K93" i="98" s="1"/>
  <c r="L16" i="78" s="1"/>
  <c r="BA21" i="78"/>
  <c r="T74" i="85" s="1"/>
  <c r="S16" i="88"/>
  <c r="N82" i="98"/>
  <c r="N84" i="98"/>
  <c r="O84" i="98" s="1"/>
  <c r="K28" i="78" s="1"/>
  <c r="T12" i="106"/>
  <c r="U12" i="106"/>
  <c r="BA12" i="78"/>
  <c r="T66" i="85" s="1"/>
  <c r="S7" i="88"/>
  <c r="N92" i="98"/>
  <c r="O92" i="98" s="1"/>
  <c r="K11" i="78" s="1"/>
  <c r="S84" i="98"/>
  <c r="Q93" i="98"/>
  <c r="Q95" i="98"/>
  <c r="S94" i="98"/>
  <c r="J17" i="78" s="1"/>
  <c r="Q102" i="98"/>
  <c r="Q100" i="98"/>
  <c r="Q98" i="98"/>
  <c r="S96" i="98"/>
  <c r="J19" i="78" s="1"/>
  <c r="S103" i="98"/>
  <c r="J26" i="78" s="1"/>
  <c r="S101" i="98"/>
  <c r="J22" i="78" s="1"/>
  <c r="S99" i="98"/>
  <c r="J25" i="78" s="1"/>
  <c r="Q92" i="98"/>
  <c r="Q82" i="98"/>
  <c r="S93" i="98"/>
  <c r="J16" i="78" s="1"/>
  <c r="Q89" i="98"/>
  <c r="Q87" i="98"/>
  <c r="Q97" i="98"/>
  <c r="Q84" i="98"/>
  <c r="S83" i="98"/>
  <c r="J27" i="78" s="1"/>
  <c r="S90" i="98"/>
  <c r="J23" i="78" s="1"/>
  <c r="S88" i="98"/>
  <c r="J10" i="78" s="1"/>
  <c r="K10" i="79" s="1"/>
  <c r="Q85" i="98"/>
  <c r="S85" i="98"/>
  <c r="J12" i="78" s="1"/>
  <c r="Q91" i="98"/>
  <c r="S98" i="98"/>
  <c r="J21" i="78" s="1"/>
  <c r="Q94" i="98"/>
  <c r="S92" i="98"/>
  <c r="J11" i="78" s="1"/>
  <c r="Q101" i="98"/>
  <c r="Q99" i="98"/>
  <c r="Q96" i="98"/>
  <c r="S95" i="98"/>
  <c r="J18" i="78" s="1"/>
  <c r="S102" i="98"/>
  <c r="J29" i="78" s="1"/>
  <c r="S100" i="98"/>
  <c r="J24" i="78" s="1"/>
  <c r="S86" i="98"/>
  <c r="J9" i="78" s="1"/>
  <c r="K9" i="79" s="1"/>
  <c r="Q83" i="98"/>
  <c r="S91" i="98"/>
  <c r="J15" i="78" s="1"/>
  <c r="S89" i="98"/>
  <c r="J14" i="78" s="1"/>
  <c r="S87" i="98"/>
  <c r="J13" i="78" s="1"/>
  <c r="S97" i="98"/>
  <c r="J20" i="78" s="1"/>
  <c r="S82" i="98"/>
  <c r="J30" i="78" s="1"/>
  <c r="Q103" i="98"/>
  <c r="Q90" i="98"/>
  <c r="Q88" i="98"/>
  <c r="N89" i="98"/>
  <c r="O89" i="98" s="1"/>
  <c r="K14" i="78" s="1"/>
  <c r="Q86" i="98"/>
  <c r="N98" i="98"/>
  <c r="O98" i="98" s="1"/>
  <c r="K21" i="78" s="1"/>
  <c r="N102" i="98"/>
  <c r="O102" i="98" s="1"/>
  <c r="K29" i="78" s="1"/>
  <c r="N86" i="98"/>
  <c r="O86" i="98" s="1"/>
  <c r="K9" i="78" s="1"/>
  <c r="L9" i="79" s="1"/>
  <c r="AE115" i="85"/>
  <c r="BD115" i="85"/>
  <c r="S81" i="85"/>
  <c r="S115" i="85"/>
  <c r="J84" i="98"/>
  <c r="K84" i="98" s="1"/>
  <c r="L28" i="78" s="1"/>
  <c r="BC14" i="78"/>
  <c r="V68" i="85" s="1"/>
  <c r="U9" i="88"/>
  <c r="J88" i="98"/>
  <c r="K88" i="98" s="1"/>
  <c r="L10" i="78" s="1"/>
  <c r="N103" i="98"/>
  <c r="O103" i="98" s="1"/>
  <c r="K26" i="78" s="1"/>
  <c r="N87" i="98"/>
  <c r="O87" i="98" s="1"/>
  <c r="K13" i="78" s="1"/>
  <c r="N95" i="98"/>
  <c r="O95" i="98" s="1"/>
  <c r="K18" i="78" s="1"/>
  <c r="N100" i="98"/>
  <c r="O100" i="98" s="1"/>
  <c r="K24" i="78" s="1"/>
  <c r="J103" i="98"/>
  <c r="K103" i="98" s="1"/>
  <c r="L26" i="78" s="1"/>
  <c r="J94" i="98"/>
  <c r="K94" i="98" s="1"/>
  <c r="L17" i="78" s="1"/>
  <c r="BA10" i="78"/>
  <c r="T79" i="85" s="1"/>
  <c r="S5" i="88"/>
  <c r="N88" i="98"/>
  <c r="O88" i="98" s="1"/>
  <c r="K10" i="78" s="1"/>
  <c r="L10" i="79" s="1"/>
  <c r="BA11" i="78"/>
  <c r="T80" i="85" s="1"/>
  <c r="S6" i="88"/>
  <c r="N96" i="98"/>
  <c r="O96" i="98" s="1"/>
  <c r="K19" i="78" s="1"/>
  <c r="J96" i="98"/>
  <c r="K96" i="98" s="1"/>
  <c r="L19" i="78" s="1"/>
  <c r="J83" i="98"/>
  <c r="K83" i="98" s="1"/>
  <c r="L27" i="78" s="1"/>
  <c r="Q19" i="88"/>
  <c r="O17" i="80"/>
  <c r="O15" i="80"/>
  <c r="O16" i="80"/>
  <c r="M15" i="80"/>
  <c r="M16" i="80"/>
  <c r="M17" i="80"/>
  <c r="N16" i="80"/>
  <c r="N17" i="80"/>
  <c r="N15" i="80"/>
  <c r="O21" i="80"/>
  <c r="Q21" i="80" s="1"/>
  <c r="R21" i="80" s="1"/>
  <c r="N21" i="80" s="1"/>
  <c r="K16" i="80"/>
  <c r="K17" i="80"/>
  <c r="K15" i="80"/>
  <c r="L16" i="80"/>
  <c r="L17" i="80"/>
  <c r="L15" i="80"/>
  <c r="T17" i="88" l="1"/>
  <c r="BC22" i="78" s="1"/>
  <c r="V76" i="85" s="1"/>
  <c r="R10" i="106"/>
  <c r="Q10" i="106"/>
  <c r="R19" i="106"/>
  <c r="Q19" i="106"/>
  <c r="BB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B18" i="78"/>
  <c r="U73" i="85" s="1"/>
  <c r="S7" i="106"/>
  <c r="BC115" i="85"/>
  <c r="R81" i="85"/>
  <c r="R132" i="85" s="1"/>
  <c r="AD115" i="85"/>
  <c r="BE27" i="78"/>
  <c r="W87" i="85"/>
  <c r="BH30" i="78"/>
  <c r="Z93" i="85"/>
  <c r="S18" i="88"/>
  <c r="S19" i="88" s="1"/>
  <c r="BE19" i="78"/>
  <c r="W14" i="88"/>
  <c r="BD29" i="78"/>
  <c r="V82" i="85"/>
  <c r="O115" i="85"/>
  <c r="S12" i="78"/>
  <c r="AI13" i="78"/>
  <c r="U13" i="78"/>
  <c r="AJ13" i="78" s="1"/>
  <c r="AH19" i="78"/>
  <c r="J19" i="106"/>
  <c r="J19" i="110"/>
  <c r="T19" i="78"/>
  <c r="AI22" i="78"/>
  <c r="U22" i="78"/>
  <c r="AJ22" i="78" s="1"/>
  <c r="AI20" i="78"/>
  <c r="U20" i="78"/>
  <c r="AJ20" i="78" s="1"/>
  <c r="U10" i="78"/>
  <c r="AJ10" i="78" s="1"/>
  <c r="AI10" i="78"/>
  <c r="AI15" i="78"/>
  <c r="U15" i="78"/>
  <c r="AJ15" i="78" s="1"/>
  <c r="T12" i="88"/>
  <c r="BB17" i="78"/>
  <c r="U71" i="85" s="1"/>
  <c r="AI14" i="78"/>
  <c r="U14" i="78"/>
  <c r="AJ14" i="78" s="1"/>
  <c r="AI9" i="78"/>
  <c r="U9" i="78"/>
  <c r="AJ9" i="78" s="1"/>
  <c r="U21" i="78"/>
  <c r="AJ21" i="78" s="1"/>
  <c r="AI21" i="78"/>
  <c r="U17" i="78"/>
  <c r="AJ17" i="78" s="1"/>
  <c r="AI17" i="78"/>
  <c r="T11" i="88"/>
  <c r="BB16" i="78"/>
  <c r="U70" i="85" s="1"/>
  <c r="AI18" i="78"/>
  <c r="U18" i="78"/>
  <c r="AJ18" i="78" s="1"/>
  <c r="AI11" i="78"/>
  <c r="U11" i="78"/>
  <c r="AJ11" i="78" s="1"/>
  <c r="U16" i="78"/>
  <c r="AJ16" i="78" s="1"/>
  <c r="AI16" i="78"/>
  <c r="N105" i="98"/>
  <c r="O82" i="98"/>
  <c r="K30" i="78" s="1"/>
  <c r="P105" i="98"/>
  <c r="U10" i="106"/>
  <c r="T10" i="106"/>
  <c r="BD132" i="85"/>
  <c r="S132" i="85"/>
  <c r="BB11" i="78"/>
  <c r="U80" i="85" s="1"/>
  <c r="T6" i="88"/>
  <c r="BB12" i="78"/>
  <c r="U66" i="85" s="1"/>
  <c r="T7" i="88"/>
  <c r="BB21" i="78"/>
  <c r="U74" i="85" s="1"/>
  <c r="T16" i="88"/>
  <c r="T115" i="85"/>
  <c r="BE115" i="85"/>
  <c r="T81" i="85"/>
  <c r="AF115" i="85"/>
  <c r="BC9" i="78"/>
  <c r="V78" i="85" s="1"/>
  <c r="U4" i="88"/>
  <c r="Q105" i="98"/>
  <c r="J105" i="98"/>
  <c r="BD14" i="78"/>
  <c r="V9" i="88"/>
  <c r="BC20" i="78"/>
  <c r="V72" i="85" s="1"/>
  <c r="U15" i="88"/>
  <c r="U10" i="88"/>
  <c r="BC15" i="78"/>
  <c r="V69" i="85" s="1"/>
  <c r="BB10" i="78"/>
  <c r="U79" i="85" s="1"/>
  <c r="T5" i="88"/>
  <c r="BB13" i="78"/>
  <c r="U67" i="85" s="1"/>
  <c r="T8" i="88"/>
  <c r="BD22" i="78" l="1"/>
  <c r="W76" i="85" s="1"/>
  <c r="BC132" i="85"/>
  <c r="J89" i="92"/>
  <c r="K83" i="92"/>
  <c r="BC18" i="78"/>
  <c r="V73" i="85" s="1"/>
  <c r="U13" i="88"/>
  <c r="T7" i="106"/>
  <c r="T6" i="106" s="1"/>
  <c r="BE29" i="78"/>
  <c r="W82" i="85"/>
  <c r="BF19" i="78"/>
  <c r="X14" i="88"/>
  <c r="BI30" i="78"/>
  <c r="AA93" i="85"/>
  <c r="BF27" i="78"/>
  <c r="X87" i="85"/>
  <c r="U7" i="106"/>
  <c r="U19" i="78"/>
  <c r="AJ19" i="78" s="1"/>
  <c r="AI19" i="78"/>
  <c r="BC17" i="78"/>
  <c r="V71" i="85" s="1"/>
  <c r="U12" i="88"/>
  <c r="BC16" i="78"/>
  <c r="V70" i="85" s="1"/>
  <c r="U11" i="88"/>
  <c r="AH12" i="78"/>
  <c r="T12" i="78"/>
  <c r="J12" i="110"/>
  <c r="J12" i="106"/>
  <c r="U81" i="85"/>
  <c r="AG115" i="85"/>
  <c r="BF115" i="85"/>
  <c r="U115" i="85"/>
  <c r="W17" i="88"/>
  <c r="BE22" i="78"/>
  <c r="X76" i="85" s="1"/>
  <c r="BC11" i="78"/>
  <c r="V80" i="85" s="1"/>
  <c r="U6" i="88"/>
  <c r="BD15" i="78"/>
  <c r="V10" i="88"/>
  <c r="V15" i="88"/>
  <c r="BD20" i="78"/>
  <c r="BE132" i="85"/>
  <c r="T132" i="85"/>
  <c r="BC10" i="78"/>
  <c r="V79" i="85" s="1"/>
  <c r="U5" i="88"/>
  <c r="BD9" i="78"/>
  <c r="V4" i="88"/>
  <c r="BC13" i="78"/>
  <c r="V67" i="85" s="1"/>
  <c r="U8" i="88"/>
  <c r="W9" i="88"/>
  <c r="BE14" i="78"/>
  <c r="X68" i="85" s="1"/>
  <c r="T18" i="88"/>
  <c r="T19" i="88" s="1"/>
  <c r="W68" i="85"/>
  <c r="N14" i="111"/>
  <c r="BC21" i="78"/>
  <c r="V74" i="85" s="1"/>
  <c r="U16" i="88"/>
  <c r="BC12" i="78"/>
  <c r="V66" i="85" s="1"/>
  <c r="U7" i="88"/>
  <c r="N22" i="111" l="1"/>
  <c r="O22" i="111" s="1"/>
  <c r="K22" i="111" s="1"/>
  <c r="K89" i="92"/>
  <c r="L83" i="92"/>
  <c r="BD18" i="78"/>
  <c r="V13" i="88"/>
  <c r="U18" i="88"/>
  <c r="U19" i="88" s="1"/>
  <c r="Y87" i="85"/>
  <c r="BG27" i="78"/>
  <c r="BJ30" i="78"/>
  <c r="AB93" i="85"/>
  <c r="Y14" i="88"/>
  <c r="BG19" i="78"/>
  <c r="BF29" i="78"/>
  <c r="X82" i="85"/>
  <c r="U12" i="78"/>
  <c r="AJ12" i="78" s="1"/>
  <c r="AI12" i="78"/>
  <c r="BD16" i="78"/>
  <c r="V11" i="88"/>
  <c r="V12" i="88"/>
  <c r="BD17" i="78"/>
  <c r="V16" i="88"/>
  <c r="BD21" i="78"/>
  <c r="BE15" i="78"/>
  <c r="X69" i="85" s="1"/>
  <c r="W10" i="88"/>
  <c r="N9" i="111"/>
  <c r="W78" i="85"/>
  <c r="O14" i="111"/>
  <c r="K14" i="111" s="1"/>
  <c r="BD10" i="78"/>
  <c r="V5" i="88"/>
  <c r="X17" i="88"/>
  <c r="BF22" i="78"/>
  <c r="Y76" i="85" s="1"/>
  <c r="BD11" i="78"/>
  <c r="V6" i="88"/>
  <c r="X9" i="88"/>
  <c r="BF14" i="78"/>
  <c r="Y68" i="85" s="1"/>
  <c r="BD13" i="78"/>
  <c r="V8" i="88"/>
  <c r="N15" i="111"/>
  <c r="W69" i="85"/>
  <c r="BD12" i="78"/>
  <c r="V7" i="88"/>
  <c r="W72" i="85"/>
  <c r="N20" i="111"/>
  <c r="V81" i="85"/>
  <c r="V115" i="85"/>
  <c r="AH115" i="85"/>
  <c r="BG115" i="85"/>
  <c r="BE20" i="78"/>
  <c r="X72" i="85" s="1"/>
  <c r="W15" i="88"/>
  <c r="BF132" i="85"/>
  <c r="U132" i="85"/>
  <c r="BE9" i="78"/>
  <c r="X78" i="85" s="1"/>
  <c r="W4" i="88"/>
  <c r="L89" i="92" l="1"/>
  <c r="M83" i="92"/>
  <c r="BE18" i="78"/>
  <c r="X73" i="85" s="1"/>
  <c r="W13" i="88"/>
  <c r="N18" i="111"/>
  <c r="O18" i="111" s="1"/>
  <c r="K18" i="111" s="1"/>
  <c r="W73" i="85"/>
  <c r="BG29" i="78"/>
  <c r="Y82" i="85"/>
  <c r="BH19" i="78"/>
  <c r="Z14" i="88"/>
  <c r="BK30" i="78"/>
  <c r="BL30" i="78" s="1"/>
  <c r="BM30" i="78" s="1"/>
  <c r="BN30" i="78" s="1"/>
  <c r="BO30" i="78" s="1"/>
  <c r="BP30" i="78" s="1"/>
  <c r="BQ30" i="78" s="1"/>
  <c r="BR30" i="78" s="1"/>
  <c r="BS30" i="78" s="1"/>
  <c r="BT30" i="78" s="1"/>
  <c r="AC93" i="85"/>
  <c r="BH27" i="78"/>
  <c r="Z87" i="85"/>
  <c r="W71" i="85"/>
  <c r="N17" i="111"/>
  <c r="W12" i="88"/>
  <c r="BE17" i="78"/>
  <c r="X71" i="85" s="1"/>
  <c r="W11" i="88"/>
  <c r="BE16" i="78"/>
  <c r="X70" i="85" s="1"/>
  <c r="V18" i="88"/>
  <c r="V19" i="88" s="1"/>
  <c r="N16" i="111"/>
  <c r="O16" i="111" s="1"/>
  <c r="K16" i="111" s="1"/>
  <c r="W70" i="85"/>
  <c r="BF9" i="78"/>
  <c r="Y78" i="85" s="1"/>
  <c r="X4" i="88"/>
  <c r="O20" i="111"/>
  <c r="K20" i="111" s="1"/>
  <c r="BE12" i="78"/>
  <c r="X66" i="85" s="1"/>
  <c r="W7" i="88"/>
  <c r="O15" i="111"/>
  <c r="K15" i="111" s="1"/>
  <c r="BF20" i="78"/>
  <c r="Y72" i="85" s="1"/>
  <c r="X15" i="88"/>
  <c r="BE13" i="78"/>
  <c r="X67" i="85" s="1"/>
  <c r="W8" i="88"/>
  <c r="N12" i="111"/>
  <c r="W66" i="85"/>
  <c r="N13" i="111"/>
  <c r="W67" i="85"/>
  <c r="O9" i="111"/>
  <c r="K9" i="111" s="1"/>
  <c r="BE10" i="78"/>
  <c r="X79" i="85" s="1"/>
  <c r="W5" i="88"/>
  <c r="N10" i="111"/>
  <c r="W79" i="85"/>
  <c r="X10" i="88"/>
  <c r="BF15" i="78"/>
  <c r="Y69" i="85" s="1"/>
  <c r="Y17" i="88"/>
  <c r="BG22" i="78"/>
  <c r="Z76" i="85" s="1"/>
  <c r="BG14" i="78"/>
  <c r="Z68" i="85" s="1"/>
  <c r="Y9" i="88"/>
  <c r="W6" i="88"/>
  <c r="BE11" i="78"/>
  <c r="X80" i="85" s="1"/>
  <c r="N21" i="111"/>
  <c r="W74" i="85"/>
  <c r="BG132" i="85"/>
  <c r="V132" i="85"/>
  <c r="W80" i="85"/>
  <c r="N11" i="111"/>
  <c r="BE21" i="78"/>
  <c r="X74" i="85" s="1"/>
  <c r="W16" i="88"/>
  <c r="N83" i="92" l="1"/>
  <c r="M89" i="92"/>
  <c r="BF18" i="78"/>
  <c r="Y73" i="85" s="1"/>
  <c r="X13" i="88"/>
  <c r="BI27" i="78"/>
  <c r="AA87" i="85"/>
  <c r="BI19" i="78"/>
  <c r="AA14" i="88"/>
  <c r="BH29" i="78"/>
  <c r="Z82" i="85"/>
  <c r="BF16" i="78"/>
  <c r="Y70" i="85" s="1"/>
  <c r="X11" i="88"/>
  <c r="BF17" i="78"/>
  <c r="Y71" i="85" s="1"/>
  <c r="X12" i="88"/>
  <c r="O17" i="111"/>
  <c r="K17" i="111" s="1"/>
  <c r="X6" i="88"/>
  <c r="BF11" i="78"/>
  <c r="Y80" i="85" s="1"/>
  <c r="X16" i="88"/>
  <c r="BF21" i="78"/>
  <c r="Y74" i="85" s="1"/>
  <c r="O11" i="111"/>
  <c r="K11" i="111" s="1"/>
  <c r="X7" i="88"/>
  <c r="BF12" i="78"/>
  <c r="Y66" i="85" s="1"/>
  <c r="BF10" i="78"/>
  <c r="Y79" i="85" s="1"/>
  <c r="X5" i="88"/>
  <c r="Z17" i="88"/>
  <c r="BH22" i="78"/>
  <c r="AA76" i="85" s="1"/>
  <c r="O13" i="111"/>
  <c r="K13" i="111" s="1"/>
  <c r="X81" i="85"/>
  <c r="X115" i="85"/>
  <c r="AJ115" i="85"/>
  <c r="BI115" i="85"/>
  <c r="W115" i="85"/>
  <c r="AI115" i="85"/>
  <c r="BH115" i="85"/>
  <c r="W81" i="85"/>
  <c r="Z9" i="88"/>
  <c r="BH14" i="78"/>
  <c r="AA68" i="85" s="1"/>
  <c r="BG15" i="78"/>
  <c r="Z69" i="85" s="1"/>
  <c r="Y10" i="88"/>
  <c r="O12" i="111"/>
  <c r="K12" i="111" s="1"/>
  <c r="BG20" i="78"/>
  <c r="Z72" i="85" s="1"/>
  <c r="Y15" i="88"/>
  <c r="BF13" i="78"/>
  <c r="Y67" i="85" s="1"/>
  <c r="X8" i="88"/>
  <c r="Y4" i="88"/>
  <c r="BG9" i="78"/>
  <c r="Z78" i="85" s="1"/>
  <c r="O21" i="111"/>
  <c r="K21" i="111" s="1"/>
  <c r="O10" i="111"/>
  <c r="K10" i="111" s="1"/>
  <c r="W18" i="88"/>
  <c r="W19" i="88" s="1"/>
  <c r="N89" i="92" l="1"/>
  <c r="O83" i="92"/>
  <c r="Y13" i="88"/>
  <c r="BG18" i="78"/>
  <c r="Z73" i="85" s="1"/>
  <c r="BI29" i="78"/>
  <c r="AA82" i="85"/>
  <c r="BJ19" i="78"/>
  <c r="AB14" i="88"/>
  <c r="BJ27" i="78"/>
  <c r="AB87" i="85"/>
  <c r="Y12" i="88"/>
  <c r="BG17" i="78"/>
  <c r="Z71" i="85" s="1"/>
  <c r="Y11" i="88"/>
  <c r="BG16" i="78"/>
  <c r="Z70" i="85" s="1"/>
  <c r="BG13" i="78"/>
  <c r="Z67" i="85" s="1"/>
  <c r="Y8" i="88"/>
  <c r="BJ115" i="85"/>
  <c r="Y81" i="85"/>
  <c r="Y115" i="85"/>
  <c r="AK115" i="85"/>
  <c r="Z15" i="88"/>
  <c r="BH20" i="78"/>
  <c r="AA72" i="85" s="1"/>
  <c r="X132" i="85"/>
  <c r="BI132" i="85"/>
  <c r="BG12" i="78"/>
  <c r="Z66" i="85" s="1"/>
  <c r="Y7" i="88"/>
  <c r="BH15" i="78"/>
  <c r="AA69" i="85" s="1"/>
  <c r="Z10" i="88"/>
  <c r="Y16" i="88"/>
  <c r="BG21" i="78"/>
  <c r="Z74" i="85" s="1"/>
  <c r="BI14" i="78"/>
  <c r="AB68" i="85" s="1"/>
  <c r="AA9" i="88"/>
  <c r="BI22" i="78"/>
  <c r="AB76" i="85" s="1"/>
  <c r="AA17" i="88"/>
  <c r="X18" i="88"/>
  <c r="X19" i="88" s="1"/>
  <c r="BH132" i="85"/>
  <c r="W132" i="85"/>
  <c r="BG10" i="78"/>
  <c r="Z79" i="85" s="1"/>
  <c r="Y5" i="88"/>
  <c r="Z4" i="88"/>
  <c r="BH9" i="78"/>
  <c r="AA78" i="85" s="1"/>
  <c r="Y6" i="88"/>
  <c r="BG11" i="78"/>
  <c r="Z80" i="85" s="1"/>
  <c r="O89" i="92" l="1"/>
  <c r="P83" i="92"/>
  <c r="Z13" i="88"/>
  <c r="BH18" i="78"/>
  <c r="AA73" i="85" s="1"/>
  <c r="AC87" i="85"/>
  <c r="BK27" i="78"/>
  <c r="BL27" i="78" s="1"/>
  <c r="BM27" i="78" s="1"/>
  <c r="BN27" i="78" s="1"/>
  <c r="BO27" i="78" s="1"/>
  <c r="BP27" i="78" s="1"/>
  <c r="BQ27" i="78" s="1"/>
  <c r="BR27" i="78" s="1"/>
  <c r="BS27" i="78" s="1"/>
  <c r="BT27" i="78" s="1"/>
  <c r="BU27" i="78" s="1"/>
  <c r="BK19" i="78"/>
  <c r="AC14" i="88"/>
  <c r="BJ29" i="78"/>
  <c r="AB82" i="85"/>
  <c r="BH16" i="78"/>
  <c r="AA70" i="85" s="1"/>
  <c r="Z11" i="88"/>
  <c r="BH17" i="78"/>
  <c r="AA71" i="85" s="1"/>
  <c r="Z12" i="88"/>
  <c r="BJ22" i="78"/>
  <c r="AC76" i="85" s="1"/>
  <c r="AB17" i="88"/>
  <c r="BH11" i="78"/>
  <c r="AA80" i="85" s="1"/>
  <c r="Z6" i="88"/>
  <c r="BH10" i="78"/>
  <c r="AA79" i="85" s="1"/>
  <c r="Z5" i="88"/>
  <c r="BH21" i="78"/>
  <c r="AA74" i="85" s="1"/>
  <c r="Z16" i="88"/>
  <c r="AA15" i="88"/>
  <c r="BI20" i="78"/>
  <c r="AB72" i="85" s="1"/>
  <c r="AB9" i="88"/>
  <c r="BJ14" i="78"/>
  <c r="AC68" i="85" s="1"/>
  <c r="BI15" i="78"/>
  <c r="AB69" i="85" s="1"/>
  <c r="AA10" i="88"/>
  <c r="Z7" i="88"/>
  <c r="BH12" i="78"/>
  <c r="AA66" i="85" s="1"/>
  <c r="Y132" i="85"/>
  <c r="BJ132" i="85"/>
  <c r="BI9" i="78"/>
  <c r="AB78" i="85" s="1"/>
  <c r="AA4" i="88"/>
  <c r="Z115" i="85"/>
  <c r="AL115" i="85"/>
  <c r="BK115" i="85"/>
  <c r="Z81" i="85"/>
  <c r="Y18" i="88"/>
  <c r="Y19" i="88" s="1"/>
  <c r="BH13" i="78"/>
  <c r="AA67" i="85" s="1"/>
  <c r="Z8" i="88"/>
  <c r="Q83" i="92" l="1"/>
  <c r="P89" i="92"/>
  <c r="BI18" i="78"/>
  <c r="AB73" i="85" s="1"/>
  <c r="AA13" i="88"/>
  <c r="Z18" i="88"/>
  <c r="Z19" i="88" s="1"/>
  <c r="P20" i="88" s="1"/>
  <c r="BK29" i="78"/>
  <c r="BL29" i="78" s="1"/>
  <c r="BM29" i="78" s="1"/>
  <c r="BN29" i="78" s="1"/>
  <c r="BO29" i="78" s="1"/>
  <c r="BP29" i="78" s="1"/>
  <c r="BQ29" i="78" s="1"/>
  <c r="BR29" i="78" s="1"/>
  <c r="AC82" i="85"/>
  <c r="BL19" i="78"/>
  <c r="AD14" i="88"/>
  <c r="BI17" i="78"/>
  <c r="AB71" i="85" s="1"/>
  <c r="AA12" i="88"/>
  <c r="AA11" i="88"/>
  <c r="BI16" i="78"/>
  <c r="AB70" i="85" s="1"/>
  <c r="BJ20" i="78"/>
  <c r="AC72" i="85" s="1"/>
  <c r="AB15" i="88"/>
  <c r="BJ9" i="78"/>
  <c r="AC78" i="85" s="1"/>
  <c r="AB4" i="88"/>
  <c r="BI21" i="78"/>
  <c r="AB74" i="85" s="1"/>
  <c r="AA16" i="88"/>
  <c r="BI13" i="78"/>
  <c r="AB67" i="85" s="1"/>
  <c r="AA8" i="88"/>
  <c r="BI10" i="78"/>
  <c r="AB79" i="85" s="1"/>
  <c r="AA5" i="88"/>
  <c r="BL115" i="85"/>
  <c r="AA81" i="85"/>
  <c r="AA115" i="85"/>
  <c r="AM115" i="85"/>
  <c r="BI12" i="78"/>
  <c r="AB66" i="85" s="1"/>
  <c r="AA7" i="88"/>
  <c r="BJ15" i="78"/>
  <c r="AC69" i="85" s="1"/>
  <c r="AB10" i="88"/>
  <c r="BI11" i="78"/>
  <c r="AB80" i="85" s="1"/>
  <c r="AA6" i="88"/>
  <c r="Z132" i="85"/>
  <c r="BK132" i="85"/>
  <c r="BK22" i="78"/>
  <c r="AC17" i="88"/>
  <c r="BK14" i="78"/>
  <c r="AC9" i="88"/>
  <c r="R83" i="92" l="1"/>
  <c r="Q89" i="92"/>
  <c r="AB13" i="88"/>
  <c r="BJ18" i="78"/>
  <c r="AC73" i="85" s="1"/>
  <c r="AE14" i="88"/>
  <c r="BM19" i="78"/>
  <c r="BJ16" i="78"/>
  <c r="AC70" i="85" s="1"/>
  <c r="AB11" i="88"/>
  <c r="BJ17" i="78"/>
  <c r="AC71" i="85" s="1"/>
  <c r="AB12" i="88"/>
  <c r="BL14" i="78"/>
  <c r="AD9" i="88"/>
  <c r="BJ12" i="78"/>
  <c r="AC66" i="85" s="1"/>
  <c r="AB7" i="88"/>
  <c r="BJ13" i="78"/>
  <c r="AC67" i="85" s="1"/>
  <c r="AB8" i="88"/>
  <c r="BJ10" i="78"/>
  <c r="AC79" i="85" s="1"/>
  <c r="AB5" i="88"/>
  <c r="AB81" i="85"/>
  <c r="AN115" i="85"/>
  <c r="AB115" i="85"/>
  <c r="BM115" i="85"/>
  <c r="AD17" i="88"/>
  <c r="BL22" i="78"/>
  <c r="BJ21" i="78"/>
  <c r="AC74" i="85" s="1"/>
  <c r="AB16" i="88"/>
  <c r="BK15" i="78"/>
  <c r="AC10" i="88"/>
  <c r="AA18" i="88"/>
  <c r="AA19" i="88" s="1"/>
  <c r="BK9" i="78"/>
  <c r="AC4" i="88"/>
  <c r="AC15" i="88"/>
  <c r="BK20" i="78"/>
  <c r="BJ11" i="78"/>
  <c r="AC80" i="85" s="1"/>
  <c r="AB6" i="88"/>
  <c r="BL132" i="85"/>
  <c r="AA132" i="85"/>
  <c r="R89" i="92" l="1"/>
  <c r="S83" i="92"/>
  <c r="S89" i="92" s="1"/>
  <c r="AC13" i="88"/>
  <c r="BK18" i="78"/>
  <c r="AB18" i="88"/>
  <c r="AB19" i="88" s="1"/>
  <c r="BN19" i="78"/>
  <c r="AF14" i="88"/>
  <c r="BK17" i="78"/>
  <c r="AC12" i="88"/>
  <c r="BK16" i="78"/>
  <c r="AC11" i="88"/>
  <c r="BM22" i="78"/>
  <c r="AE17" i="88"/>
  <c r="AB132" i="85"/>
  <c r="BM132" i="85"/>
  <c r="AC6" i="88"/>
  <c r="BK11" i="78"/>
  <c r="BK10" i="78"/>
  <c r="AC5" i="88"/>
  <c r="BL15" i="78"/>
  <c r="AD10" i="88"/>
  <c r="BK13" i="78"/>
  <c r="AC8" i="88"/>
  <c r="AD15" i="88"/>
  <c r="BL20" i="78"/>
  <c r="BK21" i="78"/>
  <c r="AC16" i="88"/>
  <c r="AC7" i="88"/>
  <c r="BK12" i="78"/>
  <c r="AC115" i="85"/>
  <c r="AC81" i="85"/>
  <c r="AO115" i="85"/>
  <c r="BN115" i="85"/>
  <c r="AD4" i="88"/>
  <c r="BL9" i="78"/>
  <c r="AE9" i="88"/>
  <c r="BM14" i="78"/>
  <c r="AD13" i="88" l="1"/>
  <c r="BL18" i="78"/>
  <c r="BO19" i="78"/>
  <c r="AG14" i="88"/>
  <c r="BL16" i="78"/>
  <c r="AD11" i="88"/>
  <c r="BL17" i="78"/>
  <c r="AD12" i="88"/>
  <c r="AD7" i="88"/>
  <c r="BL12" i="78"/>
  <c r="AF9" i="88"/>
  <c r="BN14" i="78"/>
  <c r="AD16" i="88"/>
  <c r="BL21" i="78"/>
  <c r="BL10" i="78"/>
  <c r="AD5" i="88"/>
  <c r="AC18" i="88"/>
  <c r="AC19" i="88" s="1"/>
  <c r="BM9" i="78"/>
  <c r="AE4" i="88"/>
  <c r="BL11" i="78"/>
  <c r="AD6" i="88"/>
  <c r="AE15" i="88"/>
  <c r="BM20" i="78"/>
  <c r="AD8" i="88"/>
  <c r="BL13" i="78"/>
  <c r="AF17" i="88"/>
  <c r="BN22" i="78"/>
  <c r="BN132" i="85"/>
  <c r="AC132" i="85"/>
  <c r="AE10" i="88"/>
  <c r="BM15" i="78"/>
  <c r="AE13" i="88" l="1"/>
  <c r="BM18" i="78"/>
  <c r="BP19" i="78"/>
  <c r="AH14" i="88"/>
  <c r="BM17" i="78"/>
  <c r="AE12" i="88"/>
  <c r="AD18" i="88"/>
  <c r="AD19" i="88" s="1"/>
  <c r="BM16" i="78"/>
  <c r="AE11" i="88"/>
  <c r="AF15" i="88"/>
  <c r="BN20" i="78"/>
  <c r="BM10" i="78"/>
  <c r="AE5" i="88"/>
  <c r="BM11" i="78"/>
  <c r="AE6" i="88"/>
  <c r="AF10" i="88"/>
  <c r="BN15" i="78"/>
  <c r="AE16" i="88"/>
  <c r="BM21" i="78"/>
  <c r="BO14" i="78"/>
  <c r="AG9" i="88"/>
  <c r="BM13" i="78"/>
  <c r="AE8" i="88"/>
  <c r="AF4" i="88"/>
  <c r="BN9" i="78"/>
  <c r="BO22" i="78"/>
  <c r="AG17" i="88"/>
  <c r="AE7" i="88"/>
  <c r="BM12" i="78"/>
  <c r="AF13" i="88" l="1"/>
  <c r="BN18" i="78"/>
  <c r="BQ19" i="78"/>
  <c r="AI14" i="88"/>
  <c r="AF11" i="88"/>
  <c r="BN16" i="78"/>
  <c r="AF12" i="88"/>
  <c r="BN17" i="78"/>
  <c r="BN21" i="78"/>
  <c r="AF16" i="88"/>
  <c r="BN12" i="78"/>
  <c r="AF7" i="88"/>
  <c r="AG10" i="88"/>
  <c r="BO15" i="78"/>
  <c r="BN11" i="78"/>
  <c r="AF6" i="88"/>
  <c r="BO9" i="78"/>
  <c r="AG4" i="88"/>
  <c r="BN10" i="78"/>
  <c r="AF5" i="88"/>
  <c r="AH17" i="88"/>
  <c r="BP22" i="78"/>
  <c r="AE18" i="88"/>
  <c r="AE19" i="88" s="1"/>
  <c r="AF8" i="88"/>
  <c r="BN13" i="78"/>
  <c r="BP14" i="78"/>
  <c r="AH9" i="88"/>
  <c r="AG15" i="88"/>
  <c r="BO20" i="78"/>
  <c r="BO18" i="78" l="1"/>
  <c r="AG13" i="88"/>
  <c r="AF18" i="88"/>
  <c r="AF19" i="88" s="1"/>
  <c r="BR19" i="78"/>
  <c r="AJ14" i="88"/>
  <c r="BO17" i="78"/>
  <c r="AG12" i="88"/>
  <c r="AG11" i="88"/>
  <c r="BO16" i="78"/>
  <c r="AI9" i="88"/>
  <c r="BQ14" i="78"/>
  <c r="BO13" i="78"/>
  <c r="AG8" i="88"/>
  <c r="BO11" i="78"/>
  <c r="AG6" i="88"/>
  <c r="BP20" i="78"/>
  <c r="AH15" i="88"/>
  <c r="AH10" i="88"/>
  <c r="BP15" i="78"/>
  <c r="BQ22" i="78"/>
  <c r="AI17" i="88"/>
  <c r="BO12" i="78"/>
  <c r="AG7" i="88"/>
  <c r="BO10" i="78"/>
  <c r="AG5" i="88"/>
  <c r="BO21" i="78"/>
  <c r="AG16" i="88"/>
  <c r="BP9" i="78"/>
  <c r="AH4" i="88"/>
  <c r="AH13" i="88" l="1"/>
  <c r="BP18" i="78"/>
  <c r="BS19" i="78"/>
  <c r="AK14" i="88"/>
  <c r="AL14" i="88" s="1"/>
  <c r="AM14" i="88" s="1"/>
  <c r="AN14" i="88" s="1"/>
  <c r="AO14" i="88" s="1"/>
  <c r="AG18" i="88"/>
  <c r="AG19" i="88" s="1"/>
  <c r="BP16" i="78"/>
  <c r="AH11" i="88"/>
  <c r="BP17" i="78"/>
  <c r="AH12" i="88"/>
  <c r="BP21" i="78"/>
  <c r="AH16" i="88"/>
  <c r="BP11" i="78"/>
  <c r="AH6" i="88"/>
  <c r="BQ20" i="78"/>
  <c r="AI15" i="88"/>
  <c r="BP10" i="78"/>
  <c r="AH5" i="88"/>
  <c r="AI4" i="88"/>
  <c r="BQ9" i="78"/>
  <c r="BP12" i="78"/>
  <c r="AH7" i="88"/>
  <c r="BP13" i="78"/>
  <c r="AH8" i="88"/>
  <c r="BQ15" i="78"/>
  <c r="AI10" i="88"/>
  <c r="BR22" i="78"/>
  <c r="AJ17" i="88"/>
  <c r="BR14" i="78"/>
  <c r="AJ9" i="88"/>
  <c r="BQ18" i="78" l="1"/>
  <c r="AI13" i="88"/>
  <c r="AH18" i="88"/>
  <c r="AH19" i="88" s="1"/>
  <c r="AP14" i="88"/>
  <c r="AQ14" i="88" s="1"/>
  <c r="AR14" i="88" s="1"/>
  <c r="AS14" i="88" s="1"/>
  <c r="AT14" i="88" s="1"/>
  <c r="BU19" i="78" s="1"/>
  <c r="BT19" i="78"/>
  <c r="BQ17" i="78"/>
  <c r="AI12" i="88"/>
  <c r="BQ16" i="78"/>
  <c r="AI11" i="88"/>
  <c r="BQ10" i="78"/>
  <c r="AI5" i="88"/>
  <c r="AJ10" i="88"/>
  <c r="BR15" i="78"/>
  <c r="BS22" i="78"/>
  <c r="AK17" i="88"/>
  <c r="AL17" i="88" s="1"/>
  <c r="AM17" i="88" s="1"/>
  <c r="AN17" i="88" s="1"/>
  <c r="AO17" i="88" s="1"/>
  <c r="BR20" i="78"/>
  <c r="AJ15" i="88"/>
  <c r="BS14" i="78"/>
  <c r="AK9" i="88"/>
  <c r="AL9" i="88" s="1"/>
  <c r="AM9" i="88" s="1"/>
  <c r="AN9" i="88" s="1"/>
  <c r="AO9" i="88" s="1"/>
  <c r="BQ13" i="78"/>
  <c r="AI8" i="88"/>
  <c r="BR9" i="78"/>
  <c r="AJ4" i="88"/>
  <c r="BQ11" i="78"/>
  <c r="AI6" i="88"/>
  <c r="BQ12" i="78"/>
  <c r="AI7" i="88"/>
  <c r="BQ21" i="78"/>
  <c r="AI16" i="88"/>
  <c r="AJ13" i="88" l="1"/>
  <c r="BR18" i="78"/>
  <c r="BR16" i="78"/>
  <c r="AJ11" i="88"/>
  <c r="BR17" i="78"/>
  <c r="AJ12" i="88"/>
  <c r="AK15" i="88"/>
  <c r="AL15" i="88" s="1"/>
  <c r="AM15" i="88" s="1"/>
  <c r="AN15" i="88" s="1"/>
  <c r="AO15" i="88" s="1"/>
  <c r="BS20" i="78"/>
  <c r="BR11" i="78"/>
  <c r="AJ6" i="88"/>
  <c r="BR12" i="78"/>
  <c r="AJ7" i="88"/>
  <c r="AP17" i="88"/>
  <c r="AQ17" i="88" s="1"/>
  <c r="AR17" i="88" s="1"/>
  <c r="AS17" i="88" s="1"/>
  <c r="AT17" i="88" s="1"/>
  <c r="BU22" i="78" s="1"/>
  <c r="BT22" i="78"/>
  <c r="BS9" i="78"/>
  <c r="AK4" i="88"/>
  <c r="BR21" i="78"/>
  <c r="AJ16" i="88"/>
  <c r="AI18" i="88"/>
  <c r="AI19" i="88" s="1"/>
  <c r="AK10" i="88"/>
  <c r="AL10" i="88" s="1"/>
  <c r="AM10" i="88" s="1"/>
  <c r="AN10" i="88" s="1"/>
  <c r="AO10" i="88" s="1"/>
  <c r="BS15" i="78"/>
  <c r="BT14" i="78"/>
  <c r="AP9" i="88"/>
  <c r="AQ9" i="88" s="1"/>
  <c r="AR9" i="88" s="1"/>
  <c r="AS9" i="88" s="1"/>
  <c r="AT9" i="88" s="1"/>
  <c r="BU14" i="78" s="1"/>
  <c r="BR13" i="78"/>
  <c r="AJ8" i="88"/>
  <c r="BR10" i="78"/>
  <c r="AJ5" i="88"/>
  <c r="AK13" i="88" l="1"/>
  <c r="AL13" i="88" s="1"/>
  <c r="AM13" i="88" s="1"/>
  <c r="AN13" i="88" s="1"/>
  <c r="AO13" i="88" s="1"/>
  <c r="BS18" i="78"/>
  <c r="AK12" i="88"/>
  <c r="AL12" i="88" s="1"/>
  <c r="AM12" i="88" s="1"/>
  <c r="AN12" i="88" s="1"/>
  <c r="AO12" i="88" s="1"/>
  <c r="BS17" i="78"/>
  <c r="AK11" i="88"/>
  <c r="AL11" i="88" s="1"/>
  <c r="AM11" i="88" s="1"/>
  <c r="AN11" i="88" s="1"/>
  <c r="AO11" i="88" s="1"/>
  <c r="BS16" i="78"/>
  <c r="BS10" i="78"/>
  <c r="AK5" i="88"/>
  <c r="AL5" i="88" s="1"/>
  <c r="AM5" i="88" s="1"/>
  <c r="AN5" i="88" s="1"/>
  <c r="AO5" i="88" s="1"/>
  <c r="AJ18" i="88"/>
  <c r="AJ19" i="88" s="1"/>
  <c r="AK7" i="88"/>
  <c r="AL7" i="88" s="1"/>
  <c r="AM7" i="88" s="1"/>
  <c r="AN7" i="88" s="1"/>
  <c r="AO7" i="88" s="1"/>
  <c r="BS12" i="78"/>
  <c r="BS13" i="78"/>
  <c r="AK8" i="88"/>
  <c r="AL8" i="88" s="1"/>
  <c r="AM8" i="88" s="1"/>
  <c r="AN8" i="88" s="1"/>
  <c r="AO8" i="88" s="1"/>
  <c r="BT15" i="78"/>
  <c r="AP10" i="88"/>
  <c r="AQ10" i="88" s="1"/>
  <c r="AR10" i="88" s="1"/>
  <c r="AS10" i="88" s="1"/>
  <c r="AT10" i="88" s="1"/>
  <c r="BU15" i="78" s="1"/>
  <c r="AK6" i="88"/>
  <c r="AL6" i="88" s="1"/>
  <c r="AM6" i="88" s="1"/>
  <c r="AN6" i="88" s="1"/>
  <c r="AO6" i="88" s="1"/>
  <c r="BS11" i="78"/>
  <c r="BS21" i="78"/>
  <c r="AK16" i="88"/>
  <c r="AL16" i="88" s="1"/>
  <c r="AM16" i="88" s="1"/>
  <c r="AN16" i="88" s="1"/>
  <c r="AO16" i="88" s="1"/>
  <c r="AL4" i="88"/>
  <c r="BT20" i="78"/>
  <c r="AP15" i="88"/>
  <c r="AQ15" i="88" s="1"/>
  <c r="AR15" i="88" s="1"/>
  <c r="AS15" i="88" s="1"/>
  <c r="AT15" i="88" s="1"/>
  <c r="BU20" i="78" s="1"/>
  <c r="AP13" i="88" l="1"/>
  <c r="AQ13" i="88" s="1"/>
  <c r="AR13" i="88" s="1"/>
  <c r="AS13" i="88" s="1"/>
  <c r="AT13" i="88" s="1"/>
  <c r="BU18" i="78" s="1"/>
  <c r="BT18" i="78"/>
  <c r="BT16" i="78"/>
  <c r="AP11" i="88"/>
  <c r="AQ11" i="88" s="1"/>
  <c r="AR11" i="88" s="1"/>
  <c r="AS11" i="88" s="1"/>
  <c r="AT11" i="88" s="1"/>
  <c r="BU16" i="78" s="1"/>
  <c r="AP12" i="88"/>
  <c r="AQ12" i="88" s="1"/>
  <c r="AR12" i="88" s="1"/>
  <c r="AS12" i="88" s="1"/>
  <c r="AT12" i="88" s="1"/>
  <c r="BU17" i="78" s="1"/>
  <c r="BT17" i="78"/>
  <c r="BT13" i="78"/>
  <c r="AP8" i="88"/>
  <c r="AQ8" i="88" s="1"/>
  <c r="AR8" i="88" s="1"/>
  <c r="AS8" i="88" s="1"/>
  <c r="AT8" i="88" s="1"/>
  <c r="BU13" i="78" s="1"/>
  <c r="BT11" i="78"/>
  <c r="AP6" i="88"/>
  <c r="AQ6" i="88" s="1"/>
  <c r="AR6" i="88" s="1"/>
  <c r="AS6" i="88" s="1"/>
  <c r="AT6" i="88" s="1"/>
  <c r="BU11" i="78" s="1"/>
  <c r="BT12" i="78"/>
  <c r="AP7" i="88"/>
  <c r="AQ7" i="88" s="1"/>
  <c r="AR7" i="88" s="1"/>
  <c r="AS7" i="88" s="1"/>
  <c r="AT7" i="88" s="1"/>
  <c r="BU12" i="78" s="1"/>
  <c r="AL18" i="88"/>
  <c r="AM4" i="88"/>
  <c r="AK18" i="88"/>
  <c r="AK19" i="88" s="1"/>
  <c r="BT10" i="78"/>
  <c r="AP5" i="88"/>
  <c r="AQ5" i="88" s="1"/>
  <c r="AR5" i="88" s="1"/>
  <c r="AS5" i="88" s="1"/>
  <c r="AT5" i="88" s="1"/>
  <c r="BU10" i="78" s="1"/>
  <c r="AP16" i="88"/>
  <c r="AQ16" i="88" s="1"/>
  <c r="AR16" i="88" s="1"/>
  <c r="AS16" i="88" s="1"/>
  <c r="AT16" i="88" s="1"/>
  <c r="BU21" i="78" s="1"/>
  <c r="BT21" i="78"/>
  <c r="AN4" i="88" l="1"/>
  <c r="AM18" i="88"/>
  <c r="AM19" i="88" s="1"/>
  <c r="AL19" i="88"/>
  <c r="AO4" i="88" l="1"/>
  <c r="AN18" i="88"/>
  <c r="AN19" i="88" s="1"/>
  <c r="BT9" i="78" l="1"/>
  <c r="AP4" i="88"/>
  <c r="AO18" i="88"/>
  <c r="AO19" i="88" s="1"/>
  <c r="AQ4" i="88" l="1"/>
  <c r="AP18" i="88"/>
  <c r="AP19" i="88" s="1"/>
  <c r="AQ18" i="88" l="1"/>
  <c r="AQ19" i="88" s="1"/>
  <c r="AR4" i="88"/>
  <c r="AR18" i="88" l="1"/>
  <c r="AR19" i="88" s="1"/>
  <c r="AS4" i="88"/>
  <c r="AT4" i="88" l="1"/>
  <c r="AS18" i="88"/>
  <c r="AS19" i="88" s="1"/>
  <c r="AT18" i="88" l="1"/>
  <c r="AT19" i="88" s="1"/>
  <c r="BU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Ken Noble</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H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L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M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O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K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F7" authorId="5" shapeId="0" xr:uid="{8906CF29-A1A2-440B-82AE-C285DD375D84}">
      <text>
        <r>
          <rPr>
            <sz val="8"/>
            <color indexed="81"/>
            <rFont val="Tahoma"/>
            <family val="2"/>
          </rPr>
          <t>If Process Activity is: Output-based, leave blank.
Input-based, insert I.</t>
        </r>
      </text>
    </comment>
    <comment ref="AN9" authorId="6"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O9" authorId="7"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H23" authorId="8"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N24" authorId="9"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S26" authorId="10"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H26" authorId="11"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K26" authorId="12"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V26" authorId="13"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V27" authorId="14"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J28" authorId="15"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V29" authorId="16"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I10" authorId="9"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0"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1"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2"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3"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4"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5"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6"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7"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8"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19"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0"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0"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1"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2"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3"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4"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5"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6"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7"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8"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29"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0"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1"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2"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3"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4"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5"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6"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7"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8"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tc={FE695E8C-356E-4088-BD2F-4F43564913AC}</author>
  </authors>
  <commentList>
    <comment ref="C6" authorId="0"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<sst xmlns="http://schemas.openxmlformats.org/spreadsheetml/2006/main" count="8680" uniqueCount="2512">
  <si>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</si>
  <si>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</si>
  <si>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</si>
  <si>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</si>
  <si>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</si>
  <si>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</si>
  <si>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</si>
  <si>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</si>
  <si>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</si>
  <si>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</si>
  <si>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</si>
  <si>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</si>
  <si>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</si>
  <si>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</si>
  <si>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</si>
  <si>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</si>
  <si>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</si>
  <si>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</si>
  <si>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</si>
  <si>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</si>
  <si>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</si>
  <si>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</si>
  <si>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</si>
  <si>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</si>
  <si>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</si>
  <si>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</si>
  <si>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</si>
  <si>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</si>
  <si>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</si>
  <si>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</si>
  <si>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</si>
  <si>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</si>
  <si>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</si>
  <si>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</si>
  <si>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</si>
  <si>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</si>
  <si>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</si>
  <si>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</si>
  <si>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</si>
  <si>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</si>
  <si>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</si>
  <si>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</si>
  <si>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</si>
  <si>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</si>
  <si>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</si>
  <si>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</si>
  <si>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</si>
  <si>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</si>
  <si>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</si>
  <si>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</si>
  <si>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</si>
  <si>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</si>
  <si>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</si>
  <si>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</si>
  <si>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</si>
  <si>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</si>
  <si>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</si>
  <si>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</si>
  <si>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</si>
  <si>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</si>
  <si>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</si>
  <si>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</si>
  <si>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</si>
  <si>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</si>
  <si>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</si>
  <si>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</si>
  <si>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</si>
  <si>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</si>
  <si>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</si>
  <si>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</si>
  <si>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</si>
  <si>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</si>
  <si>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</si>
  <si>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</si>
  <si>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</si>
  <si>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</si>
  <si>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</si>
  <si>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</si>
  <si>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</si>
  <si>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</si>
  <si>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</si>
  <si>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</si>
  <si>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</si>
  <si>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</si>
  <si>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</si>
  <si>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</si>
  <si>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</si>
  <si>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</si>
  <si>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</si>
  <si>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</si>
  <si>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</si>
  <si>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</si>
  <si>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</si>
  <si>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</si>
  <si>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</si>
  <si>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</si>
  <si>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</si>
  <si>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</si>
  <si>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</si>
  <si>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</si>
  <si>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</si>
  <si>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</si>
  <si>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</si>
  <si>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</si>
  <si>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</si>
  <si>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</si>
  <si>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</si>
  <si>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</si>
  <si>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</si>
  <si>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</si>
  <si>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</si>
  <si>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</si>
  <si>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</si>
  <si>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</si>
  <si>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</si>
  <si>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</si>
  <si>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</si>
  <si>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COM,NRG,ANNUAL,FOSSIL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</si>
  <si>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</si>
  <si>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</si>
  <si>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</si>
  <si>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</si>
  <si>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</si>
  <si>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</si>
  <si>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</si>
  <si>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</si>
  <si>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</si>
  <si>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</si>
  <si>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</si>
  <si>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</si>
  <si>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</si>
  <si>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</si>
  <si>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</si>
  <si>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</si>
  <si>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</si>
  <si>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</si>
  <si>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</si>
  <si>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</si>
  <si>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</si>
  <si>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</si>
  <si>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</si>
  <si>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</si>
  <si>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</si>
  <si>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</si>
  <si>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</si>
  <si>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</si>
  <si>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</si>
  <si>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</si>
  <si>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</si>
  <si>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</si>
  <si>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</si>
  <si>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</si>
  <si>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</si>
  <si>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</si>
  <si>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</si>
  <si>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</si>
  <si>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</si>
  <si>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</si>
  <si>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</si>
  <si>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</si>
  <si>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</si>
  <si>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</si>
  <si>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</si>
  <si>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</si>
  <si>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</si>
  <si>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</si>
  <si>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</si>
  <si>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</si>
  <si>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</si>
  <si>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</si>
  <si>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</si>
  <si>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</si>
  <si>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</si>
  <si>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</si>
  <si>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</si>
  <si>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</si>
  <si>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</si>
  <si>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</si>
  <si>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</si>
  <si>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</si>
  <si>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</si>
  <si>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</si>
  <si>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</si>
  <si>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</si>
  <si>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</si>
  <si>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</si>
  <si>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</si>
  <si>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</si>
  <si>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</si>
  <si>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</si>
  <si>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</si>
  <si>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</si>
  <si>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</si>
  <si>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</si>
  <si>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</si>
  <si>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</si>
  <si>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</si>
  <si>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</si>
  <si>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</si>
  <si>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</si>
  <si>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</si>
  <si>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</si>
  <si>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</si>
  <si>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</si>
  <si>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</si>
  <si>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</si>
  <si>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</si>
  <si>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</si>
  <si>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</si>
  <si>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</si>
  <si>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</si>
  <si>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</si>
  <si>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</si>
  <si>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</si>
  <si>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</si>
  <si>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</si>
  <si>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</si>
  <si>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</si>
  <si>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</si>
  <si>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</si>
  <si>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</si>
  <si>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</si>
  <si>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</si>
  <si>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</si>
  <si>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</si>
  <si>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</si>
  <si>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</si>
  <si>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</si>
  <si>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</si>
  <si>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</si>
  <si>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</si>
  <si>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</si>
  <si>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</si>
  <si>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</si>
  <si>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</si>
  <si>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</si>
  <si>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</si>
  <si>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</si>
  <si>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</si>
  <si>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</si>
  <si>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</si>
  <si>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</si>
  <si>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</si>
  <si>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</si>
  <si>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</si>
  <si>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</si>
  <si>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</si>
  <si>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</si>
  <si>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</si>
  <si>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</si>
  <si>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</si>
  <si>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</si>
  <si>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</si>
  <si>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</si>
  <si>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</si>
  <si>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</si>
  <si>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</si>
  <si>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</si>
  <si>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</si>
  <si>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</si>
  <si>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</si>
  <si>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</si>
  <si>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</si>
  <si>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</si>
  <si>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</si>
  <si>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</si>
  <si>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</si>
  <si>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</si>
  <si>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</si>
  <si>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</si>
  <si>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</si>
  <si>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</si>
  <si>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</si>
  <si>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</si>
  <si>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</si>
  <si>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</si>
  <si>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</si>
  <si>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</si>
  <si>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</si>
  <si>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</si>
  <si>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</si>
  <si>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</si>
  <si>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</si>
  <si>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</si>
  <si>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</si>
  <si>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</si>
  <si>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</si>
  <si>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</si>
  <si>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</si>
  <si>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</si>
  <si>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</si>
  <si>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</si>
  <si>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</si>
  <si>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</si>
  <si>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</si>
  <si>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</si>
  <si>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</si>
  <si>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</si>
  <si>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</si>
  <si>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</si>
  <si>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</si>
  <si>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</si>
  <si>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</si>
  <si>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</si>
  <si>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</si>
  <si>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</si>
  <si>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</si>
  <si>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</si>
  <si>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</si>
  <si>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</si>
  <si>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</si>
  <si>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</si>
  <si>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</si>
  <si>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</si>
  <si>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</si>
  <si>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</si>
  <si>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</si>
  <si>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</si>
  <si>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</si>
  <si>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</si>
  <si>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</si>
  <si>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</si>
  <si>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</si>
  <si>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</si>
  <si>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</si>
  <si>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</si>
  <si>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</si>
  <si>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</si>
  <si>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</si>
  <si>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</si>
  <si>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</si>
  <si>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</si>
  <si>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</si>
  <si>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</si>
  <si>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</si>
  <si>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</si>
  <si>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</si>
  <si>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</si>
  <si>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</si>
  <si>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</si>
  <si>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</si>
  <si>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</si>
  <si>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</si>
  <si>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</si>
  <si>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</si>
  <si>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</si>
  <si>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</si>
  <si>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</si>
  <si>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</si>
  <si>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</si>
  <si>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</si>
  <si>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</si>
  <si>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</si>
  <si>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</si>
  <si>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</si>
  <si>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</si>
  <si>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</si>
  <si>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</si>
  <si>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</si>
  <si>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</si>
  <si>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</si>
  <si>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</si>
  <si>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</si>
  <si>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</si>
  <si>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</si>
  <si>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</si>
  <si>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</si>
  <si>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</si>
  <si>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</si>
  <si>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</si>
  <si>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</si>
  <si>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</si>
  <si>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</si>
  <si>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</si>
  <si>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</si>
  <si>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</si>
  <si>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</si>
  <si>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</si>
  <si>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</si>
  <si>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</si>
  <si>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</si>
  <si>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</si>
  <si>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</si>
  <si>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</si>
  <si>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</si>
  <si>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</si>
  <si>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</si>
  <si>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</si>
  <si>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</si>
  <si>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</si>
  <si>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</si>
  <si>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</si>
  <si>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</si>
  <si>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</si>
  <si>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</si>
  <si>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</si>
  <si>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</si>
  <si>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</si>
  <si>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</si>
  <si>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</si>
  <si>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</si>
  <si>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</si>
  <si>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</si>
  <si>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</si>
  <si>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</si>
  <si>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</si>
  <si>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</si>
  <si>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</si>
  <si>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</si>
  <si>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</si>
  <si>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</si>
  <si>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</si>
  <si>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</si>
  <si>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</si>
  <si>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</si>
  <si>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</si>
  <si>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</si>
  <si>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</si>
  <si>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</si>
  <si>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</si>
  <si>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</si>
  <si>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</si>
  <si>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</si>
  <si>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</si>
  <si>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</si>
  <si>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</si>
  <si>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</si>
  <si>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</si>
  <si>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</si>
  <si>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</si>
  <si>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</si>
  <si>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</si>
  <si>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</si>
  <si>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</si>
  <si>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</si>
  <si>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</si>
  <si>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</si>
  <si>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</si>
  <si>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</si>
  <si>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</si>
  <si>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</si>
  <si>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</si>
  <si>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</si>
  <si>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</si>
  <si>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</si>
  <si>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</si>
  <si>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</si>
  <si>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</si>
  <si>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</si>
  <si>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</si>
  <si>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</si>
  <si>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</si>
  <si>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</si>
  <si>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</si>
  <si>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</si>
  <si>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</si>
  <si>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</si>
  <si>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</si>
  <si>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</si>
  <si>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</si>
  <si>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</si>
  <si>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</si>
  <si>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</si>
  <si>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</si>
  <si>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</si>
  <si>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</si>
  <si>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</si>
  <si>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</si>
  <si>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</si>
  <si>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</si>
  <si>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</si>
  <si>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</si>
  <si>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</si>
  <si>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</si>
  <si>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</si>
  <si>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</si>
  <si>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</si>
  <si>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</si>
  <si>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</si>
  <si>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</si>
  <si>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</si>
  <si>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</si>
  <si>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</si>
  <si>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</si>
  <si>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</si>
  <si>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</si>
  <si>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</si>
  <si>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</si>
  <si>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</si>
  <si>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</si>
  <si>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</si>
  <si>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</si>
  <si>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</si>
  <si>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</si>
  <si>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</si>
  <si>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</si>
  <si>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</si>
  <si>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</si>
  <si>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</si>
  <si>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</si>
  <si>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</si>
  <si>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</si>
  <si>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</si>
  <si>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</si>
  <si>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</si>
  <si>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</si>
  <si>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</si>
  <si>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</si>
  <si>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</si>
  <si>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</si>
  <si>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</si>
  <si>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</si>
  <si>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</si>
  <si>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</si>
  <si>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</si>
  <si>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</si>
  <si>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</si>
  <si>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</si>
  <si>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</si>
  <si>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</si>
  <si>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</si>
  <si>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</si>
  <si>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</si>
  <si>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</si>
  <si>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</si>
  <si>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</si>
  <si>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</si>
  <si>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</si>
  <si>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</si>
  <si>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</si>
  <si>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</si>
  <si>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</si>
  <si>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</si>
  <si>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</si>
  <si>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</si>
  <si>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</si>
  <si>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</si>
  <si>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</si>
  <si>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</si>
  <si>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</si>
  <si>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</si>
  <si>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</si>
  <si>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</si>
  <si>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</si>
  <si>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</si>
  <si>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</si>
  <si>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</si>
  <si>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</si>
  <si>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</si>
  <si>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</si>
  <si>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</si>
  <si>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</si>
  <si>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</si>
  <si>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</si>
  <si>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</si>
  <si>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</si>
  <si>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</si>
  <si>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</si>
  <si>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</si>
  <si>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</si>
  <si>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</si>
  <si>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</si>
  <si>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</si>
  <si>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</si>
  <si>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</si>
  <si>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</si>
  <si>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</si>
  <si>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</si>
  <si>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</si>
  <si>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</si>
  <si>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</si>
  <si>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</si>
  <si>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</si>
  <si>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</si>
  <si>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</si>
  <si>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</si>
  <si>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</si>
  <si>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</si>
  <si>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</si>
  <si>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</si>
  <si>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</si>
  <si>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</si>
  <si>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</si>
  <si>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</si>
  <si>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</si>
  <si>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</si>
  <si>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</si>
  <si>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</si>
  <si>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</si>
  <si>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</si>
  <si>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</si>
  <si>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</si>
  <si>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</si>
  <si>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</si>
  <si>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</si>
  <si>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</si>
  <si>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</si>
  <si>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</si>
  <si>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</si>
  <si>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</si>
  <si>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</si>
  <si>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</si>
  <si>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</si>
  <si>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</si>
  <si>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</si>
  <si>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</si>
  <si>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</si>
  <si>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</si>
  <si>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</si>
  <si>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</si>
  <si>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</si>
  <si>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</si>
  <si>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</si>
  <si>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</si>
  <si>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</si>
  <si>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</si>
  <si>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</si>
  <si>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</si>
  <si>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</si>
  <si>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</si>
  <si>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</si>
  <si>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</si>
  <si>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</si>
  <si>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</si>
  <si>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</si>
  <si>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</si>
  <si>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</si>
  <si>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</si>
  <si>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</si>
  <si>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</si>
  <si>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</si>
  <si>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</si>
  <si>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</si>
  <si>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</si>
  <si>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</si>
  <si>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</si>
  <si>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</si>
  <si>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</si>
  <si>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</si>
  <si>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</si>
  <si>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</si>
  <si>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</si>
  <si>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</si>
  <si>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</si>
  <si>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</si>
  <si>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</si>
  <si>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</si>
  <si>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</si>
  <si>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</si>
  <si>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</si>
  <si>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</si>
  <si>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</si>
  <si>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</si>
  <si>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</si>
  <si>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</si>
  <si>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</si>
  <si>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</si>
  <si>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</si>
  <si>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</si>
  <si>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</si>
  <si>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</si>
  <si>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</si>
  <si>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</si>
  <si>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</si>
  <si>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</si>
  <si>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</si>
  <si>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</si>
  <si>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</si>
  <si>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</si>
  <si>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</si>
  <si>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</si>
  <si>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</si>
  <si>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</si>
  <si>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</si>
  <si>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</si>
  <si>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</si>
  <si>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</si>
  <si>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</si>
  <si>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</si>
  <si>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</si>
  <si>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</si>
  <si>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</si>
  <si>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</si>
  <si>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</si>
  <si>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</si>
  <si>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</si>
  <si>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</si>
  <si>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</si>
  <si>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</si>
  <si>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</si>
  <si>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</si>
  <si>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</si>
  <si>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</si>
  <si>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</si>
  <si>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</si>
  <si>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</si>
  <si>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</si>
  <si>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</si>
  <si>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</si>
  <si>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</si>
  <si>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</si>
  <si>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</si>
  <si>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</si>
  <si>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</si>
  <si>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</si>
  <si>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</si>
  <si>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</si>
  <si>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</si>
  <si>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</si>
  <si>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</si>
  <si>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</si>
  <si>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</si>
  <si>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</si>
  <si>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</si>
  <si>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</si>
  <si>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</si>
  <si>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</si>
  <si>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</si>
  <si>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</si>
  <si>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</si>
  <si>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</si>
  <si>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</si>
  <si>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</si>
  <si>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</si>
  <si>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</si>
  <si>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</si>
  <si>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</si>
  <si>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</si>
  <si>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</si>
  <si>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</si>
  <si>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</si>
  <si>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</si>
  <si>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</si>
  <si>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</si>
  <si>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</si>
  <si>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</si>
  <si>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</si>
  <si>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</si>
  <si>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</si>
  <si>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</si>
  <si>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</si>
  <si>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</si>
  <si>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</si>
  <si>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</si>
  <si>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</si>
  <si>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</si>
  <si>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</si>
  <si>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</si>
  <si>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</si>
  <si>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</si>
  <si>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</si>
  <si>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</si>
  <si>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</si>
  <si>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</si>
  <si>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</si>
  <si>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</si>
  <si>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</si>
  <si>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</si>
  <si>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</si>
  <si>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</si>
  <si>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</si>
  <si>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</si>
  <si>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</si>
  <si>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</si>
  <si>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</si>
  <si>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</si>
  <si>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</si>
  <si>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</si>
  <si>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</si>
  <si>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</si>
  <si>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</si>
  <si>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</si>
  <si>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</si>
  <si>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</si>
  <si>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</si>
  <si>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</si>
  <si>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</si>
  <si>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</si>
  <si>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</si>
  <si>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</si>
  <si>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</si>
  <si>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</si>
  <si>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</si>
  <si>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</si>
  <si>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</si>
  <si>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</si>
  <si>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</si>
  <si>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</si>
  <si>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</si>
  <si>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</si>
  <si>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</si>
  <si>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</si>
  <si>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</si>
  <si>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</si>
  <si>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</si>
  <si>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</si>
  <si>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</si>
  <si>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</si>
  <si>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</si>
  <si>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</si>
  <si>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</si>
  <si>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</si>
  <si>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</si>
  <si>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</si>
  <si>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</si>
  <si>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</si>
  <si>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</si>
  <si>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</si>
  <si>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</si>
  <si>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</si>
  <si>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</si>
  <si>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</si>
  <si>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</si>
  <si>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</si>
  <si>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</si>
  <si>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</si>
  <si>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</si>
  <si>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</si>
  <si>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</si>
  <si>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</si>
  <si>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</si>
  <si>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</si>
  <si>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</si>
  <si>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</si>
  <si>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</si>
  <si>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</si>
  <si>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</si>
  <si>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</si>
  <si>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</si>
  <si>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</si>
  <si>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</si>
  <si>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</si>
  <si>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</si>
  <si>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</si>
  <si>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</si>
  <si>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</si>
  <si>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</si>
  <si>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</si>
  <si>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</si>
  <si>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</si>
  <si>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</si>
  <si>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</si>
  <si>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</si>
  <si>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</si>
  <si>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</si>
  <si>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</si>
  <si>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</si>
  <si>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</si>
  <si>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</si>
  <si>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</si>
  <si>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</si>
  <si>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</si>
  <si>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</si>
  <si>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</si>
  <si>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</si>
  <si>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</si>
  <si>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</si>
  <si>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</si>
  <si>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</si>
  <si>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</si>
  <si>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</si>
  <si>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</si>
  <si>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</si>
  <si>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</si>
  <si>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</si>
  <si>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</si>
  <si>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</si>
  <si>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</si>
  <si>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</si>
  <si>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</si>
  <si>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</si>
  <si>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</si>
  <si>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</si>
  <si>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</si>
  <si>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</si>
  <si>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</si>
  <si>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</si>
  <si>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</si>
  <si>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</si>
  <si>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</si>
  <si>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</si>
  <si>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</si>
  <si>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</si>
  <si>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</si>
  <si>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</si>
  <si>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</si>
  <si>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</si>
  <si>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</si>
  <si>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</si>
  <si>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</si>
  <si>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</si>
  <si>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</si>
  <si>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</si>
  <si>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</si>
  <si>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</si>
  <si>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</si>
  <si>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</si>
  <si>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</si>
  <si>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</si>
  <si>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</si>
  <si>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</si>
  <si>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</si>
  <si>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</si>
  <si>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</si>
  <si>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</si>
  <si>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</si>
  <si>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</si>
  <si>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</si>
  <si>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</si>
  <si>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</si>
  <si>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</si>
  <si>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</si>
  <si>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</si>
  <si>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</si>
  <si>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</si>
  <si>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</si>
  <si>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</si>
  <si>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</si>
  <si>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</si>
  <si>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</si>
  <si>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</si>
  <si>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</si>
  <si>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</si>
  <si>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</si>
  <si>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</si>
  <si>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</si>
  <si>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</si>
  <si>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</si>
  <si>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</si>
  <si>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</si>
  <si>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</si>
  <si>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</si>
  <si>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</si>
  <si>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</si>
  <si>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</si>
  <si>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</si>
  <si>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</si>
  <si>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</si>
  <si>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</si>
  <si>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</si>
  <si>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</si>
  <si>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</si>
  <si>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</si>
  <si>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</si>
  <si>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</si>
  <si>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</si>
  <si>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</si>
  <si>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</si>
  <si>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</si>
  <si>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</si>
  <si>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</si>
  <si>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</si>
  <si>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</si>
  <si>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</si>
  <si>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</si>
  <si>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</si>
  <si>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</si>
  <si>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</si>
  <si>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</si>
  <si>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</si>
  <si>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</si>
  <si>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</si>
  <si>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</si>
  <si>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</si>
  <si>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</si>
  <si>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</si>
  <si>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</si>
  <si>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</si>
  <si>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</si>
  <si>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</si>
  <si>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</si>
  <si>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</si>
  <si>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</si>
  <si>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</si>
  <si>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</si>
  <si>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</si>
  <si>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</si>
  <si>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</si>
  <si>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</si>
  <si>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</si>
  <si>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</si>
  <si>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</si>
  <si>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</si>
  <si>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</si>
  <si>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</si>
  <si>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</si>
  <si>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</si>
  <si>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</si>
  <si>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</si>
  <si>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</si>
  <si>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</si>
  <si>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</si>
  <si>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</si>
  <si>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</si>
  <si>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</si>
  <si>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</si>
  <si>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</si>
  <si>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</si>
  <si>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</si>
  <si>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</si>
  <si>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</si>
  <si>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</si>
  <si>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</si>
  <si>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</si>
  <si>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</si>
  <si>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</si>
  <si>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</si>
  <si>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</si>
  <si>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</si>
  <si>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</si>
  <si>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</si>
  <si>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</si>
  <si>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</si>
  <si>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</si>
  <si>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</si>
  <si>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</si>
  <si>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</si>
  <si>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</si>
  <si>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</si>
  <si>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</si>
  <si>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</si>
  <si>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</si>
  <si>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</si>
  <si>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</si>
  <si>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</si>
  <si>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</si>
  <si>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</si>
  <si>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</si>
  <si>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</si>
  <si>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</si>
  <si>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</si>
  <si>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</si>
  <si>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</si>
  <si>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</si>
  <si>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</si>
  <si>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</si>
  <si>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</si>
  <si>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</si>
  <si>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</si>
  <si>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</si>
  <si>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</si>
  <si>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</si>
  <si>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</si>
  <si>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</si>
  <si>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</si>
  <si>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</si>
  <si>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</si>
  <si>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</si>
  <si>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</si>
  <si>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</si>
  <si>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</si>
  <si>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</si>
  <si>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</si>
  <si>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</si>
  <si>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</si>
  <si>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</si>
  <si>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</si>
  <si>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</si>
  <si>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</si>
  <si>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</si>
  <si>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</si>
  <si>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</si>
  <si>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</si>
  <si>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</si>
  <si>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</si>
  <si>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</si>
  <si>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</si>
  <si>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</si>
  <si>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</si>
  <si>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</si>
  <si>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</si>
  <si>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</si>
  <si>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</si>
  <si>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</si>
  <si>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</si>
  <si>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</si>
  <si>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</si>
  <si>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</si>
  <si>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</si>
  <si>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</si>
  <si>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</si>
  <si>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</si>
  <si>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</si>
  <si>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</si>
  <si>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</si>
  <si>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</si>
  <si>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</si>
  <si>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</si>
  <si>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</si>
  <si>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</si>
  <si>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</si>
  <si>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</si>
  <si>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</si>
  <si>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</si>
  <si>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</si>
  <si>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</si>
  <si>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</si>
  <si>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</si>
  <si>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</si>
  <si>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</si>
  <si>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</si>
  <si>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</si>
  <si>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</si>
  <si>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</si>
  <si>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</si>
  <si>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</si>
  <si>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</si>
  <si>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</si>
  <si>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</si>
  <si>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</si>
  <si>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</si>
  <si>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</si>
  <si>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</si>
  <si>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</si>
  <si>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</si>
  <si>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</si>
  <si>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</si>
  <si>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</si>
  <si>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</si>
  <si>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</si>
  <si>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</si>
  <si>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</si>
  <si>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</si>
  <si>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</si>
  <si>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</si>
  <si>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</si>
  <si>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</si>
  <si>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</si>
  <si>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</si>
  <si>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</si>
  <si>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</si>
  <si>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</si>
  <si>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</si>
  <si>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</si>
  <si>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</si>
  <si>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</si>
  <si>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</si>
  <si>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</si>
  <si>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</si>
  <si>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</si>
  <si>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</si>
  <si>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</si>
  <si>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</si>
  <si>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</si>
  <si>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</si>
  <si>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</si>
  <si>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</si>
  <si>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</si>
  <si>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</si>
  <si>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</si>
  <si>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</si>
  <si>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</si>
  <si>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</si>
  <si>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</si>
  <si>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</si>
  <si>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</si>
  <si>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</si>
  <si>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</si>
  <si>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</si>
  <si>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</si>
  <si>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</si>
  <si>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</si>
  <si>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</si>
  <si>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</si>
  <si>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</si>
  <si>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</si>
  <si>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</si>
  <si>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</si>
  <si>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</si>
  <si>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</si>
  <si>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</si>
  <si>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</si>
  <si>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</si>
  <si>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</si>
  <si>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</si>
  <si>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</si>
  <si>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</si>
  <si>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</si>
  <si>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</si>
  <si>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</si>
  <si>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</si>
  <si>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</si>
  <si>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</si>
  <si>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</si>
  <si>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</si>
  <si>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</si>
  <si>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</si>
  <si>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</si>
  <si>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</si>
  <si>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</si>
  <si>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</si>
  <si>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</si>
  <si>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</si>
  <si>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</si>
  <si>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</si>
  <si>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</si>
  <si>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</si>
  <si>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</si>
  <si>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</si>
  <si>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</si>
  <si>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</si>
  <si>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</si>
  <si>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</si>
  <si>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</si>
  <si>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</si>
  <si>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</si>
  <si>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</si>
  <si>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</si>
  <si>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</si>
  <si>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</si>
  <si>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</si>
  <si>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</si>
  <si>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</si>
  <si>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</si>
  <si>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</si>
  <si>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</si>
  <si>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</si>
  <si>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</si>
  <si>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</si>
  <si>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</si>
  <si>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</si>
  <si>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</si>
  <si>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</si>
  <si>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</si>
  <si>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</si>
  <si>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</si>
  <si>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</si>
  <si>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</si>
  <si>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</si>
  <si>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</si>
  <si>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</si>
  <si>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</si>
  <si>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</si>
  <si>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</si>
  <si>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</si>
  <si>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</si>
  <si>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</si>
  <si>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</si>
  <si>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</si>
  <si>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</si>
  <si>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</si>
  <si>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</si>
  <si>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</si>
  <si>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</si>
  <si>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</si>
  <si>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</si>
  <si>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</si>
  <si>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</si>
  <si>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</si>
  <si>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</si>
  <si>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</si>
  <si>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</si>
  <si>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</si>
  <si>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</si>
  <si>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</si>
  <si>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</si>
  <si>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</si>
  <si>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</si>
  <si>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</si>
  <si>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</si>
  <si>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</si>
  <si>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</si>
  <si>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</si>
  <si>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</si>
  <si>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</si>
  <si>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</si>
  <si>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</si>
  <si>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</si>
  <si>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</si>
  <si>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</si>
  <si>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</si>
  <si>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</si>
  <si>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</si>
  <si>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</si>
  <si>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</si>
  <si>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</si>
  <si>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</si>
  <si>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</si>
  <si>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</si>
  <si>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</si>
  <si>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</si>
  <si>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</si>
  <si>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</si>
  <si>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</si>
  <si>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</si>
  <si>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</si>
  <si>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</si>
  <si>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</si>
  <si>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</si>
  <si>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</si>
  <si>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</si>
  <si>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</si>
  <si>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</si>
  <si>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</si>
  <si>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</si>
  <si>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</si>
  <si>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</si>
  <si>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</si>
  <si>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</si>
  <si>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</si>
  <si>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</si>
  <si>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</si>
  <si>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</si>
  <si>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</si>
  <si>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</si>
  <si>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</si>
  <si>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</si>
  <si>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</si>
  <si>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</si>
  <si>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</si>
  <si>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</si>
  <si>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</si>
  <si>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</si>
  <si>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</si>
  <si>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</si>
  <si>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</si>
  <si>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</si>
  <si>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</si>
  <si>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</si>
  <si>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</si>
  <si>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</si>
  <si>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</si>
  <si>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</si>
  <si>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</si>
  <si>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</si>
  <si>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</si>
  <si>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</si>
  <si>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</si>
  <si>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</si>
  <si>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</si>
  <si>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</si>
  <si>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</si>
  <si>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</si>
  <si>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</si>
  <si>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</si>
  <si>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</si>
  <si>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</si>
  <si>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</si>
  <si>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</si>
  <si>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</si>
  <si>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</si>
  <si>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</si>
  <si>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</si>
  <si>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</si>
  <si>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</si>
  <si>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</si>
  <si>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</si>
  <si>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</si>
  <si>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</si>
  <si>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</si>
  <si>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</si>
  <si>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</si>
  <si>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</si>
  <si>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</si>
  <si>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</si>
  <si>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</si>
  <si>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</si>
  <si>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</si>
  <si>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</si>
  <si>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</si>
  <si>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</si>
  <si>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</si>
  <si>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</si>
  <si>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</si>
  <si>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</si>
  <si>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</si>
  <si>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</si>
  <si>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</si>
  <si>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</si>
  <si>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</si>
  <si>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</si>
  <si>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</si>
  <si>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</si>
  <si>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</si>
  <si>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</si>
  <si>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</si>
  <si>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</si>
  <si>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</si>
  <si>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</si>
  <si>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</si>
  <si>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</si>
  <si>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</si>
  <si>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</si>
  <si>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</si>
  <si>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</si>
  <si>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</si>
  <si>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</si>
  <si>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</si>
  <si>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</si>
  <si>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</si>
  <si>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</si>
  <si>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</si>
  <si>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</si>
  <si>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</si>
  <si>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</si>
  <si>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</si>
  <si>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</si>
  <si>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</si>
  <si>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</si>
  <si>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</si>
  <si>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</si>
  <si>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</si>
  <si>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</si>
  <si>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</si>
  <si>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</si>
  <si>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</si>
  <si>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</si>
  <si>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</si>
  <si>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</si>
  <si>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</si>
  <si>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</si>
  <si>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</si>
  <si>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</si>
  <si>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</si>
  <si>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</si>
  <si>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</si>
  <si>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</si>
  <si>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</si>
  <si>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</si>
  <si>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</si>
  <si>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</si>
  <si>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</si>
  <si>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</si>
  <si>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</si>
  <si>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</si>
  <si>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</si>
  <si>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</si>
  <si>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</si>
  <si>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</si>
  <si>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</si>
  <si>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</si>
  <si>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</si>
  <si>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</si>
  <si>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</si>
  <si>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</si>
  <si>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</si>
  <si>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</si>
  <si>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</si>
  <si>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</si>
  <si>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</si>
  <si>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</si>
  <si>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</si>
  <si>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</si>
  <si>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</si>
  <si>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</si>
  <si>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</si>
  <si>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</si>
  <si>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</si>
  <si>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</si>
  <si>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</si>
  <si>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</si>
  <si>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</si>
  <si>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</si>
  <si>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</si>
  <si>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</si>
  <si>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</si>
  <si>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</si>
  <si>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</si>
  <si>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</si>
  <si>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</si>
  <si>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</si>
  <si>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</si>
  <si>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</si>
  <si>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</si>
  <si>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</si>
  <si>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</si>
  <si>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</si>
  <si>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</si>
  <si>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</si>
  <si>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</si>
  <si>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</si>
  <si>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</si>
  <si>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</si>
  <si>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</si>
  <si>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</si>
  <si>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</si>
  <si>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</si>
  <si>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</si>
  <si>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</si>
  <si>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</si>
  <si>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</si>
  <si>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</si>
  <si>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</si>
  <si>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</si>
  <si>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</si>
  <si>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</si>
  <si>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</si>
  <si>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</si>
  <si>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</si>
  <si>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</si>
  <si>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</si>
  <si>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</si>
  <si>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</si>
  <si>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</si>
  <si>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</si>
  <si>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</si>
  <si>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</si>
  <si>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</si>
  <si>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</si>
  <si>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</si>
  <si>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</si>
  <si>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</si>
  <si>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</si>
  <si>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</si>
  <si>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</si>
  <si>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</si>
  <si>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</si>
  <si>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</si>
  <si>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</si>
  <si>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</si>
  <si>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</si>
  <si>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</si>
  <si>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</si>
  <si>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</si>
  <si>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</si>
  <si>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</si>
  <si>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</si>
  <si>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</si>
  <si>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</si>
  <si>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</si>
  <si>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</si>
  <si>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</si>
  <si>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</si>
  <si>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</si>
  <si>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</si>
  <si>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</si>
  <si>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</si>
  <si>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</si>
  <si>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</si>
  <si>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</si>
  <si>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</si>
  <si>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</si>
  <si>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</si>
  <si>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</si>
  <si>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</si>
  <si>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</si>
  <si>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</si>
  <si>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</si>
  <si>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</si>
  <si>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</si>
  <si>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</si>
  <si>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</si>
  <si>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</si>
  <si>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</si>
  <si>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</si>
  <si>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</si>
  <si>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</si>
  <si>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</si>
  <si>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</si>
  <si>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</si>
  <si>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</si>
  <si>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</si>
  <si>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</si>
  <si>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</si>
  <si>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</si>
  <si>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</si>
  <si>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</si>
  <si>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</si>
  <si>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</si>
  <si>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</si>
  <si>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</si>
  <si>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</si>
  <si>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</si>
  <si>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</si>
  <si>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</si>
  <si>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</si>
  <si>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</si>
  <si>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</si>
  <si>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</si>
  <si>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</si>
  <si>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</si>
  <si>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</si>
  <si>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</si>
  <si>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</si>
  <si>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</si>
  <si>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</si>
  <si>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</si>
  <si>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</si>
  <si>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</si>
  <si>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</si>
  <si>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</si>
  <si>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</si>
  <si>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</si>
  <si>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</si>
  <si>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</si>
  <si>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</si>
  <si>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</si>
  <si>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</si>
  <si>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</si>
  <si>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</si>
  <si>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</si>
  <si>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</si>
  <si>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</si>
  <si>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</si>
  <si>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</si>
  <si>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</si>
  <si>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</si>
  <si>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</si>
  <si>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</si>
  <si>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</si>
  <si>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</si>
  <si>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</si>
  <si>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</si>
  <si>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</si>
  <si>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</si>
  <si>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</si>
  <si>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</si>
  <si>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</si>
  <si>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</si>
  <si>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</si>
  <si>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</si>
  <si>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</si>
  <si>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</si>
  <si>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</si>
  <si>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</si>
  <si>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</si>
  <si>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</si>
  <si>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</si>
  <si>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</si>
  <si>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</si>
  <si>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</si>
  <si>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</si>
  <si>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</si>
  <si>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</si>
  <si>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</si>
  <si>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</si>
  <si>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</si>
  <si>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</si>
  <si>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</si>
  <si>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</si>
  <si>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</si>
  <si>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</si>
  <si>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</si>
  <si>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</si>
  <si>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</si>
  <si>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</si>
  <si>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</si>
  <si>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</si>
  <si>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</si>
  <si>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</si>
  <si>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</si>
  <si>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</si>
  <si>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</si>
  <si>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</si>
  <si>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</si>
  <si>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</si>
  <si>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</si>
  <si>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</si>
  <si>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</si>
  <si>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</si>
  <si>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</si>
  <si>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</si>
  <si>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</si>
  <si>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</si>
  <si>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</si>
  <si>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</si>
  <si>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</si>
  <si>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</si>
  <si>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</si>
  <si>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</si>
  <si>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</si>
  <si>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</si>
  <si>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</si>
  <si>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</si>
  <si>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</si>
  <si>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</si>
  <si>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</si>
  <si>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</si>
  <si>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</si>
  <si>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</si>
  <si>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</si>
  <si>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</si>
  <si>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</si>
  <si>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</si>
  <si>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</si>
  <si>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</si>
  <si>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</si>
  <si>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</si>
  <si>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</si>
  <si>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</si>
  <si>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</si>
  <si>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</si>
  <si>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</si>
  <si>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</si>
  <si>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</si>
  <si>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</si>
  <si>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</si>
  <si>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</si>
  <si>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</si>
  <si>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</si>
  <si>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</si>
  <si>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</si>
  <si>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</si>
  <si>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</si>
  <si>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</si>
  <si>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</si>
  <si>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</si>
  <si>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</si>
  <si>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</si>
  <si>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</si>
  <si>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</si>
  <si>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</si>
  <si>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</si>
  <si>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</si>
  <si>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</si>
  <si>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</si>
  <si>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</si>
  <si>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</si>
  <si>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</si>
  <si>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</si>
  <si>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</si>
  <si>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</si>
  <si>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</si>
  <si>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</si>
  <si>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</si>
  <si>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</si>
  <si>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</si>
  <si>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</si>
  <si>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</si>
  <si>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</si>
  <si>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</si>
  <si>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</si>
  <si>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</si>
  <si>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</si>
  <si>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</si>
  <si>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</si>
  <si>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</si>
  <si>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</si>
  <si>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</si>
  <si>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</si>
  <si>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</si>
  <si>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</si>
  <si>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</si>
  <si>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</si>
  <si>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</si>
  <si>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</si>
  <si>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</si>
  <si>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</si>
  <si>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</si>
  <si>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</si>
  <si>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</si>
  <si>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</si>
  <si>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</si>
  <si>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</si>
  <si>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</si>
  <si>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</si>
  <si>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</si>
  <si>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</si>
  <si>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</si>
  <si>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</si>
  <si>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</si>
  <si>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</si>
  <si>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</si>
  <si>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</si>
  <si>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</si>
  <si>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</si>
  <si>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</si>
  <si>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</si>
  <si>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</si>
  <si>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</si>
  <si>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</si>
  <si>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</si>
  <si>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</si>
  <si>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</si>
  <si>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</si>
  <si>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</si>
  <si>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</si>
  <si>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</si>
  <si>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</si>
  <si>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</si>
  <si>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</si>
  <si>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</si>
  <si>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</si>
  <si>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</si>
  <si>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</si>
  <si>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</si>
  <si>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</si>
  <si>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</si>
  <si>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</si>
  <si>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</si>
  <si>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</si>
  <si>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</si>
  <si>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</si>
  <si>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</si>
  <si>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</si>
  <si>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</si>
  <si>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</si>
  <si>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</si>
  <si>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</si>
  <si>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</si>
  <si>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</si>
  <si>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</si>
  <si>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</si>
  <si>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</si>
  <si>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</si>
  <si>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</si>
  <si>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</si>
  <si>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</si>
  <si>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</si>
  <si>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</si>
  <si>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</si>
  <si>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</si>
  <si>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</si>
  <si>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</si>
  <si>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</si>
  <si>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</si>
  <si>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</si>
  <si>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</si>
  <si>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</si>
  <si>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</si>
  <si>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</si>
  <si>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</si>
  <si>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</si>
  <si>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</si>
  <si>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</si>
  <si>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</si>
  <si>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</si>
  <si>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</si>
  <si>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</si>
  <si>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</si>
  <si>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</si>
  <si>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</si>
  <si>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</si>
  <si>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</si>
  <si>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</si>
  <si>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</si>
  <si>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</si>
  <si>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</si>
  <si>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</si>
  <si>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</si>
  <si>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</si>
  <si>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</si>
  <si>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</si>
  <si>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</si>
  <si>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</si>
  <si>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</si>
  <si>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</si>
  <si>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</si>
  <si>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</si>
  <si>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</si>
  <si>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</si>
  <si>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</si>
  <si>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</si>
  <si>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</si>
  <si>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</si>
  <si>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</si>
  <si>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</si>
  <si>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</si>
  <si>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</si>
  <si>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</si>
  <si>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</si>
  <si>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</si>
  <si>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</si>
  <si>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</si>
  <si>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</si>
  <si>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</si>
  <si>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</si>
  <si>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</si>
  <si>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</si>
  <si>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</si>
  <si>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</si>
  <si>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</si>
  <si>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</si>
  <si>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</si>
  <si>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</si>
  <si>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</si>
  <si>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</si>
  <si>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</si>
  <si>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</si>
  <si>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</si>
  <si>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</si>
  <si>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</si>
  <si>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</si>
  <si>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</si>
  <si>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</si>
  <si>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</si>
  <si>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</si>
  <si>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</si>
  <si>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</si>
  <si>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</si>
  <si>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</si>
  <si>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</si>
  <si>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</si>
  <si>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</si>
  <si>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</si>
  <si>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</si>
  <si>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</si>
  <si>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</si>
  <si>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</si>
  <si>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</si>
  <si>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</si>
  <si>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</si>
  <si>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</si>
  <si>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</si>
  <si>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</si>
  <si>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</si>
  <si>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</si>
  <si>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</si>
  <si>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</si>
  <si>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</si>
  <si>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</si>
  <si>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</si>
  <si>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</si>
  <si>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</si>
  <si>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</si>
  <si>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</si>
  <si>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</si>
  <si>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</si>
  <si>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</si>
  <si>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</si>
  <si>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</si>
  <si>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</si>
  <si>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</si>
  <si>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</si>
  <si>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</si>
  <si>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</si>
  <si>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</si>
  <si>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</si>
  <si>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</si>
  <si>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</si>
  <si>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</si>
  <si>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</si>
  <si>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</si>
  <si>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</si>
  <si>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</si>
  <si>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</si>
  <si>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</si>
  <si>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</si>
  <si>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</si>
  <si>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</si>
  <si>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</si>
  <si>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</si>
  <si>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</si>
  <si>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</si>
  <si>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</si>
  <si>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</si>
  <si>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</si>
  <si>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</si>
  <si>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</si>
  <si>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</si>
  <si>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</si>
  <si>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</si>
  <si>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</si>
  <si>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</si>
  <si>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</si>
  <si>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</si>
  <si>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</si>
  <si>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</si>
  <si>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</si>
  <si>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</si>
  <si>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</si>
  <si>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</si>
  <si>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</si>
  <si>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</si>
  <si>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</si>
  <si>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</si>
  <si>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</si>
  <si>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</si>
  <si>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</si>
  <si>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</si>
  <si>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</si>
  <si>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</si>
  <si>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</si>
  <si>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</si>
  <si>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</si>
  <si>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</si>
  <si>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</si>
  <si>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</si>
  <si>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</si>
  <si>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</si>
  <si>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</si>
  <si>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</si>
  <si>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</si>
  <si>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</si>
  <si>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</si>
  <si>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</si>
  <si>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</si>
  <si>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</si>
  <si>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</si>
  <si>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</si>
  <si>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</si>
  <si>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</si>
  <si>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</si>
  <si>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</si>
  <si>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</si>
  <si>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</si>
  <si>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</si>
  <si>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</si>
  <si>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</si>
  <si>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</si>
  <si>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</si>
  <si>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</si>
  <si>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</si>
  <si>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</si>
  <si>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</si>
  <si>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</si>
  <si>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</si>
  <si>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</si>
  <si>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</si>
  <si>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</si>
  <si>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</si>
  <si>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</si>
  <si>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</si>
  <si>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</si>
  <si>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</si>
  <si>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</si>
  <si>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</si>
  <si>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</si>
  <si>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</si>
  <si>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</si>
  <si>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</si>
  <si>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</si>
  <si>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</si>
  <si>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</si>
  <si>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</si>
  <si>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</si>
  <si>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</si>
  <si>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</si>
  <si>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</si>
  <si>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</si>
  <si>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</si>
  <si>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</si>
  <si>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</si>
  <si>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</si>
  <si>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</si>
  <si>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</si>
  <si>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</si>
  <si>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</si>
  <si>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</si>
  <si>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</si>
  <si>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</si>
  <si>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</si>
  <si>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</si>
  <si>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</si>
  <si>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</si>
  <si>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</si>
  <si>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</si>
  <si>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</si>
  <si>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</si>
  <si>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</si>
  <si>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</si>
  <si>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</si>
  <si>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</si>
  <si>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</si>
  <si>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</si>
  <si>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COM,ENV,ANNUAL,GHG</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</si>
  <si>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</si>
  <si>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</si>
  <si>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</si>
  <si>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</si>
  <si>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</si>
  <si>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</si>
  <si>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</si>
  <si>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</si>
  <si>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</si>
  <si>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</si>
  <si>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</si>
  <si>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</si>
  <si>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</si>
  <si>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</si>
  <si>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</si>
  <si>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</si>
  <si>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</si>
  <si>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</si>
  <si>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</si>
  <si>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</si>
  <si>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</si>
  <si>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</si>
  <si>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</si>
  <si>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</si>
  <si>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</si>
  <si>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</si>
  <si>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</si>
  <si>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</si>
  <si>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</si>
  <si>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</si>
  <si>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</si>
  <si>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</si>
  <si>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</si>
  <si>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</si>
  <si>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</si>
  <si>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</si>
  <si>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</si>
  <si>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</si>
  <si>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</si>
  <si>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</si>
  <si>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</si>
  <si>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</si>
  <si>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</si>
  <si>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</si>
  <si>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</si>
  <si>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</si>
  <si>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</si>
  <si>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</si>
  <si>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</si>
  <si>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</si>
  <si>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</si>
  <si>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</si>
  <si>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</si>
  <si>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</si>
  <si>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</si>
  <si>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</si>
  <si>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</si>
  <si>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</si>
  <si>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</si>
  <si>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</si>
  <si>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</si>
  <si>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</si>
  <si>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</si>
  <si>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</si>
  <si>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</si>
  <si>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</si>
  <si>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</si>
  <si>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</si>
  <si>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</si>
  <si>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</si>
  <si>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</si>
  <si>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</si>
  <si>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</si>
  <si>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</si>
  <si>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</si>
  <si>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</si>
  <si>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</si>
  <si>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</si>
  <si>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</si>
  <si>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</si>
  <si>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</si>
  <si>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</si>
  <si>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</si>
  <si>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</si>
  <si>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</si>
  <si>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</si>
  <si>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</si>
  <si>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</si>
  <si>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</si>
  <si>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</si>
  <si>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</si>
  <si>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</si>
  <si>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</si>
  <si>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</si>
  <si>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</si>
  <si>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</si>
  <si>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</si>
  <si>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</si>
  <si>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</si>
  <si>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</si>
  <si>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</si>
  <si>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</si>
  <si>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</si>
  <si>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</si>
  <si>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</si>
  <si>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</si>
  <si>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</si>
  <si>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</si>
  <si>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</si>
  <si>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</si>
  <si>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</si>
  <si>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</si>
  <si>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</si>
  <si>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</si>
  <si>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</si>
  <si>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</si>
  <si>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</si>
  <si>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</si>
  <si>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</si>
  <si>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</si>
  <si>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</si>
  <si>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</si>
  <si>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</si>
  <si>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</si>
  <si>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</si>
  <si>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</si>
  <si>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</si>
  <si>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</si>
  <si>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</si>
  <si>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</si>
  <si>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</si>
  <si>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</si>
  <si>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</si>
  <si>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</si>
  <si>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</si>
  <si>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</si>
  <si>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</si>
  <si>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</si>
  <si>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</si>
  <si>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</si>
  <si>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</si>
  <si>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</si>
  <si>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</si>
  <si>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</si>
  <si>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</si>
  <si>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</si>
  <si>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</si>
  <si>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</si>
  <si>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</si>
  <si>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</si>
  <si>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</si>
  <si>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</si>
  <si>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</si>
  <si>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</si>
  <si>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</si>
  <si>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</si>
  <si>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</si>
  <si>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</si>
  <si>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</si>
  <si>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</si>
  <si>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</si>
  <si>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</si>
  <si>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</si>
  <si>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</si>
  <si>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</si>
  <si>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</si>
  <si>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</si>
  <si>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</si>
  <si>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</si>
  <si>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</si>
  <si>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</si>
  <si>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</si>
  <si>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</si>
  <si>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</si>
  <si>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</si>
  <si>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</si>
  <si>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</si>
  <si>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</si>
  <si>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</si>
  <si>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</si>
  <si>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</si>
  <si>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</si>
  <si>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</si>
  <si>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</si>
  <si>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</si>
  <si>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</si>
  <si>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</si>
  <si>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</si>
  <si>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</si>
  <si>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</si>
  <si>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</si>
  <si>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</si>
  <si>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</si>
  <si>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</si>
  <si>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</si>
  <si>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</si>
  <si>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</si>
  <si>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</si>
  <si>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</si>
  <si>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</si>
  <si>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</si>
  <si>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</si>
  <si>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</si>
  <si>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</si>
  <si>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</si>
  <si>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</si>
  <si>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</si>
  <si>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</si>
  <si>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</si>
  <si>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</si>
  <si>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</si>
  <si>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</si>
  <si>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</si>
  <si>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</si>
  <si>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</si>
  <si>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</si>
  <si>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</si>
  <si>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</si>
  <si>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</si>
  <si>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</si>
  <si>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</si>
  <si>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</si>
  <si>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</si>
  <si>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</si>
  <si>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</si>
  <si>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</si>
  <si>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</si>
  <si>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</si>
  <si>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</si>
  <si>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</si>
  <si>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</si>
  <si>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</si>
  <si>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</si>
  <si>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</si>
  <si>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</si>
  <si>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</si>
  <si>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</si>
  <si>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</si>
  <si>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</si>
  <si>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</si>
  <si>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</si>
  <si>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</si>
  <si>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</si>
  <si>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</si>
  <si>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</si>
  <si>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</si>
  <si>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</si>
  <si>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</si>
  <si>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</si>
  <si>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</si>
  <si>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</si>
  <si>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</si>
  <si>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</si>
  <si>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</si>
  <si>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</si>
  <si>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</si>
  <si>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</si>
  <si>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</si>
  <si>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</si>
  <si>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</si>
  <si>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</si>
  <si>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</si>
  <si>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</si>
  <si>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</si>
  <si>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</si>
  <si>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</si>
  <si>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</si>
  <si>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</si>
  <si>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</si>
  <si>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</si>
  <si>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</si>
  <si>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</si>
  <si>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</si>
  <si>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</si>
  <si>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</si>
  <si>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</si>
  <si>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</si>
  <si>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</si>
  <si>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</si>
  <si>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</si>
  <si>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</si>
  <si>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</si>
  <si>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</si>
  <si>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</si>
  <si>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</si>
  <si>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</si>
  <si>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</si>
  <si>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</si>
  <si>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</si>
  <si>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</si>
  <si>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</si>
  <si>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</si>
  <si>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</si>
  <si>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</si>
  <si>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</si>
  <si>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</si>
  <si>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</si>
  <si>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</si>
  <si>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</si>
  <si>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</si>
  <si>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</si>
  <si>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</si>
  <si>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</si>
  <si>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</si>
  <si>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</si>
  <si>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</si>
  <si>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</si>
  <si>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</si>
  <si>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</si>
  <si>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</si>
  <si>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</si>
  <si>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</si>
  <si>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</si>
  <si>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</si>
  <si>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</si>
  <si>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</si>
  <si>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</si>
  <si>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</si>
  <si>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</si>
  <si>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</si>
  <si>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</si>
  <si>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</si>
  <si>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</si>
  <si>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</si>
  <si>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</si>
  <si>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</si>
  <si>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</si>
  <si>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</si>
  <si>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</si>
  <si>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</si>
  <si>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</si>
  <si>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</si>
  <si>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</si>
  <si>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</si>
  <si>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</si>
  <si>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</si>
  <si>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</si>
  <si>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</si>
  <si>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</si>
  <si>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</si>
  <si>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</si>
  <si>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</si>
  <si>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</si>
  <si>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</si>
  <si>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</si>
  <si>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</si>
  <si>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</si>
  <si>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</si>
  <si>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</si>
  <si>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</si>
  <si>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</si>
  <si>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</si>
  <si>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</si>
  <si>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</si>
  <si>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</si>
  <si>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</si>
  <si>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</si>
  <si>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</si>
  <si>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</si>
  <si>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</si>
  <si>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</si>
  <si>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</si>
  <si>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</si>
  <si>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</si>
  <si>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</si>
  <si>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</si>
  <si>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</si>
  <si>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</si>
  <si>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</si>
  <si>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</si>
  <si>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</si>
  <si>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</si>
  <si>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</si>
  <si>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</si>
  <si>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</si>
  <si>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</si>
  <si>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</si>
  <si>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</si>
  <si>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</si>
  <si>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</si>
  <si>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</si>
  <si>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</si>
  <si>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</si>
  <si>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</si>
  <si>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</si>
  <si>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</si>
  <si>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COM,NRG,DAYNITE,ELC</t>
  </si>
  <si>
    <t>Power Sector CMOX South Africa</t>
  </si>
  <si>
    <t>Power Sector NMVS Emissions</t>
  </si>
  <si>
    <t>ICPELC</t>
  </si>
  <si>
    <t>Chemicals Electricity</t>
  </si>
  <si>
    <t>UPSELC</t>
  </si>
  <si>
    <t>Supply Electricity</t>
  </si>
  <si>
    <t>Power Sector Diesel</t>
  </si>
  <si>
    <t>COM,NRG,DAYNITE,FOSSIL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</si>
  <si>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</si>
  <si>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</si>
  <si>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</si>
  <si>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</si>
  <si>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</si>
  <si>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</si>
  <si>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</si>
  <si>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</si>
  <si>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</si>
  <si>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</si>
  <si>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</si>
  <si>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</si>
  <si>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</si>
  <si>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</si>
  <si>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</si>
  <si>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</si>
  <si>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</si>
  <si>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</si>
  <si>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COM,DEM,DAYNITE,RES</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</si>
  <si>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</si>
  <si>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</si>
  <si>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</si>
  <si>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</si>
  <si>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</si>
  <si>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</si>
  <si>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</si>
  <si>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</si>
  <si>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</si>
  <si>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</si>
  <si>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</si>
  <si>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</si>
  <si>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</si>
  <si>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</si>
  <si>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</si>
  <si>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</si>
  <si>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</si>
  <si>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</si>
  <si>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</si>
  <si>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</si>
  <si>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</si>
  <si>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</si>
  <si>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</si>
  <si>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</si>
  <si>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</si>
  <si>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</si>
  <si>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</si>
  <si>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</si>
  <si>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</si>
  <si>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</si>
  <si>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</si>
  <si>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</si>
  <si>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</si>
  <si>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</si>
  <si>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</si>
  <si>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</si>
  <si>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</si>
  <si>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</si>
  <si>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</si>
  <si>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</si>
  <si>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</si>
  <si>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</si>
  <si>
    <t>Commgrp</t>
  </si>
  <si>
    <t>Comm-IN-A</t>
  </si>
  <si>
    <t>Attribute</t>
  </si>
  <si>
    <t>*Unit</t>
  </si>
  <si>
    <t>Demand Commodity Name</t>
  </si>
  <si>
    <t>Demand Unit</t>
  </si>
  <si>
    <t>Demand Value</t>
  </si>
  <si>
    <t>*Units</t>
  </si>
  <si>
    <t>Demand</t>
  </si>
  <si>
    <t>*Comm-OUT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</si>
</sst>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0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
      <sz val="8"/>
      <color theme="1"/>
      <name val="Arial"/>
      <family val="2"/>
    </font>
    <font>
      <sz val="11"/>
      <color theme="0"/>
      <name val="Calibri"/>
      <family val="2"/>
      <scheme val="minor"/>
    </font>
    <font>
      <sz val="10"/>
      <name val="Courier"/>
      <family val="3"/>
    </font>
    <font>
      <sz val="11"/>
      <color rgb="FF9C6500"/>
      <name val="Calibri"/>
      <family val="2"/>
      <scheme val="minor"/>
    </font>
  </fonts>
  <fills count="31">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s>
  <borders count="6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medium">
        <color indexed="64"/>
      </bottom>
      <diagonal/>
    </border>
  </borders>
  <cellStyleXfs count="69">
    <xf numFmtId="0" fontId="0" fillId="0" borderId="0"/>
    <xf numFmtId="0" fontId="20" fillId="0" borderId="0"/>
    <xf numFmtId="0" fontId="20" fillId="0" borderId="0"/>
    <xf numFmtId="0" fontId="20" fillId="0" borderId="0"/>
    <xf numFmtId="0" fontId="13" fillId="0" borderId="0"/>
    <xf numFmtId="0" fontId="20" fillId="0" borderId="0"/>
    <xf numFmtId="164"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0" fontId="20" fillId="0" borderId="0"/>
    <xf numFmtId="0" fontId="13" fillId="0" borderId="0"/>
    <xf numFmtId="0" fontId="34" fillId="0" borderId="0" applyNumberFormat="0" applyFill="0" applyBorder="0" applyAlignment="0" applyProtection="0">
      <alignment vertical="top"/>
      <protection locked="0"/>
    </xf>
    <xf numFmtId="0" fontId="12" fillId="0" borderId="0"/>
    <xf numFmtId="9" fontId="12" fillId="0" borderId="0" applyFont="0" applyFill="0" applyBorder="0" applyAlignment="0" applyProtection="0"/>
    <xf numFmtId="0" fontId="36" fillId="0" borderId="0"/>
    <xf numFmtId="43" fontId="36" fillId="0" borderId="0" applyFont="0" applyFill="0" applyBorder="0" applyAlignment="0" applyProtection="0"/>
    <xf numFmtId="164" fontId="12" fillId="0" borderId="0" applyFont="0" applyFill="0" applyBorder="0" applyAlignment="0" applyProtection="0"/>
    <xf numFmtId="9" fontId="36" fillId="0" borderId="0" applyFont="0" applyFill="0" applyBorder="0" applyAlignment="0" applyProtection="0"/>
    <xf numFmtId="0" fontId="38" fillId="5" borderId="0" applyNumberFormat="0" applyBorder="0" applyAlignment="0" applyProtection="0"/>
    <xf numFmtId="0" fontId="40" fillId="0" borderId="0" applyNumberFormat="0" applyFill="0" applyBorder="0" applyAlignment="0" applyProtection="0"/>
    <xf numFmtId="0" fontId="41" fillId="6" borderId="13" applyNumberFormat="0" applyAlignment="0" applyProtection="0"/>
    <xf numFmtId="0" fontId="42" fillId="7" borderId="0" applyNumberFormat="0" applyBorder="0" applyAlignment="0" applyProtection="0"/>
    <xf numFmtId="0" fontId="43" fillId="8" borderId="0" applyNumberFormat="0" applyBorder="0" applyAlignment="0" applyProtection="0"/>
    <xf numFmtId="172" fontId="20" fillId="0" borderId="0"/>
    <xf numFmtId="0" fontId="46" fillId="0" borderId="0"/>
    <xf numFmtId="0" fontId="50" fillId="0" borderId="0"/>
    <xf numFmtId="0" fontId="11" fillId="0" borderId="0"/>
    <xf numFmtId="0" fontId="65" fillId="0" borderId="0"/>
    <xf numFmtId="0" fontId="11" fillId="0" borderId="0"/>
    <xf numFmtId="9" fontId="11" fillId="0" borderId="0" applyFont="0" applyFill="0" applyBorder="0" applyAlignment="0" applyProtection="0"/>
    <xf numFmtId="0" fontId="11" fillId="0" borderId="0"/>
    <xf numFmtId="164" fontId="75" fillId="0" borderId="0" applyFont="0" applyFill="0" applyBorder="0" applyAlignment="0" applyProtection="0"/>
    <xf numFmtId="0" fontId="76" fillId="0" borderId="0" applyNumberForma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11" fillId="0" borderId="0"/>
    <xf numFmtId="0" fontId="35" fillId="4" borderId="13" applyNumberFormat="0" applyAlignment="0" applyProtection="0"/>
    <xf numFmtId="0" fontId="41" fillId="6" borderId="13" applyNumberFormat="0" applyAlignment="0" applyProtection="0"/>
    <xf numFmtId="0" fontId="34" fillId="0" borderId="0" applyNumberFormat="0" applyFill="0" applyBorder="0" applyAlignment="0" applyProtection="0">
      <alignment vertical="top"/>
      <protection locked="0"/>
    </xf>
    <xf numFmtId="0" fontId="82" fillId="0" borderId="43" applyNumberFormat="0" applyFill="0" applyAlignment="0" applyProtection="0"/>
    <xf numFmtId="9" fontId="87" fillId="0" borderId="0" applyFont="0" applyFill="0" applyBorder="0" applyAlignment="0" applyProtection="0"/>
    <xf numFmtId="43" fontId="89" fillId="0" borderId="0" applyFont="0" applyFill="0" applyBorder="0" applyAlignment="0" applyProtection="0"/>
    <xf numFmtId="0" fontId="90" fillId="4" borderId="44" applyNumberFormat="0" applyAlignment="0" applyProtection="0"/>
    <xf numFmtId="0" fontId="83" fillId="0" borderId="0" applyNumberFormat="0" applyFill="0" applyBorder="0" applyAlignment="0" applyProtection="0"/>
    <xf numFmtId="0" fontId="4" fillId="0" borderId="0"/>
    <xf numFmtId="9" fontId="4" fillId="0" borderId="0" applyFont="0" applyFill="0" applyBorder="0" applyAlignment="0" applyProtection="0"/>
    <xf numFmtId="0" fontId="3" fillId="0" borderId="0"/>
    <xf numFmtId="9" fontId="3" fillId="0" borderId="0" applyFont="0" applyFill="0" applyBorder="0" applyAlignment="0" applyProtection="0"/>
    <xf numFmtId="164" fontId="3" fillId="0" borderId="0" applyFont="0" applyFill="0" applyBorder="0" applyAlignment="0" applyProtection="0"/>
    <xf numFmtId="0" fontId="2" fillId="29" borderId="0" applyNumberFormat="0" applyBorder="0" applyAlignment="0" applyProtection="0"/>
    <xf numFmtId="0" fontId="1" fillId="29" borderId="0" applyNumberFormat="0" applyBorder="0" applyAlignment="0" applyProtection="0"/>
    <xf numFmtId="0" fontId="106" fillId="30" borderId="0" applyNumberFormat="0" applyBorder="0" applyAlignment="0" applyProtection="0"/>
    <xf numFmtId="43" fontId="1" fillId="0" borderId="0" applyFont="0" applyFill="0" applyBorder="0" applyAlignment="0" applyProtection="0"/>
    <xf numFmtId="0" fontId="108" fillId="8" borderId="0" applyNumberFormat="0" applyBorder="0" applyAlignment="0" applyProtection="0"/>
    <xf numFmtId="0" fontId="20" fillId="0" borderId="0"/>
    <xf numFmtId="0" fontId="20" fillId="0" borderId="0"/>
    <xf numFmtId="0" fontId="20" fillId="0" borderId="0"/>
    <xf numFmtId="0" fontId="1" fillId="0" borderId="0"/>
    <xf numFmtId="0" fontId="20" fillId="0" borderId="0"/>
    <xf numFmtId="0" fontId="107"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cellStyleXfs>
  <cellXfs count="532">
    <xf numFmtId="0" fontId="0" fillId="0" borderId="0" xfId="0"/>
    <xf numFmtId="0" fontId="14"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6" fillId="0" borderId="0" xfId="0" applyFont="1"/>
    <xf numFmtId="0" fontId="17" fillId="0" borderId="0" xfId="0" applyFont="1"/>
    <xf numFmtId="0" fontId="18" fillId="0" borderId="0" xfId="0" applyFont="1"/>
    <xf numFmtId="0" fontId="15" fillId="0" borderId="0" xfId="0" applyFont="1"/>
    <xf numFmtId="0" fontId="16" fillId="0" borderId="0" xfId="0" applyFont="1" applyAlignment="1">
      <alignment horizontal="center" wrapText="1"/>
    </xf>
    <xf numFmtId="0" fontId="14" fillId="0" borderId="0" xfId="1" applyFont="1"/>
    <xf numFmtId="0" fontId="20" fillId="0" borderId="0" xfId="1"/>
    <xf numFmtId="0" fontId="17" fillId="0" borderId="0" xfId="1" applyFont="1"/>
    <xf numFmtId="0" fontId="23" fillId="0" borderId="0" xfId="1" applyFont="1"/>
    <xf numFmtId="0" fontId="16" fillId="0" borderId="0" xfId="1" applyFont="1"/>
    <xf numFmtId="0" fontId="24" fillId="0" borderId="0" xfId="0" applyFont="1"/>
    <xf numFmtId="0" fontId="25" fillId="0" borderId="0" xfId="0" applyFont="1"/>
    <xf numFmtId="0" fontId="26" fillId="0" borderId="0" xfId="0" applyFont="1"/>
    <xf numFmtId="0" fontId="18" fillId="0" borderId="0" xfId="1" applyFont="1"/>
    <xf numFmtId="0" fontId="25" fillId="0" borderId="0" xfId="1" applyFont="1"/>
    <xf numFmtId="0" fontId="26" fillId="0" borderId="0" xfId="1" applyFont="1"/>
    <xf numFmtId="49" fontId="25" fillId="0" borderId="0" xfId="0" applyNumberFormat="1" applyFont="1" applyAlignment="1">
      <alignment horizontal="left"/>
    </xf>
    <xf numFmtId="0" fontId="27" fillId="0" borderId="0" xfId="1" applyFont="1"/>
    <xf numFmtId="0" fontId="21" fillId="0" borderId="0" xfId="1" applyFont="1" applyAlignment="1">
      <alignment horizontal="center"/>
    </xf>
    <xf numFmtId="0" fontId="17" fillId="0" borderId="0" xfId="1" applyFont="1" applyAlignment="1">
      <alignment horizontal="center"/>
    </xf>
    <xf numFmtId="0" fontId="17" fillId="0" borderId="0" xfId="1" applyFont="1" applyAlignment="1">
      <alignment horizontal="center" wrapText="1"/>
    </xf>
    <xf numFmtId="0" fontId="23" fillId="0" borderId="0" xfId="0" applyFont="1"/>
    <xf numFmtId="0" fontId="26" fillId="3" borderId="0" xfId="0" applyFont="1" applyFill="1"/>
    <xf numFmtId="0" fontId="26" fillId="3" borderId="0" xfId="1" applyFont="1" applyFill="1"/>
    <xf numFmtId="0" fontId="17" fillId="0" borderId="0" xfId="0" applyFont="1" applyAlignment="1">
      <alignment horizontal="center"/>
    </xf>
    <xf numFmtId="0" fontId="25" fillId="0" borderId="0" xfId="0" applyFont="1" applyAlignment="1">
      <alignment horizontal="center"/>
    </xf>
    <xf numFmtId="0" fontId="30" fillId="0" borderId="0" xfId="3" applyFont="1"/>
    <xf numFmtId="0" fontId="20" fillId="0" borderId="0" xfId="3"/>
    <xf numFmtId="0" fontId="17" fillId="0" borderId="0" xfId="2" applyFont="1"/>
    <xf numFmtId="0" fontId="33" fillId="0" borderId="0" xfId="2" applyFont="1"/>
    <xf numFmtId="0" fontId="17" fillId="0" borderId="0" xfId="3" applyFont="1"/>
    <xf numFmtId="0" fontId="33" fillId="0" borderId="0" xfId="3" applyFont="1"/>
    <xf numFmtId="0" fontId="33" fillId="0" borderId="0" xfId="1" applyFont="1"/>
    <xf numFmtId="0" fontId="31" fillId="0" borderId="0" xfId="1" applyFont="1"/>
    <xf numFmtId="0" fontId="17" fillId="0" borderId="0" xfId="2" applyFont="1" applyAlignment="1">
      <alignment horizontal="right"/>
    </xf>
    <xf numFmtId="0" fontId="17" fillId="0" borderId="0" xfId="2" applyFont="1" applyAlignment="1">
      <alignment horizontal="center"/>
    </xf>
    <xf numFmtId="168" fontId="17" fillId="0" borderId="0" xfId="2" applyNumberFormat="1" applyFont="1"/>
    <xf numFmtId="2" fontId="17" fillId="0" borderId="0" xfId="2" applyNumberFormat="1" applyFont="1"/>
    <xf numFmtId="167" fontId="17" fillId="0" borderId="0" xfId="2" applyNumberFormat="1" applyFont="1"/>
    <xf numFmtId="166" fontId="17" fillId="0" borderId="0" xfId="2" applyNumberFormat="1" applyFont="1"/>
    <xf numFmtId="0" fontId="40" fillId="0" borderId="0" xfId="19"/>
    <xf numFmtId="0" fontId="17" fillId="0" borderId="0" xfId="2" applyFont="1" applyAlignment="1">
      <alignment horizontal="left"/>
    </xf>
    <xf numFmtId="0" fontId="41" fillId="6" borderId="13" xfId="20"/>
    <xf numFmtId="0" fontId="20" fillId="0" borderId="0" xfId="2"/>
    <xf numFmtId="0" fontId="26" fillId="0" borderId="0" xfId="2" applyFont="1"/>
    <xf numFmtId="0" fontId="25" fillId="0" borderId="0" xfId="2" applyFont="1"/>
    <xf numFmtId="0" fontId="16" fillId="0" borderId="0" xfId="2" applyFont="1"/>
    <xf numFmtId="0" fontId="32" fillId="0" borderId="0" xfId="1" applyFont="1"/>
    <xf numFmtId="1" fontId="17" fillId="0" borderId="0" xfId="2" applyNumberFormat="1" applyFont="1"/>
    <xf numFmtId="0" fontId="43" fillId="8" borderId="0" xfId="22"/>
    <xf numFmtId="2" fontId="17" fillId="0" borderId="0" xfId="2" applyNumberFormat="1" applyFont="1" applyAlignment="1">
      <alignment horizontal="center"/>
    </xf>
    <xf numFmtId="2" fontId="43" fillId="8" borderId="0" xfId="22" applyNumberFormat="1" applyAlignment="1">
      <alignment horizontal="center"/>
    </xf>
    <xf numFmtId="167" fontId="17" fillId="0" borderId="0" xfId="2" applyNumberFormat="1" applyFont="1" applyAlignment="1">
      <alignment horizontal="center"/>
    </xf>
    <xf numFmtId="166" fontId="17" fillId="0" borderId="0" xfId="2" applyNumberFormat="1" applyFont="1" applyAlignment="1">
      <alignment horizontal="center"/>
    </xf>
    <xf numFmtId="0" fontId="16" fillId="0" borderId="0" xfId="2" applyFont="1" applyAlignment="1">
      <alignment horizontal="center" wrapText="1"/>
    </xf>
    <xf numFmtId="0" fontId="27" fillId="0" borderId="0" xfId="2" applyFont="1"/>
    <xf numFmtId="0" fontId="26" fillId="0" borderId="0" xfId="2" applyFont="1" applyAlignment="1">
      <alignment wrapText="1"/>
    </xf>
    <xf numFmtId="0" fontId="25" fillId="0" borderId="0" xfId="2" applyFont="1" applyAlignment="1">
      <alignment horizontal="center"/>
    </xf>
    <xf numFmtId="0" fontId="17" fillId="0" borderId="0" xfId="2" applyFont="1" applyAlignment="1">
      <alignment wrapText="1"/>
    </xf>
    <xf numFmtId="3" fontId="17" fillId="0" borderId="0" xfId="2" applyNumberFormat="1" applyFont="1"/>
    <xf numFmtId="1" fontId="17" fillId="0" borderId="0" xfId="2" applyNumberFormat="1" applyFont="1" applyAlignment="1">
      <alignment horizontal="center"/>
    </xf>
    <xf numFmtId="2" fontId="38" fillId="5" borderId="0" xfId="18" applyNumberFormat="1" applyAlignment="1">
      <alignment horizontal="center"/>
    </xf>
    <xf numFmtId="166" fontId="42" fillId="7" borderId="0" xfId="21" applyNumberFormat="1" applyAlignment="1">
      <alignment horizontal="center"/>
    </xf>
    <xf numFmtId="4" fontId="17" fillId="0" borderId="0" xfId="2" applyNumberFormat="1" applyFont="1"/>
    <xf numFmtId="9" fontId="17" fillId="0" borderId="0" xfId="2" applyNumberFormat="1" applyFont="1" applyAlignment="1">
      <alignment horizontal="center"/>
    </xf>
    <xf numFmtId="2" fontId="20" fillId="0" borderId="0" xfId="2" applyNumberFormat="1"/>
    <xf numFmtId="10" fontId="17" fillId="0" borderId="0" xfId="2" applyNumberFormat="1" applyFont="1" applyAlignment="1">
      <alignment horizontal="center"/>
    </xf>
    <xf numFmtId="0" fontId="46" fillId="0" borderId="0" xfId="24"/>
    <xf numFmtId="0" fontId="47" fillId="0" borderId="0" xfId="24" applyFont="1"/>
    <xf numFmtId="0" fontId="48" fillId="0" borderId="0" xfId="24" applyFont="1"/>
    <xf numFmtId="0" fontId="49" fillId="0" borderId="0" xfId="24" applyFont="1"/>
    <xf numFmtId="9" fontId="46" fillId="0" borderId="0" xfId="24" applyNumberFormat="1"/>
    <xf numFmtId="2" fontId="46" fillId="0" borderId="0" xfId="24" applyNumberFormat="1"/>
    <xf numFmtId="165" fontId="46" fillId="0" borderId="0" xfId="24" applyNumberFormat="1"/>
    <xf numFmtId="165" fontId="38" fillId="5" borderId="0" xfId="18" applyNumberFormat="1"/>
    <xf numFmtId="167" fontId="46" fillId="0" borderId="0" xfId="24" applyNumberFormat="1"/>
    <xf numFmtId="0" fontId="50" fillId="0" borderId="0" xfId="25" applyAlignment="1">
      <alignment horizontal="left" vertical="top"/>
    </xf>
    <xf numFmtId="171" fontId="0" fillId="0" borderId="0" xfId="8" applyNumberFormat="1" applyFont="1"/>
    <xf numFmtId="9" fontId="50" fillId="0" borderId="0" xfId="8" applyFont="1" applyAlignment="1">
      <alignment horizontal="left" vertical="top"/>
    </xf>
    <xf numFmtId="10" fontId="17" fillId="0" borderId="15" xfId="8" applyNumberFormat="1" applyFont="1" applyBorder="1" applyAlignment="1">
      <alignment horizontal="right" vertical="top" wrapText="1"/>
    </xf>
    <xf numFmtId="0" fontId="17" fillId="9" borderId="15" xfId="25" applyFont="1" applyFill="1" applyBorder="1" applyAlignment="1">
      <alignment horizontal="left" vertical="top" wrapText="1"/>
    </xf>
    <xf numFmtId="0" fontId="17" fillId="9" borderId="15" xfId="25" applyFont="1" applyFill="1" applyBorder="1" applyAlignment="1">
      <alignment horizontal="right" vertical="top" wrapText="1"/>
    </xf>
    <xf numFmtId="173" fontId="27" fillId="9" borderId="15" xfId="25" applyNumberFormat="1" applyFont="1" applyFill="1" applyBorder="1" applyAlignment="1">
      <alignment horizontal="center" vertical="top" wrapText="1"/>
    </xf>
    <xf numFmtId="1" fontId="27" fillId="9" borderId="15" xfId="25" applyNumberFormat="1" applyFont="1" applyFill="1" applyBorder="1" applyAlignment="1">
      <alignment horizontal="center" vertical="top" wrapText="1"/>
    </xf>
    <xf numFmtId="10" fontId="41" fillId="6" borderId="13" xfId="20" applyNumberFormat="1"/>
    <xf numFmtId="171" fontId="14" fillId="0" borderId="0" xfId="8" applyNumberFormat="1" applyFont="1"/>
    <xf numFmtId="0" fontId="50" fillId="0" borderId="0" xfId="25" applyAlignment="1">
      <alignment horizontal="right" vertical="top"/>
    </xf>
    <xf numFmtId="10" fontId="50" fillId="0" borderId="0" xfId="25" applyNumberFormat="1" applyAlignment="1">
      <alignment horizontal="left" vertical="top"/>
    </xf>
    <xf numFmtId="0" fontId="17" fillId="9" borderId="0" xfId="25" applyFont="1" applyFill="1" applyAlignment="1">
      <alignment horizontal="left" vertical="top" wrapText="1"/>
    </xf>
    <xf numFmtId="1" fontId="20" fillId="0" borderId="0" xfId="2" applyNumberFormat="1"/>
    <xf numFmtId="171" fontId="50" fillId="0" borderId="0" xfId="8" applyNumberFormat="1" applyFont="1" applyAlignment="1">
      <alignment horizontal="left" vertical="top"/>
    </xf>
    <xf numFmtId="0" fontId="50" fillId="9" borderId="0" xfId="25" applyFill="1" applyAlignment="1">
      <alignment horizontal="left" vertical="top" wrapText="1"/>
    </xf>
    <xf numFmtId="0" fontId="50" fillId="9" borderId="15" xfId="25" applyFill="1" applyBorder="1" applyAlignment="1">
      <alignment horizontal="left" vertical="top" wrapText="1"/>
    </xf>
    <xf numFmtId="0" fontId="50" fillId="9" borderId="18" xfId="25" applyFill="1" applyBorder="1" applyAlignment="1">
      <alignment horizontal="left" vertical="top" wrapText="1"/>
    </xf>
    <xf numFmtId="0" fontId="17" fillId="0" borderId="15" xfId="25" applyFont="1" applyBorder="1" applyAlignment="1">
      <alignment horizontal="right" vertical="top" wrapText="1"/>
    </xf>
    <xf numFmtId="1" fontId="27" fillId="9" borderId="15" xfId="25" applyNumberFormat="1" applyFont="1" applyFill="1" applyBorder="1" applyAlignment="1">
      <alignment horizontal="right" vertical="top" wrapText="1"/>
    </xf>
    <xf numFmtId="166" fontId="20" fillId="0" borderId="0" xfId="2" applyNumberFormat="1"/>
    <xf numFmtId="165" fontId="50" fillId="0" borderId="0" xfId="25" applyNumberFormat="1" applyAlignment="1">
      <alignment horizontal="left" vertical="top"/>
    </xf>
    <xf numFmtId="170" fontId="50" fillId="0" borderId="0" xfId="7" applyNumberFormat="1" applyFont="1" applyAlignment="1">
      <alignment horizontal="left" vertical="top"/>
    </xf>
    <xf numFmtId="170" fontId="17" fillId="0" borderId="0" xfId="7" applyNumberFormat="1" applyFont="1" applyAlignment="1">
      <alignment horizontal="right" vertical="top" wrapText="1"/>
    </xf>
    <xf numFmtId="170" fontId="17" fillId="0" borderId="15" xfId="7" applyNumberFormat="1" applyFont="1" applyBorder="1" applyAlignment="1">
      <alignment horizontal="right" vertical="top" wrapText="1"/>
    </xf>
    <xf numFmtId="170" fontId="50" fillId="0" borderId="0" xfId="7" applyNumberFormat="1" applyFont="1" applyAlignment="1">
      <alignment horizontal="right" vertical="top" wrapText="1"/>
    </xf>
    <xf numFmtId="170" fontId="50" fillId="0" borderId="15" xfId="7" applyNumberFormat="1" applyFont="1" applyBorder="1" applyAlignment="1">
      <alignment horizontal="left" vertical="top" wrapText="1"/>
    </xf>
    <xf numFmtId="170" fontId="50" fillId="0" borderId="0" xfId="7" applyNumberFormat="1" applyFont="1" applyAlignment="1">
      <alignment horizontal="left" vertical="top" wrapText="1"/>
    </xf>
    <xf numFmtId="170" fontId="27" fillId="0" borderId="0" xfId="7" applyNumberFormat="1" applyFont="1" applyAlignment="1">
      <alignment horizontal="right" vertical="top" wrapText="1"/>
    </xf>
    <xf numFmtId="170" fontId="27" fillId="0" borderId="15" xfId="7" applyNumberFormat="1" applyFont="1" applyBorder="1" applyAlignment="1">
      <alignment horizontal="right" vertical="top" wrapText="1"/>
    </xf>
    <xf numFmtId="170" fontId="38" fillId="5" borderId="0" xfId="18" applyNumberFormat="1" applyAlignment="1">
      <alignment horizontal="left" vertical="top"/>
    </xf>
    <xf numFmtId="0" fontId="16" fillId="9" borderId="0" xfId="25" applyFont="1" applyFill="1" applyAlignment="1">
      <alignment horizontal="left" vertical="top" wrapText="1" indent="1"/>
    </xf>
    <xf numFmtId="0" fontId="16" fillId="9" borderId="15" xfId="25" applyFont="1" applyFill="1" applyBorder="1" applyAlignment="1">
      <alignment horizontal="left" vertical="top" wrapText="1" indent="1"/>
    </xf>
    <xf numFmtId="0" fontId="41" fillId="6" borderId="13" xfId="20" applyAlignment="1">
      <alignment horizontal="center" vertical="top"/>
    </xf>
    <xf numFmtId="0" fontId="16" fillId="9" borderId="0" xfId="25" applyFont="1" applyFill="1" applyAlignment="1">
      <alignment horizontal="left" wrapText="1"/>
    </xf>
    <xf numFmtId="0" fontId="50" fillId="9" borderId="19" xfId="25" applyFill="1" applyBorder="1" applyAlignment="1">
      <alignment horizontal="left" vertical="top" wrapText="1"/>
    </xf>
    <xf numFmtId="0" fontId="54" fillId="0" borderId="0" xfId="25" applyFont="1" applyAlignment="1">
      <alignment horizontal="left" vertical="top"/>
    </xf>
    <xf numFmtId="2" fontId="50" fillId="0" borderId="0" xfId="25" applyNumberFormat="1" applyAlignment="1">
      <alignment horizontal="right" vertical="top"/>
    </xf>
    <xf numFmtId="0" fontId="55" fillId="0" borderId="15" xfId="25" applyFont="1" applyBorder="1" applyAlignment="1">
      <alignment horizontal="right" vertical="top" wrapText="1"/>
    </xf>
    <xf numFmtId="0" fontId="39" fillId="0" borderId="15" xfId="25" applyFont="1" applyBorder="1" applyAlignment="1">
      <alignment horizontal="right" vertical="top" wrapText="1"/>
    </xf>
    <xf numFmtId="0" fontId="56" fillId="9" borderId="15" xfId="25" applyFont="1" applyFill="1" applyBorder="1" applyAlignment="1">
      <alignment horizontal="left" vertical="top" wrapText="1"/>
    </xf>
    <xf numFmtId="0" fontId="56" fillId="9" borderId="15" xfId="25" applyFont="1" applyFill="1" applyBorder="1" applyAlignment="1">
      <alignment horizontal="center" vertical="top" wrapText="1"/>
    </xf>
    <xf numFmtId="173" fontId="57" fillId="0" borderId="15" xfId="25" applyNumberFormat="1" applyFont="1" applyBorder="1" applyAlignment="1">
      <alignment horizontal="center" vertical="top" wrapText="1"/>
    </xf>
    <xf numFmtId="173" fontId="57" fillId="0" borderId="15" xfId="25" applyNumberFormat="1" applyFont="1" applyBorder="1" applyAlignment="1">
      <alignment horizontal="left" vertical="top" wrapText="1" indent="1"/>
    </xf>
    <xf numFmtId="1" fontId="57" fillId="0" borderId="15" xfId="25" applyNumberFormat="1" applyFont="1" applyBorder="1" applyAlignment="1">
      <alignment horizontal="center" vertical="top" wrapText="1"/>
    </xf>
    <xf numFmtId="0" fontId="56" fillId="0" borderId="15" xfId="25" applyFont="1" applyBorder="1" applyAlignment="1">
      <alignment horizontal="left" vertical="top" wrapText="1"/>
    </xf>
    <xf numFmtId="0" fontId="56" fillId="9" borderId="15" xfId="25" applyFont="1" applyFill="1" applyBorder="1" applyAlignment="1">
      <alignment horizontal="center" vertical="center" wrapText="1"/>
    </xf>
    <xf numFmtId="173" fontId="57" fillId="0" borderId="15" xfId="25" applyNumberFormat="1" applyFont="1" applyBorder="1" applyAlignment="1">
      <alignment horizontal="center" vertical="center" wrapText="1"/>
    </xf>
    <xf numFmtId="173" fontId="57" fillId="0" borderId="15" xfId="25" applyNumberFormat="1" applyFont="1" applyBorder="1" applyAlignment="1">
      <alignment horizontal="left" vertical="center" wrapText="1" indent="1"/>
    </xf>
    <xf numFmtId="1" fontId="57" fillId="0" borderId="15" xfId="25" applyNumberFormat="1" applyFont="1" applyBorder="1" applyAlignment="1">
      <alignment horizontal="center" vertical="center" wrapText="1"/>
    </xf>
    <xf numFmtId="0" fontId="56" fillId="0" borderId="15" xfId="25" applyFont="1" applyBorder="1" applyAlignment="1">
      <alignment horizontal="left" vertical="center" wrapText="1"/>
    </xf>
    <xf numFmtId="0" fontId="58" fillId="0" borderId="15" xfId="25" applyFont="1" applyBorder="1" applyAlignment="1">
      <alignment horizontal="right" vertical="top" wrapText="1"/>
    </xf>
    <xf numFmtId="0" fontId="59" fillId="9" borderId="15" xfId="25" applyFont="1" applyFill="1" applyBorder="1" applyAlignment="1">
      <alignment horizontal="left" vertical="top" wrapText="1" indent="1"/>
    </xf>
    <xf numFmtId="0" fontId="59" fillId="9" borderId="17" xfId="25" applyFont="1" applyFill="1" applyBorder="1" applyAlignment="1">
      <alignment horizontal="left" vertical="top" wrapText="1" indent="1"/>
    </xf>
    <xf numFmtId="0" fontId="59" fillId="9" borderId="18" xfId="25" applyFont="1" applyFill="1" applyBorder="1" applyAlignment="1">
      <alignment horizontal="left" vertical="center" wrapText="1"/>
    </xf>
    <xf numFmtId="0" fontId="59" fillId="9" borderId="16" xfId="25" applyFont="1" applyFill="1" applyBorder="1" applyAlignment="1">
      <alignment horizontal="left" vertical="center" wrapText="1"/>
    </xf>
    <xf numFmtId="0" fontId="59" fillId="9" borderId="17" xfId="25" applyFont="1" applyFill="1" applyBorder="1" applyAlignment="1">
      <alignment horizontal="left" vertical="center" wrapText="1"/>
    </xf>
    <xf numFmtId="0" fontId="59" fillId="9" borderId="15" xfId="25" applyFont="1" applyFill="1" applyBorder="1" applyAlignment="1">
      <alignment horizontal="left" vertical="center" wrapText="1"/>
    </xf>
    <xf numFmtId="0" fontId="59" fillId="9" borderId="15" xfId="25" applyFont="1" applyFill="1" applyBorder="1" applyAlignment="1">
      <alignment horizontal="center" vertical="center" wrapText="1"/>
    </xf>
    <xf numFmtId="0" fontId="59" fillId="9" borderId="15" xfId="25" applyFont="1" applyFill="1" applyBorder="1" applyAlignment="1">
      <alignment horizontal="center" vertical="top" wrapText="1"/>
    </xf>
    <xf numFmtId="0" fontId="59" fillId="9" borderId="15" xfId="25" applyFont="1" applyFill="1" applyBorder="1" applyAlignment="1">
      <alignment horizontal="left" vertical="center" wrapText="1" indent="1"/>
    </xf>
    <xf numFmtId="0" fontId="50" fillId="0" borderId="0" xfId="25" applyAlignment="1">
      <alignment horizontal="left" vertical="top" wrapText="1" indent="1"/>
    </xf>
    <xf numFmtId="0" fontId="50" fillId="0" borderId="0" xfId="25" applyAlignment="1">
      <alignment horizontal="left" vertical="top" indent="1"/>
    </xf>
    <xf numFmtId="0" fontId="56" fillId="0" borderId="0" xfId="25" applyFont="1" applyAlignment="1">
      <alignment horizontal="left" vertical="top" wrapText="1" indent="1"/>
    </xf>
    <xf numFmtId="0" fontId="56" fillId="0" borderId="0" xfId="25" applyFont="1" applyAlignment="1">
      <alignment horizontal="left" vertical="top" indent="1"/>
    </xf>
    <xf numFmtId="166" fontId="50" fillId="0" borderId="0" xfId="25" applyNumberFormat="1" applyAlignment="1">
      <alignment horizontal="right" vertical="top"/>
    </xf>
    <xf numFmtId="0" fontId="60" fillId="0" borderId="0" xfId="25" applyFont="1" applyAlignment="1">
      <alignment horizontal="left" vertical="top" wrapText="1" indent="1"/>
    </xf>
    <xf numFmtId="170" fontId="56" fillId="0" borderId="15" xfId="7" applyNumberFormat="1" applyFont="1" applyBorder="1" applyAlignment="1">
      <alignment horizontal="right" vertical="top" wrapText="1"/>
    </xf>
    <xf numFmtId="170" fontId="56" fillId="0" borderId="17" xfId="7" applyNumberFormat="1" applyFont="1" applyBorder="1" applyAlignment="1">
      <alignment horizontal="right" vertical="top" wrapText="1"/>
    </xf>
    <xf numFmtId="171" fontId="41" fillId="6" borderId="13" xfId="20" applyNumberFormat="1" applyAlignment="1">
      <alignment horizontal="right" vertical="top"/>
    </xf>
    <xf numFmtId="170" fontId="50" fillId="0" borderId="17" xfId="7" applyNumberFormat="1" applyFont="1" applyBorder="1" applyAlignment="1">
      <alignment horizontal="left" vertical="top" wrapText="1"/>
    </xf>
    <xf numFmtId="170" fontId="56" fillId="0" borderId="15" xfId="7" applyNumberFormat="1" applyFont="1" applyBorder="1" applyAlignment="1">
      <alignment horizontal="right" vertical="center" wrapText="1"/>
    </xf>
    <xf numFmtId="170" fontId="56" fillId="0" borderId="17" xfId="7" applyNumberFormat="1" applyFont="1" applyBorder="1" applyAlignment="1">
      <alignment horizontal="right" vertical="center" wrapText="1"/>
    </xf>
    <xf numFmtId="170" fontId="61" fillId="0" borderId="15" xfId="7" applyNumberFormat="1" applyFont="1" applyBorder="1" applyAlignment="1">
      <alignment horizontal="right" vertical="top" wrapText="1"/>
    </xf>
    <xf numFmtId="170" fontId="61" fillId="0" borderId="17" xfId="7" applyNumberFormat="1" applyFont="1" applyBorder="1" applyAlignment="1">
      <alignment horizontal="right" vertical="top" wrapText="1"/>
    </xf>
    <xf numFmtId="0" fontId="39" fillId="0" borderId="21" xfId="25" applyFont="1" applyBorder="1" applyAlignment="1">
      <alignment horizontal="left" vertical="top" wrapText="1" indent="14"/>
    </xf>
    <xf numFmtId="0" fontId="40" fillId="0" borderId="0" xfId="19" applyAlignment="1">
      <alignment horizontal="left" vertical="top"/>
    </xf>
    <xf numFmtId="170" fontId="20" fillId="0" borderId="0" xfId="2" applyNumberFormat="1"/>
    <xf numFmtId="170" fontId="0" fillId="0" borderId="0" xfId="7" applyNumberFormat="1" applyFont="1"/>
    <xf numFmtId="15" fontId="20" fillId="0" borderId="0" xfId="2" applyNumberFormat="1"/>
    <xf numFmtId="0" fontId="11" fillId="0" borderId="0" xfId="26"/>
    <xf numFmtId="4" fontId="11" fillId="0" borderId="0" xfId="26" applyNumberFormat="1"/>
    <xf numFmtId="4" fontId="62" fillId="0" borderId="26" xfId="26" quotePrefix="1" applyNumberFormat="1" applyFont="1" applyBorder="1" applyAlignment="1">
      <alignment horizontal="right" wrapText="1"/>
    </xf>
    <xf numFmtId="4" fontId="62" fillId="0" borderId="27" xfId="26" quotePrefix="1" applyNumberFormat="1" applyFont="1" applyBorder="1" applyAlignment="1">
      <alignment horizontal="right" wrapText="1"/>
    </xf>
    <xf numFmtId="0" fontId="62" fillId="0" borderId="27" xfId="26" quotePrefix="1" applyFont="1" applyBorder="1" applyAlignment="1">
      <alignment horizontal="right" wrapText="1"/>
    </xf>
    <xf numFmtId="0" fontId="11" fillId="3" borderId="28" xfId="26" applyFill="1" applyBorder="1"/>
    <xf numFmtId="0" fontId="62" fillId="0" borderId="26" xfId="26" quotePrefix="1" applyFont="1" applyBorder="1" applyAlignment="1">
      <alignment horizontal="left" wrapText="1"/>
    </xf>
    <xf numFmtId="0" fontId="62" fillId="0" borderId="27" xfId="26" quotePrefix="1" applyFont="1" applyBorder="1" applyAlignment="1">
      <alignment horizontal="left" wrapText="1"/>
    </xf>
    <xf numFmtId="4" fontId="62" fillId="0" borderId="29" xfId="26" quotePrefix="1" applyNumberFormat="1" applyFont="1" applyBorder="1" applyAlignment="1">
      <alignment horizontal="right" wrapText="1"/>
    </xf>
    <xf numFmtId="4" fontId="62" fillId="0" borderId="30" xfId="26" quotePrefix="1" applyNumberFormat="1" applyFont="1" applyBorder="1" applyAlignment="1">
      <alignment horizontal="right" wrapText="1"/>
    </xf>
    <xf numFmtId="0" fontId="62" fillId="0" borderId="30" xfId="26" quotePrefix="1" applyFont="1" applyBorder="1" applyAlignment="1">
      <alignment horizontal="right" wrapText="1"/>
    </xf>
    <xf numFmtId="0" fontId="11" fillId="3" borderId="9" xfId="26" applyFill="1" applyBorder="1"/>
    <xf numFmtId="0" fontId="62" fillId="0" borderId="29" xfId="26" quotePrefix="1" applyFont="1" applyBorder="1" applyAlignment="1">
      <alignment horizontal="left" wrapText="1"/>
    </xf>
    <xf numFmtId="0" fontId="62" fillId="0" borderId="30" xfId="26" quotePrefix="1" applyFont="1" applyBorder="1" applyAlignment="1">
      <alignment horizontal="left" wrapText="1"/>
    </xf>
    <xf numFmtId="174" fontId="62" fillId="0" borderId="30" xfId="26" quotePrefix="1" applyNumberFormat="1" applyFont="1" applyBorder="1" applyAlignment="1">
      <alignment horizontal="left" wrapText="1"/>
    </xf>
    <xf numFmtId="0" fontId="62" fillId="0" borderId="31" xfId="26" quotePrefix="1" applyFont="1" applyBorder="1" applyAlignment="1">
      <alignment horizontal="left" wrapText="1"/>
    </xf>
    <xf numFmtId="4" fontId="62" fillId="0" borderId="32" xfId="26" quotePrefix="1" applyNumberFormat="1" applyFont="1" applyBorder="1" applyAlignment="1">
      <alignment horizontal="right" wrapText="1"/>
    </xf>
    <xf numFmtId="0" fontId="62" fillId="0" borderId="33" xfId="26" quotePrefix="1" applyFont="1" applyBorder="1" applyAlignment="1">
      <alignment horizontal="right" wrapText="1"/>
    </xf>
    <xf numFmtId="0" fontId="11" fillId="3" borderId="34" xfId="26" applyFill="1" applyBorder="1"/>
    <xf numFmtId="0" fontId="62" fillId="0" borderId="32" xfId="26" quotePrefix="1" applyFont="1" applyBorder="1" applyAlignment="1">
      <alignment horizontal="left" wrapText="1"/>
    </xf>
    <xf numFmtId="0" fontId="62" fillId="0" borderId="33" xfId="26" quotePrefix="1" applyFont="1" applyBorder="1" applyAlignment="1">
      <alignment horizontal="left" wrapText="1"/>
    </xf>
    <xf numFmtId="166" fontId="63" fillId="10" borderId="14" xfId="26" applyNumberFormat="1" applyFont="1" applyFill="1" applyBorder="1" applyAlignment="1">
      <alignment wrapText="1"/>
    </xf>
    <xf numFmtId="0" fontId="64" fillId="10" borderId="14" xfId="26" applyFont="1" applyFill="1" applyBorder="1" applyAlignment="1">
      <alignment wrapText="1"/>
    </xf>
    <xf numFmtId="0" fontId="29" fillId="3" borderId="35" xfId="26" applyFont="1" applyFill="1" applyBorder="1"/>
    <xf numFmtId="0" fontId="64" fillId="10" borderId="14" xfId="26" applyFont="1" applyFill="1" applyBorder="1"/>
    <xf numFmtId="0" fontId="65" fillId="0" borderId="0" xfId="27"/>
    <xf numFmtId="3" fontId="66" fillId="0" borderId="0" xfId="27" applyNumberFormat="1" applyFont="1"/>
    <xf numFmtId="9" fontId="65" fillId="0" borderId="0" xfId="8" applyFont="1"/>
    <xf numFmtId="9" fontId="66" fillId="0" borderId="0" xfId="27" applyNumberFormat="1" applyFont="1"/>
    <xf numFmtId="0" fontId="66" fillId="0" borderId="0" xfId="27" applyFont="1"/>
    <xf numFmtId="10" fontId="66" fillId="0" borderId="0" xfId="27" applyNumberFormat="1" applyFont="1"/>
    <xf numFmtId="171" fontId="66" fillId="0" borderId="0" xfId="27" applyNumberFormat="1" applyFont="1"/>
    <xf numFmtId="4" fontId="67" fillId="0" borderId="20" xfId="27" applyNumberFormat="1" applyFont="1" applyBorder="1" applyAlignment="1">
      <alignment horizontal="right"/>
    </xf>
    <xf numFmtId="0" fontId="67" fillId="0" borderId="20" xfId="27" applyFont="1" applyBorder="1" applyAlignment="1">
      <alignment horizontal="right"/>
    </xf>
    <xf numFmtId="0" fontId="68" fillId="11" borderId="20" xfId="27" applyFont="1" applyFill="1" applyBorder="1"/>
    <xf numFmtId="0" fontId="67" fillId="11" borderId="20" xfId="27" applyFont="1" applyFill="1" applyBorder="1" applyAlignment="1">
      <alignment horizontal="left"/>
    </xf>
    <xf numFmtId="0" fontId="67" fillId="0" borderId="20" xfId="27" applyFont="1" applyBorder="1" applyAlignment="1">
      <alignment horizontal="left"/>
    </xf>
    <xf numFmtId="0" fontId="67" fillId="0" borderId="19" xfId="27" applyFont="1" applyBorder="1" applyAlignment="1">
      <alignment horizontal="left"/>
    </xf>
    <xf numFmtId="0" fontId="67" fillId="12" borderId="20" xfId="27" applyFont="1" applyFill="1" applyBorder="1" applyAlignment="1">
      <alignment horizontal="left"/>
    </xf>
    <xf numFmtId="0" fontId="67" fillId="12" borderId="19" xfId="27" applyFont="1" applyFill="1" applyBorder="1" applyAlignment="1">
      <alignment horizontal="left"/>
    </xf>
    <xf numFmtId="4" fontId="68" fillId="0" borderId="20" xfId="27" applyNumberFormat="1" applyFont="1" applyBorder="1" applyAlignment="1">
      <alignment horizontal="right"/>
    </xf>
    <xf numFmtId="0" fontId="68" fillId="0" borderId="20" xfId="27" applyFont="1" applyBorder="1" applyAlignment="1">
      <alignment horizontal="right"/>
    </xf>
    <xf numFmtId="4" fontId="38" fillId="5" borderId="20" xfId="18" applyNumberFormat="1" applyBorder="1" applyAlignment="1">
      <alignment horizontal="right"/>
    </xf>
    <xf numFmtId="0" fontId="68" fillId="0" borderId="20" xfId="27" applyFont="1" applyBorder="1"/>
    <xf numFmtId="0" fontId="68" fillId="0" borderId="19" xfId="27" applyFont="1" applyBorder="1"/>
    <xf numFmtId="0" fontId="69" fillId="13" borderId="18" xfId="27" applyFont="1" applyFill="1" applyBorder="1"/>
    <xf numFmtId="0" fontId="70" fillId="11" borderId="18" xfId="27" applyFont="1" applyFill="1" applyBorder="1"/>
    <xf numFmtId="0" fontId="69" fillId="11" borderId="18" xfId="27" applyFont="1" applyFill="1" applyBorder="1"/>
    <xf numFmtId="0" fontId="69" fillId="13" borderId="15" xfId="27" applyFont="1" applyFill="1" applyBorder="1"/>
    <xf numFmtId="9" fontId="0" fillId="0" borderId="0" xfId="8" applyFont="1"/>
    <xf numFmtId="3" fontId="20" fillId="0" borderId="0" xfId="2" applyNumberFormat="1"/>
    <xf numFmtId="3" fontId="43" fillId="8" borderId="0" xfId="22" applyNumberFormat="1"/>
    <xf numFmtId="0" fontId="71" fillId="0" borderId="36" xfId="2" applyFont="1" applyBorder="1" applyAlignment="1">
      <alignment horizontal="left" vertical="center" wrapText="1"/>
    </xf>
    <xf numFmtId="3" fontId="38" fillId="5" borderId="0" xfId="18" applyNumberFormat="1"/>
    <xf numFmtId="0" fontId="69" fillId="13" borderId="20" xfId="27" applyFont="1" applyFill="1" applyBorder="1"/>
    <xf numFmtId="0" fontId="71" fillId="0" borderId="0" xfId="2" applyFont="1" applyAlignment="1">
      <alignment horizontal="left" vertical="center" wrapText="1"/>
    </xf>
    <xf numFmtId="4" fontId="71" fillId="0" borderId="37" xfId="2" applyNumberFormat="1" applyFont="1" applyBorder="1" applyAlignment="1">
      <alignment horizontal="right" vertical="center" wrapText="1"/>
    </xf>
    <xf numFmtId="0" fontId="71" fillId="0" borderId="37" xfId="2" applyFont="1" applyBorder="1" applyAlignment="1">
      <alignment horizontal="center" vertical="center" wrapText="1"/>
    </xf>
    <xf numFmtId="4" fontId="71" fillId="0" borderId="37" xfId="2" applyNumberFormat="1" applyFont="1" applyBorder="1" applyAlignment="1">
      <alignment horizontal="left" vertical="center" wrapText="1"/>
    </xf>
    <xf numFmtId="4" fontId="71" fillId="0" borderId="37" xfId="2" applyNumberFormat="1" applyFont="1" applyBorder="1" applyAlignment="1">
      <alignment horizontal="center" vertical="center" wrapText="1"/>
    </xf>
    <xf numFmtId="0" fontId="71" fillId="0" borderId="37" xfId="2" applyFont="1" applyBorder="1" applyAlignment="1">
      <alignment horizontal="left" vertical="center" wrapText="1"/>
    </xf>
    <xf numFmtId="2" fontId="71" fillId="0" borderId="37" xfId="2" applyNumberFormat="1" applyFont="1" applyBorder="1" applyAlignment="1">
      <alignment horizontal="left" vertical="center" wrapText="1"/>
    </xf>
    <xf numFmtId="0" fontId="72" fillId="14" borderId="38" xfId="2" applyFont="1" applyFill="1" applyBorder="1" applyAlignment="1">
      <alignment horizontal="left" vertical="center" wrapText="1"/>
    </xf>
    <xf numFmtId="0" fontId="72" fillId="14" borderId="39" xfId="2" applyFont="1" applyFill="1" applyBorder="1" applyAlignment="1">
      <alignment horizontal="left" vertical="center" wrapText="1"/>
    </xf>
    <xf numFmtId="0" fontId="72" fillId="14" borderId="40" xfId="2" applyFont="1" applyFill="1" applyBorder="1" applyAlignment="1">
      <alignment horizontal="left" vertical="center" wrapText="1"/>
    </xf>
    <xf numFmtId="0" fontId="14" fillId="0" borderId="0" xfId="2" applyFont="1"/>
    <xf numFmtId="0" fontId="11" fillId="0" borderId="0" xfId="28"/>
    <xf numFmtId="2" fontId="11" fillId="0" borderId="0" xfId="28" applyNumberFormat="1"/>
    <xf numFmtId="170" fontId="11" fillId="0" borderId="0" xfId="7" applyNumberFormat="1" applyFont="1"/>
    <xf numFmtId="9" fontId="11" fillId="0" borderId="0" xfId="28" applyNumberFormat="1"/>
    <xf numFmtId="3" fontId="11" fillId="0" borderId="0" xfId="28" applyNumberFormat="1"/>
    <xf numFmtId="2" fontId="73" fillId="0" borderId="0" xfId="28" applyNumberFormat="1" applyFont="1" applyAlignment="1">
      <alignment wrapText="1"/>
    </xf>
    <xf numFmtId="2" fontId="74" fillId="0" borderId="9" xfId="28" applyNumberFormat="1" applyFont="1" applyBorder="1" applyAlignment="1">
      <alignment horizontal="center"/>
    </xf>
    <xf numFmtId="0" fontId="11" fillId="0" borderId="9" xfId="28" applyBorder="1" applyAlignment="1">
      <alignment horizontal="center"/>
    </xf>
    <xf numFmtId="165" fontId="74" fillId="0" borderId="9" xfId="28" applyNumberFormat="1" applyFont="1" applyBorder="1" applyAlignment="1">
      <alignment horizontal="center"/>
    </xf>
    <xf numFmtId="0" fontId="74" fillId="0" borderId="9" xfId="28" applyFont="1" applyBorder="1" applyAlignment="1">
      <alignment horizontal="center"/>
    </xf>
    <xf numFmtId="0" fontId="11" fillId="0" borderId="9" xfId="28" applyBorder="1"/>
    <xf numFmtId="2" fontId="63" fillId="0" borderId="9" xfId="28" applyNumberFormat="1" applyFont="1" applyBorder="1" applyAlignment="1">
      <alignment wrapText="1"/>
    </xf>
    <xf numFmtId="1" fontId="74" fillId="0" borderId="9" xfId="28" applyNumberFormat="1" applyFont="1" applyBorder="1" applyAlignment="1">
      <alignment horizontal="center"/>
    </xf>
    <xf numFmtId="2" fontId="74" fillId="0" borderId="9" xfId="28" applyNumberFormat="1" applyFont="1" applyBorder="1"/>
    <xf numFmtId="2" fontId="74" fillId="0" borderId="0" xfId="28" applyNumberFormat="1" applyFont="1"/>
    <xf numFmtId="2" fontId="73" fillId="0" borderId="9" xfId="28" applyNumberFormat="1" applyFont="1" applyBorder="1" applyAlignment="1">
      <alignment wrapText="1"/>
    </xf>
    <xf numFmtId="2" fontId="74" fillId="0" borderId="11" xfId="28" applyNumberFormat="1" applyFont="1" applyBorder="1"/>
    <xf numFmtId="165" fontId="74" fillId="0" borderId="9" xfId="28" applyNumberFormat="1" applyFont="1" applyBorder="1"/>
    <xf numFmtId="165" fontId="74" fillId="0" borderId="11" xfId="28" applyNumberFormat="1" applyFont="1" applyBorder="1"/>
    <xf numFmtId="165" fontId="74" fillId="0" borderId="0" xfId="28" applyNumberFormat="1" applyFont="1"/>
    <xf numFmtId="1" fontId="74" fillId="0" borderId="9" xfId="28" applyNumberFormat="1" applyFont="1" applyBorder="1"/>
    <xf numFmtId="2" fontId="67" fillId="0" borderId="9" xfId="28" applyNumberFormat="1" applyFont="1" applyBorder="1" applyAlignment="1">
      <alignment wrapText="1"/>
    </xf>
    <xf numFmtId="2" fontId="11" fillId="15" borderId="9" xfId="28" applyNumberFormat="1" applyFill="1" applyBorder="1" applyAlignment="1">
      <alignment wrapText="1"/>
    </xf>
    <xf numFmtId="2" fontId="11" fillId="0" borderId="0" xfId="28" applyNumberFormat="1" applyAlignment="1">
      <alignment wrapText="1"/>
    </xf>
    <xf numFmtId="2" fontId="11" fillId="0" borderId="9" xfId="28" applyNumberFormat="1" applyBorder="1" applyAlignment="1">
      <alignment wrapText="1"/>
    </xf>
    <xf numFmtId="2" fontId="11" fillId="0" borderId="8" xfId="28" applyNumberFormat="1" applyBorder="1"/>
    <xf numFmtId="166" fontId="11" fillId="0" borderId="0" xfId="26" applyNumberFormat="1"/>
    <xf numFmtId="166" fontId="42" fillId="7" borderId="0" xfId="21" applyNumberFormat="1"/>
    <xf numFmtId="2" fontId="11" fillId="0" borderId="0" xfId="26" applyNumberFormat="1"/>
    <xf numFmtId="9" fontId="0" fillId="0" borderId="0" xfId="29" applyFont="1"/>
    <xf numFmtId="0" fontId="11" fillId="0" borderId="0" xfId="26" applyAlignment="1">
      <alignment wrapText="1"/>
    </xf>
    <xf numFmtId="0" fontId="29" fillId="0" borderId="0" xfId="26" applyFont="1"/>
    <xf numFmtId="0" fontId="75" fillId="0" borderId="0" xfId="30" applyFont="1"/>
    <xf numFmtId="0" fontId="11" fillId="0" borderId="0" xfId="30"/>
    <xf numFmtId="0" fontId="42" fillId="7" borderId="0" xfId="21"/>
    <xf numFmtId="0" fontId="11" fillId="0" borderId="0" xfId="26" quotePrefix="1"/>
    <xf numFmtId="165" fontId="11" fillId="0" borderId="0" xfId="26" applyNumberFormat="1"/>
    <xf numFmtId="171" fontId="0" fillId="0" borderId="0" xfId="29" applyNumberFormat="1" applyFont="1"/>
    <xf numFmtId="169" fontId="75" fillId="0" borderId="0" xfId="31" applyNumberFormat="1"/>
    <xf numFmtId="1" fontId="11" fillId="0" borderId="0" xfId="26" applyNumberFormat="1"/>
    <xf numFmtId="169" fontId="42" fillId="7" borderId="0" xfId="21" applyNumberFormat="1"/>
    <xf numFmtId="1" fontId="42" fillId="7" borderId="0" xfId="21" applyNumberFormat="1"/>
    <xf numFmtId="0" fontId="76" fillId="0" borderId="0" xfId="32"/>
    <xf numFmtId="9" fontId="11" fillId="0" borderId="0" xfId="26" applyNumberFormat="1"/>
    <xf numFmtId="170" fontId="11" fillId="0" borderId="0" xfId="26" applyNumberFormat="1"/>
    <xf numFmtId="170" fontId="42" fillId="7" borderId="0" xfId="21" applyNumberFormat="1"/>
    <xf numFmtId="165" fontId="42" fillId="7" borderId="0" xfId="21" applyNumberFormat="1"/>
    <xf numFmtId="169" fontId="11" fillId="0" borderId="0" xfId="26" applyNumberFormat="1"/>
    <xf numFmtId="170" fontId="0" fillId="0" borderId="0" xfId="33" applyNumberFormat="1" applyFont="1"/>
    <xf numFmtId="165" fontId="29" fillId="0" borderId="0" xfId="26" applyNumberFormat="1" applyFont="1"/>
    <xf numFmtId="2" fontId="29" fillId="0" borderId="0" xfId="26" applyNumberFormat="1" applyFont="1"/>
    <xf numFmtId="1" fontId="29" fillId="0" borderId="0" xfId="26" applyNumberFormat="1" applyFont="1"/>
    <xf numFmtId="166" fontId="29" fillId="0" borderId="0" xfId="26" applyNumberFormat="1" applyFont="1"/>
    <xf numFmtId="175" fontId="11" fillId="0" borderId="0" xfId="26" applyNumberFormat="1"/>
    <xf numFmtId="167" fontId="11" fillId="0" borderId="0" xfId="26" applyNumberFormat="1"/>
    <xf numFmtId="166" fontId="38" fillId="5" borderId="0" xfId="18" applyNumberFormat="1"/>
    <xf numFmtId="0" fontId="11" fillId="0" borderId="0" xfId="30" quotePrefix="1"/>
    <xf numFmtId="169" fontId="11" fillId="0" borderId="0" xfId="30" applyNumberFormat="1"/>
    <xf numFmtId="170" fontId="0" fillId="0" borderId="0" xfId="34" applyNumberFormat="1" applyFont="1"/>
    <xf numFmtId="3" fontId="11" fillId="0" borderId="0" xfId="30" applyNumberFormat="1"/>
    <xf numFmtId="0" fontId="37" fillId="0" borderId="0" xfId="30" applyFont="1"/>
    <xf numFmtId="0" fontId="77" fillId="0" borderId="0" xfId="30" applyFont="1"/>
    <xf numFmtId="166" fontId="11" fillId="0" borderId="0" xfId="30" applyNumberFormat="1"/>
    <xf numFmtId="4" fontId="37" fillId="0" borderId="0" xfId="30" applyNumberFormat="1" applyFont="1"/>
    <xf numFmtId="4" fontId="11" fillId="0" borderId="0" xfId="30" applyNumberFormat="1"/>
    <xf numFmtId="4" fontId="78" fillId="0" borderId="0" xfId="30" applyNumberFormat="1" applyFont="1"/>
    <xf numFmtId="0" fontId="29" fillId="0" borderId="0" xfId="30" applyFont="1"/>
    <xf numFmtId="0" fontId="79" fillId="0" borderId="0" xfId="30" applyFont="1"/>
    <xf numFmtId="9" fontId="79" fillId="0" borderId="0" xfId="29" applyFont="1"/>
    <xf numFmtId="2" fontId="11" fillId="0" borderId="0" xfId="30" applyNumberFormat="1"/>
    <xf numFmtId="2" fontId="29" fillId="0" borderId="0" xfId="30" applyNumberFormat="1" applyFont="1"/>
    <xf numFmtId="9" fontId="37" fillId="0" borderId="0" xfId="29" applyFont="1"/>
    <xf numFmtId="2" fontId="11" fillId="16" borderId="0" xfId="30" applyNumberFormat="1" applyFill="1"/>
    <xf numFmtId="165" fontId="11" fillId="0" borderId="0" xfId="30" applyNumberFormat="1"/>
    <xf numFmtId="167" fontId="11" fillId="0" borderId="0" xfId="30" applyNumberFormat="1"/>
    <xf numFmtId="0" fontId="11" fillId="0" borderId="0" xfId="30" applyAlignment="1">
      <alignment wrapText="1"/>
    </xf>
    <xf numFmtId="0" fontId="29" fillId="0" borderId="0" xfId="30" applyFont="1" applyAlignment="1">
      <alignment wrapText="1"/>
    </xf>
    <xf numFmtId="4" fontId="11" fillId="0" borderId="0" xfId="30" applyNumberFormat="1" applyAlignment="1">
      <alignment wrapText="1"/>
    </xf>
    <xf numFmtId="176" fontId="29" fillId="0" borderId="0" xfId="30" applyNumberFormat="1" applyFont="1" applyAlignment="1">
      <alignment wrapText="1"/>
    </xf>
    <xf numFmtId="10" fontId="11" fillId="0" borderId="0" xfId="30" applyNumberFormat="1"/>
    <xf numFmtId="0" fontId="20" fillId="17" borderId="41" xfId="3" applyFill="1" applyBorder="1"/>
    <xf numFmtId="4" fontId="80" fillId="0" borderId="42" xfId="35" applyNumberFormat="1" applyFont="1" applyBorder="1" applyAlignment="1">
      <alignment horizontal="right" vertical="center" wrapText="1"/>
    </xf>
    <xf numFmtId="49" fontId="80" fillId="0" borderId="42" xfId="35" applyNumberFormat="1" applyFont="1" applyBorder="1" applyAlignment="1">
      <alignment horizontal="left" vertical="center" wrapText="1"/>
    </xf>
    <xf numFmtId="0" fontId="81" fillId="18" borderId="42" xfId="35" applyFont="1" applyFill="1" applyBorder="1" applyAlignment="1">
      <alignment horizontal="center" vertical="center" wrapText="1"/>
    </xf>
    <xf numFmtId="0" fontId="80" fillId="0" borderId="0" xfId="3" applyFont="1" applyAlignment="1">
      <alignment horizontal="left" vertical="center"/>
    </xf>
    <xf numFmtId="4" fontId="80" fillId="0" borderId="0" xfId="3" applyNumberFormat="1" applyFont="1" applyAlignment="1">
      <alignment horizontal="left" vertical="center"/>
    </xf>
    <xf numFmtId="0" fontId="80" fillId="0" borderId="0" xfId="3" applyFont="1" applyAlignment="1">
      <alignment horizontal="left" vertical="center" wrapText="1"/>
    </xf>
    <xf numFmtId="177" fontId="80" fillId="0" borderId="0" xfId="3" applyNumberFormat="1" applyFont="1" applyAlignment="1">
      <alignment horizontal="left" vertical="center"/>
    </xf>
    <xf numFmtId="166" fontId="35" fillId="4" borderId="13" xfId="36" applyNumberFormat="1"/>
    <xf numFmtId="0" fontId="35" fillId="4" borderId="13" xfId="36"/>
    <xf numFmtId="0" fontId="41" fillId="3" borderId="13" xfId="37" applyFill="1"/>
    <xf numFmtId="0" fontId="41" fillId="19" borderId="13" xfId="37" applyFill="1"/>
    <xf numFmtId="0" fontId="34" fillId="0" borderId="0" xfId="38" applyAlignment="1" applyProtection="1"/>
    <xf numFmtId="4" fontId="38" fillId="5" borderId="11" xfId="18" applyNumberFormat="1" applyBorder="1" applyAlignment="1">
      <alignment horizontal="left" vertical="center"/>
    </xf>
    <xf numFmtId="4" fontId="80" fillId="20" borderId="11" xfId="3" applyNumberFormat="1" applyFont="1" applyFill="1" applyBorder="1" applyAlignment="1">
      <alignment horizontal="left" vertical="center"/>
    </xf>
    <xf numFmtId="4" fontId="80" fillId="20" borderId="10" xfId="3" applyNumberFormat="1" applyFont="1" applyFill="1" applyBorder="1" applyAlignment="1">
      <alignment horizontal="left" vertical="center"/>
    </xf>
    <xf numFmtId="0" fontId="80" fillId="20" borderId="12" xfId="3" applyFont="1" applyFill="1" applyBorder="1" applyAlignment="1">
      <alignment horizontal="left" vertical="center" wrapText="1"/>
    </xf>
    <xf numFmtId="4" fontId="38" fillId="5" borderId="0" xfId="18" applyNumberFormat="1" applyAlignment="1">
      <alignment horizontal="left" vertical="center"/>
    </xf>
    <xf numFmtId="0" fontId="80" fillId="0" borderId="13" xfId="37" applyFont="1" applyFill="1" applyAlignment="1">
      <alignment horizontal="center" vertical="center"/>
    </xf>
    <xf numFmtId="4" fontId="38" fillId="5" borderId="42" xfId="18" applyNumberFormat="1" applyBorder="1" applyAlignment="1">
      <alignment horizontal="right" vertical="center" wrapText="1"/>
    </xf>
    <xf numFmtId="0" fontId="38" fillId="5" borderId="42" xfId="18" applyBorder="1" applyAlignment="1">
      <alignment horizontal="center" vertical="center" wrapText="1"/>
    </xf>
    <xf numFmtId="0" fontId="31" fillId="0" borderId="0" xfId="2" applyFont="1"/>
    <xf numFmtId="4" fontId="38" fillId="5" borderId="30" xfId="18" quotePrefix="1" applyNumberFormat="1" applyBorder="1" applyAlignment="1">
      <alignment horizontal="right" wrapText="1"/>
    </xf>
    <xf numFmtId="0" fontId="10" fillId="0" borderId="0" xfId="26" applyFont="1"/>
    <xf numFmtId="3" fontId="11" fillId="0" borderId="0" xfId="26" applyNumberFormat="1"/>
    <xf numFmtId="2" fontId="65" fillId="0" borderId="0" xfId="27" applyNumberFormat="1"/>
    <xf numFmtId="165" fontId="65" fillId="0" borderId="0" xfId="27" applyNumberFormat="1"/>
    <xf numFmtId="43" fontId="20" fillId="0" borderId="0" xfId="2" applyNumberFormat="1"/>
    <xf numFmtId="0" fontId="20" fillId="0" borderId="0" xfId="0" applyFont="1"/>
    <xf numFmtId="0" fontId="82" fillId="0" borderId="43" xfId="39"/>
    <xf numFmtId="0" fontId="41" fillId="6" borderId="13" xfId="20" applyAlignment="1">
      <alignment horizontal="center"/>
    </xf>
    <xf numFmtId="167" fontId="20" fillId="0" borderId="0" xfId="2" applyNumberFormat="1"/>
    <xf numFmtId="2" fontId="31" fillId="0" borderId="0" xfId="2" applyNumberFormat="1" applyFont="1"/>
    <xf numFmtId="0" fontId="83" fillId="6" borderId="13" xfId="20" applyFont="1" applyAlignment="1">
      <alignment horizontal="center"/>
    </xf>
    <xf numFmtId="0" fontId="9" fillId="0" borderId="0" xfId="30" applyFont="1"/>
    <xf numFmtId="0" fontId="84" fillId="0" borderId="0" xfId="0" applyFont="1" applyAlignment="1">
      <alignment horizontal="left" vertical="center" wrapText="1" indent="1"/>
    </xf>
    <xf numFmtId="166" fontId="41" fillId="6" borderId="13" xfId="20" applyNumberFormat="1"/>
    <xf numFmtId="167" fontId="0" fillId="0" borderId="0" xfId="0" applyNumberFormat="1"/>
    <xf numFmtId="1" fontId="14" fillId="0" borderId="0" xfId="2" applyNumberFormat="1" applyFont="1"/>
    <xf numFmtId="0" fontId="85" fillId="0" borderId="0" xfId="0" applyFont="1"/>
    <xf numFmtId="171" fontId="20" fillId="0" borderId="0" xfId="8" applyNumberFormat="1" applyFont="1"/>
    <xf numFmtId="2" fontId="0" fillId="0" borderId="0" xfId="8" applyNumberFormat="1" applyFont="1"/>
    <xf numFmtId="0" fontId="86" fillId="0" borderId="0" xfId="25" applyFont="1" applyAlignment="1">
      <alignment horizontal="right" vertical="top"/>
    </xf>
    <xf numFmtId="0" fontId="86" fillId="0" borderId="0" xfId="25" applyFont="1" applyAlignment="1">
      <alignment horizontal="left" vertical="top"/>
    </xf>
    <xf numFmtId="9" fontId="41" fillId="6" borderId="13" xfId="40" applyFont="1" applyFill="1" applyBorder="1"/>
    <xf numFmtId="171" fontId="41" fillId="6" borderId="13" xfId="20" applyNumberFormat="1"/>
    <xf numFmtId="9" fontId="41" fillId="6" borderId="13" xfId="20" applyNumberFormat="1"/>
    <xf numFmtId="171" fontId="20" fillId="0" borderId="0" xfId="40" applyNumberFormat="1" applyFont="1"/>
    <xf numFmtId="168" fontId="20" fillId="0" borderId="0" xfId="2" applyNumberFormat="1"/>
    <xf numFmtId="0" fontId="17" fillId="0" borderId="0" xfId="0" applyFont="1" applyAlignment="1">
      <alignment wrapText="1"/>
    </xf>
    <xf numFmtId="0" fontId="88" fillId="0" borderId="0" xfId="0" applyFont="1"/>
    <xf numFmtId="0" fontId="8" fillId="0" borderId="0" xfId="28" applyFont="1"/>
    <xf numFmtId="171" fontId="11" fillId="0" borderId="0" xfId="40" applyNumberFormat="1" applyFont="1"/>
    <xf numFmtId="2" fontId="7" fillId="3" borderId="0" xfId="28" applyNumberFormat="1" applyFont="1" applyFill="1" applyAlignment="1">
      <alignment wrapText="1"/>
    </xf>
    <xf numFmtId="0" fontId="7" fillId="0" borderId="0" xfId="28" applyFont="1"/>
    <xf numFmtId="2" fontId="7" fillId="0" borderId="0" xfId="28" applyNumberFormat="1" applyFont="1"/>
    <xf numFmtId="2" fontId="6" fillId="0" borderId="0" xfId="28" applyNumberFormat="1" applyFont="1"/>
    <xf numFmtId="0" fontId="6" fillId="0" borderId="0" xfId="28" applyFont="1"/>
    <xf numFmtId="166" fontId="38" fillId="5" borderId="0" xfId="18" applyNumberFormat="1" applyAlignment="1">
      <alignment horizontal="center"/>
    </xf>
    <xf numFmtId="178" fontId="17" fillId="0" borderId="0" xfId="2" applyNumberFormat="1" applyFont="1" applyAlignment="1">
      <alignment horizontal="center"/>
    </xf>
    <xf numFmtId="178" fontId="17" fillId="0" borderId="0" xfId="2" applyNumberFormat="1" applyFont="1"/>
    <xf numFmtId="167" fontId="20" fillId="0" borderId="0" xfId="3" applyNumberFormat="1"/>
    <xf numFmtId="166" fontId="20" fillId="0" borderId="0" xfId="3" applyNumberFormat="1"/>
    <xf numFmtId="1" fontId="0" fillId="0" borderId="0" xfId="0" applyNumberFormat="1"/>
    <xf numFmtId="0" fontId="41" fillId="6" borderId="13" xfId="20" applyAlignment="1">
      <alignment horizontal="left"/>
    </xf>
    <xf numFmtId="0" fontId="91" fillId="0" borderId="0" xfId="0" applyFont="1"/>
    <xf numFmtId="0" fontId="92" fillId="0" borderId="0" xfId="0" applyFont="1" applyAlignment="1">
      <alignment horizontal="center" vertical="top"/>
    </xf>
    <xf numFmtId="0" fontId="92" fillId="0" borderId="46" xfId="0" applyFont="1" applyBorder="1"/>
    <xf numFmtId="179" fontId="91" fillId="22" borderId="47" xfId="0" applyNumberFormat="1" applyFont="1" applyFill="1" applyBorder="1"/>
    <xf numFmtId="0" fontId="92" fillId="0" borderId="0" xfId="0" applyFont="1"/>
    <xf numFmtId="179" fontId="91" fillId="22" borderId="49" xfId="0" applyNumberFormat="1" applyFont="1" applyFill="1" applyBorder="1"/>
    <xf numFmtId="0" fontId="92" fillId="0" borderId="50" xfId="0" applyFont="1" applyBorder="1"/>
    <xf numFmtId="179" fontId="91" fillId="22" borderId="51" xfId="0" applyNumberFormat="1" applyFont="1" applyFill="1" applyBorder="1"/>
    <xf numFmtId="179" fontId="0" fillId="0" borderId="0" xfId="0" applyNumberFormat="1"/>
    <xf numFmtId="170" fontId="0" fillId="0" borderId="0" xfId="41" applyNumberFormat="1" applyFont="1"/>
    <xf numFmtId="166" fontId="90" fillId="4" borderId="44" xfId="42" applyNumberFormat="1"/>
    <xf numFmtId="0" fontId="95" fillId="0" borderId="0" xfId="0" applyFont="1" applyAlignment="1">
      <alignment vertical="center"/>
    </xf>
    <xf numFmtId="9" fontId="17" fillId="0" borderId="0" xfId="40" applyFont="1"/>
    <xf numFmtId="9" fontId="0" fillId="0" borderId="0" xfId="40" applyFont="1"/>
    <xf numFmtId="180" fontId="0" fillId="0" borderId="0" xfId="0" applyNumberFormat="1"/>
    <xf numFmtId="165" fontId="17" fillId="0" borderId="0" xfId="1" applyNumberFormat="1" applyFont="1"/>
    <xf numFmtId="165" fontId="17" fillId="0" borderId="0" xfId="2" applyNumberFormat="1" applyFont="1" applyAlignment="1">
      <alignment horizontal="center"/>
    </xf>
    <xf numFmtId="165" fontId="17" fillId="0" borderId="0" xfId="2" applyNumberFormat="1" applyFont="1"/>
    <xf numFmtId="2" fontId="83" fillId="6" borderId="13" xfId="43" applyNumberFormat="1" applyFill="1" applyBorder="1" applyAlignment="1">
      <alignment horizontal="center"/>
    </xf>
    <xf numFmtId="0" fontId="29" fillId="0" borderId="0" xfId="0" applyFont="1"/>
    <xf numFmtId="0" fontId="37" fillId="0" borderId="0" xfId="0" applyFont="1"/>
    <xf numFmtId="9" fontId="0" fillId="0" borderId="0" xfId="0" applyNumberFormat="1"/>
    <xf numFmtId="0" fontId="96" fillId="0" borderId="0" xfId="30" applyFont="1" applyAlignment="1">
      <alignment horizontal="left"/>
    </xf>
    <xf numFmtId="0" fontId="5" fillId="0" borderId="0" xfId="30" applyFont="1"/>
    <xf numFmtId="166" fontId="0" fillId="0" borderId="0" xfId="0" applyNumberFormat="1"/>
    <xf numFmtId="165" fontId="0" fillId="0" borderId="0" xfId="0" applyNumberFormat="1"/>
    <xf numFmtId="177" fontId="17" fillId="0" borderId="0" xfId="2" applyNumberFormat="1" applyFont="1"/>
    <xf numFmtId="181" fontId="20" fillId="0" borderId="0" xfId="2" applyNumberFormat="1"/>
    <xf numFmtId="0" fontId="97" fillId="0" borderId="0" xfId="24" applyFont="1"/>
    <xf numFmtId="0" fontId="31" fillId="0" borderId="0" xfId="2" applyFont="1" applyAlignment="1">
      <alignment horizontal="right"/>
    </xf>
    <xf numFmtId="171" fontId="17" fillId="0" borderId="0" xfId="40" applyNumberFormat="1" applyFont="1"/>
    <xf numFmtId="165" fontId="16" fillId="0" borderId="0" xfId="2" applyNumberFormat="1" applyFont="1"/>
    <xf numFmtId="0" fontId="17" fillId="0" borderId="4" xfId="2" applyFont="1" applyBorder="1"/>
    <xf numFmtId="0" fontId="16" fillId="0" borderId="4" xfId="2" applyFont="1" applyBorder="1"/>
    <xf numFmtId="0" fontId="17" fillId="0" borderId="4" xfId="2" applyFont="1" applyBorder="1" applyAlignment="1">
      <alignment wrapText="1"/>
    </xf>
    <xf numFmtId="0" fontId="31"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2" fillId="0" borderId="46" xfId="0" applyFont="1" applyBorder="1" applyAlignment="1">
      <alignment horizontal="left" vertical="center"/>
    </xf>
    <xf numFmtId="0" fontId="92" fillId="0" borderId="0" xfId="0" applyFont="1" applyAlignment="1">
      <alignment horizontal="left" vertical="center"/>
    </xf>
    <xf numFmtId="0" fontId="92" fillId="0" borderId="50" xfId="0" applyFont="1" applyBorder="1" applyAlignment="1">
      <alignment horizontal="left" vertical="center"/>
    </xf>
    <xf numFmtId="0" fontId="93" fillId="21" borderId="46" xfId="0" applyFont="1" applyFill="1" applyBorder="1" applyAlignment="1">
      <alignment horizontal="left" vertical="center"/>
    </xf>
    <xf numFmtId="0" fontId="93" fillId="21" borderId="0" xfId="0" applyFont="1" applyFill="1" applyAlignment="1">
      <alignment horizontal="left" vertical="center"/>
    </xf>
    <xf numFmtId="0" fontId="98" fillId="0" borderId="0" xfId="2" applyFont="1"/>
    <xf numFmtId="3" fontId="0" fillId="0" borderId="0" xfId="0" applyNumberFormat="1"/>
    <xf numFmtId="182" fontId="17" fillId="0" borderId="0" xfId="2" applyNumberFormat="1" applyFont="1"/>
    <xf numFmtId="9" fontId="17" fillId="0" borderId="0" xfId="2" applyNumberFormat="1" applyFont="1"/>
    <xf numFmtId="2" fontId="31" fillId="0" borderId="0" xfId="2" applyNumberFormat="1" applyFont="1" applyAlignment="1">
      <alignment horizontal="center"/>
    </xf>
    <xf numFmtId="0" fontId="4" fillId="0" borderId="0" xfId="44"/>
    <xf numFmtId="165" fontId="4" fillId="0" borderId="0" xfId="44" applyNumberFormat="1"/>
    <xf numFmtId="2" fontId="4" fillId="0" borderId="0" xfId="44" applyNumberFormat="1"/>
    <xf numFmtId="1" fontId="4" fillId="0" borderId="0" xfId="44" applyNumberFormat="1"/>
    <xf numFmtId="9" fontId="0" fillId="0" borderId="0" xfId="45" applyFont="1"/>
    <xf numFmtId="9" fontId="4" fillId="0" borderId="0" xfId="44" applyNumberFormat="1"/>
    <xf numFmtId="166" fontId="31" fillId="0" borderId="0" xfId="2" applyNumberFormat="1" applyFont="1" applyAlignment="1">
      <alignment horizontal="center"/>
    </xf>
    <xf numFmtId="0" fontId="99" fillId="0" borderId="0" xfId="2" applyFont="1"/>
    <xf numFmtId="0" fontId="20" fillId="0" borderId="0" xfId="2" applyAlignment="1">
      <alignment vertical="center"/>
    </xf>
    <xf numFmtId="0" fontId="20" fillId="0" borderId="53" xfId="2" applyBorder="1" applyAlignment="1">
      <alignment vertical="center"/>
    </xf>
    <xf numFmtId="0" fontId="20" fillId="0" borderId="54" xfId="2" applyBorder="1" applyAlignment="1">
      <alignment vertical="center"/>
    </xf>
    <xf numFmtId="0" fontId="20" fillId="0" borderId="55" xfId="2" applyBorder="1" applyAlignment="1">
      <alignment vertical="center"/>
    </xf>
    <xf numFmtId="0" fontId="20" fillId="0" borderId="56" xfId="2" applyBorder="1" applyAlignment="1">
      <alignment vertical="center"/>
    </xf>
    <xf numFmtId="0" fontId="20" fillId="0" borderId="57" xfId="2" applyBorder="1" applyAlignment="1">
      <alignment vertical="center"/>
    </xf>
    <xf numFmtId="0" fontId="20" fillId="0" borderId="56" xfId="2" applyBorder="1" applyAlignment="1">
      <alignment vertical="center" wrapText="1"/>
    </xf>
    <xf numFmtId="0" fontId="20" fillId="0" borderId="58" xfId="2" applyBorder="1" applyAlignment="1">
      <alignment vertical="center" wrapText="1"/>
    </xf>
    <xf numFmtId="0" fontId="20" fillId="0" borderId="59" xfId="2" applyBorder="1" applyAlignment="1">
      <alignment vertical="center"/>
    </xf>
    <xf numFmtId="0" fontId="20" fillId="0" borderId="60" xfId="2" applyBorder="1" applyAlignment="1">
      <alignment vertical="center"/>
    </xf>
    <xf numFmtId="0" fontId="20" fillId="3" borderId="0" xfId="2" applyFill="1" applyAlignment="1">
      <alignment vertical="center"/>
    </xf>
    <xf numFmtId="0" fontId="20" fillId="3" borderId="0" xfId="2" applyFill="1"/>
    <xf numFmtId="0" fontId="20" fillId="0" borderId="0" xfId="2" applyAlignment="1">
      <alignment vertical="top"/>
    </xf>
    <xf numFmtId="0" fontId="20" fillId="23" borderId="56" xfId="2" applyFill="1" applyBorder="1" applyAlignment="1">
      <alignment vertical="center" wrapText="1"/>
    </xf>
    <xf numFmtId="0" fontId="20" fillId="23" borderId="0" xfId="2" applyFill="1" applyAlignment="1">
      <alignment vertical="center"/>
    </xf>
    <xf numFmtId="0" fontId="20" fillId="23" borderId="57" xfId="2" applyFill="1" applyBorder="1" applyAlignment="1">
      <alignment vertical="center"/>
    </xf>
    <xf numFmtId="0" fontId="20" fillId="0" borderId="53" xfId="2" applyBorder="1"/>
    <xf numFmtId="0" fontId="20" fillId="0" borderId="54" xfId="2" applyBorder="1"/>
    <xf numFmtId="0" fontId="20" fillId="0" borderId="55" xfId="2" applyBorder="1"/>
    <xf numFmtId="0" fontId="20" fillId="0" borderId="56" xfId="2" applyBorder="1"/>
    <xf numFmtId="0" fontId="20" fillId="0" borderId="57" xfId="2" applyBorder="1"/>
    <xf numFmtId="0" fontId="20" fillId="3" borderId="57" xfId="2" applyFill="1" applyBorder="1"/>
    <xf numFmtId="0" fontId="20" fillId="0" borderId="58" xfId="2" applyBorder="1"/>
    <xf numFmtId="0" fontId="20" fillId="0" borderId="59" xfId="2" applyBorder="1"/>
    <xf numFmtId="0" fontId="20" fillId="0" borderId="60" xfId="2" applyBorder="1"/>
    <xf numFmtId="0" fontId="0" fillId="0" borderId="0" xfId="0" applyAlignment="1">
      <alignment horizontal="left"/>
    </xf>
    <xf numFmtId="0" fontId="47" fillId="24" borderId="0" xfId="0" applyFont="1" applyFill="1"/>
    <xf numFmtId="0" fontId="47" fillId="24" borderId="61" xfId="0" applyFont="1" applyFill="1" applyBorder="1"/>
    <xf numFmtId="0" fontId="47" fillId="24" borderId="62" xfId="0" applyFont="1" applyFill="1" applyBorder="1" applyAlignment="1">
      <alignment horizontal="left"/>
    </xf>
    <xf numFmtId="0" fontId="47" fillId="24" borderId="62" xfId="0" applyFont="1" applyFill="1" applyBorder="1"/>
    <xf numFmtId="178" fontId="20" fillId="0" borderId="0" xfId="2" applyNumberFormat="1"/>
    <xf numFmtId="166" fontId="20" fillId="3" borderId="0" xfId="2" applyNumberFormat="1" applyFill="1"/>
    <xf numFmtId="0" fontId="102" fillId="0" borderId="0" xfId="0" applyFont="1"/>
    <xf numFmtId="0" fontId="102" fillId="25" borderId="0" xfId="0" applyFont="1" applyFill="1"/>
    <xf numFmtId="0" fontId="17" fillId="3" borderId="0" xfId="2" applyFont="1" applyFill="1"/>
    <xf numFmtId="3" fontId="83" fillId="0" borderId="0" xfId="30" applyNumberFormat="1" applyFont="1"/>
    <xf numFmtId="0" fontId="103" fillId="0" borderId="0" xfId="46" applyFont="1"/>
    <xf numFmtId="3" fontId="74" fillId="0" borderId="0" xfId="46" applyNumberFormat="1" applyFont="1"/>
    <xf numFmtId="0" fontId="3" fillId="0" borderId="0" xfId="46"/>
    <xf numFmtId="10" fontId="0" fillId="0" borderId="0" xfId="47" applyNumberFormat="1" applyFont="1"/>
    <xf numFmtId="11" fontId="74" fillId="0" borderId="0" xfId="46" applyNumberFormat="1" applyFont="1"/>
    <xf numFmtId="0" fontId="74" fillId="0" borderId="0" xfId="46" applyFont="1"/>
    <xf numFmtId="164" fontId="0" fillId="0" borderId="0" xfId="48" applyFont="1"/>
    <xf numFmtId="170" fontId="74" fillId="0" borderId="0" xfId="46" applyNumberFormat="1" applyFont="1"/>
    <xf numFmtId="43" fontId="74" fillId="0" borderId="0" xfId="46" applyNumberFormat="1" applyFont="1"/>
    <xf numFmtId="9" fontId="74" fillId="0" borderId="0" xfId="47" applyFont="1" applyFill="1"/>
    <xf numFmtId="0" fontId="3" fillId="0" borderId="0" xfId="46" quotePrefix="1"/>
    <xf numFmtId="0" fontId="74" fillId="0" borderId="0" xfId="46" quotePrefix="1" applyFont="1"/>
    <xf numFmtId="10" fontId="74" fillId="0" borderId="0" xfId="47" quotePrefix="1" applyNumberFormat="1" applyFont="1" applyFill="1"/>
    <xf numFmtId="183" fontId="74" fillId="0" borderId="0" xfId="48" applyNumberFormat="1" applyFont="1" applyFill="1"/>
    <xf numFmtId="164" fontId="74" fillId="0" borderId="0" xfId="48" applyFont="1" applyFill="1"/>
    <xf numFmtId="171" fontId="74" fillId="0" borderId="0" xfId="47" applyNumberFormat="1" applyFont="1" applyFill="1"/>
    <xf numFmtId="10" fontId="74" fillId="0" borderId="0" xfId="47" applyNumberFormat="1" applyFont="1" applyFill="1"/>
    <xf numFmtId="184" fontId="74" fillId="0" borderId="0" xfId="47" applyNumberFormat="1" applyFont="1" applyFill="1"/>
    <xf numFmtId="185" fontId="74" fillId="0" borderId="0" xfId="48" applyNumberFormat="1" applyFont="1" applyFill="1"/>
    <xf numFmtId="186" fontId="74" fillId="0" borderId="0" xfId="48" applyNumberFormat="1" applyFont="1" applyFill="1"/>
    <xf numFmtId="164" fontId="74" fillId="0" borderId="0" xfId="46" applyNumberFormat="1" applyFont="1"/>
    <xf numFmtId="10" fontId="74" fillId="0" borderId="0" xfId="47" applyNumberFormat="1" applyFont="1"/>
    <xf numFmtId="0" fontId="3"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31" fillId="3" borderId="0" xfId="2" applyFont="1" applyFill="1"/>
    <xf numFmtId="17" fontId="20" fillId="0" borderId="0" xfId="0" applyNumberFormat="1" applyFont="1"/>
    <xf numFmtId="187" fontId="14" fillId="28" borderId="2" xfId="0" applyNumberFormat="1" applyFont="1" applyFill="1" applyBorder="1" applyAlignment="1">
      <alignment horizontal="left"/>
    </xf>
    <xf numFmtId="187" fontId="14" fillId="28" borderId="10" xfId="0" applyNumberFormat="1" applyFont="1" applyFill="1" applyBorder="1" applyAlignment="1">
      <alignment horizontal="left"/>
    </xf>
    <xf numFmtId="187" fontId="104" fillId="0" borderId="0" xfId="0" applyNumberFormat="1" applyFont="1"/>
    <xf numFmtId="0" fontId="31" fillId="0" borderId="0" xfId="2" applyFont="1" applyAlignment="1">
      <alignment wrapText="1"/>
    </xf>
    <xf numFmtId="0" fontId="104" fillId="0" borderId="0" xfId="0" applyFont="1"/>
    <xf numFmtId="0" fontId="14" fillId="28" borderId="2" xfId="0" applyFont="1" applyFill="1" applyBorder="1" applyAlignment="1">
      <alignment vertical="center"/>
    </xf>
    <xf numFmtId="0" fontId="14" fillId="28" borderId="2" xfId="0" applyFont="1" applyFill="1" applyBorder="1" applyAlignment="1">
      <alignment horizontal="center" vertical="center" wrapText="1"/>
    </xf>
    <xf numFmtId="0" fontId="105" fillId="29" borderId="2" xfId="49" applyFont="1" applyBorder="1" applyAlignment="1">
      <alignment horizontal="left" wrapText="1"/>
    </xf>
    <xf numFmtId="0" fontId="105" fillId="29" borderId="2" xfId="49" applyFont="1" applyBorder="1" applyAlignment="1">
      <alignment horizontal="center" wrapText="1"/>
    </xf>
    <xf numFmtId="0" fontId="105" fillId="29" borderId="63" xfId="49" applyFont="1" applyBorder="1" applyAlignment="1">
      <alignment horizontal="left" wrapText="1"/>
    </xf>
    <xf numFmtId="0" fontId="105" fillId="29" borderId="63" xfId="49" applyFont="1" applyBorder="1" applyAlignment="1">
      <alignment horizontal="center" wrapText="1"/>
    </xf>
    <xf numFmtId="0" fontId="50" fillId="9" borderId="17" xfId="25" applyFill="1" applyBorder="1" applyAlignment="1">
      <alignment horizontal="left" vertical="top" wrapText="1"/>
    </xf>
    <xf numFmtId="0" fontId="50" fillId="9" borderId="16" xfId="25" applyFill="1" applyBorder="1" applyAlignment="1">
      <alignment horizontal="left" vertical="top" wrapText="1"/>
    </xf>
    <xf numFmtId="0" fontId="52" fillId="9" borderId="21" xfId="25" applyFont="1" applyFill="1" applyBorder="1" applyAlignment="1">
      <alignment horizontal="left" vertical="top" wrapText="1"/>
    </xf>
    <xf numFmtId="0" fontId="52" fillId="9" borderId="20" xfId="25" applyFont="1" applyFill="1" applyBorder="1" applyAlignment="1">
      <alignment horizontal="left" vertical="top" wrapText="1"/>
    </xf>
    <xf numFmtId="0" fontId="16" fillId="9" borderId="25" xfId="25" applyFont="1" applyFill="1" applyBorder="1" applyAlignment="1">
      <alignment horizontal="left" wrapText="1"/>
    </xf>
    <xf numFmtId="0" fontId="16" fillId="9" borderId="0" xfId="25" applyFont="1" applyFill="1" applyAlignment="1">
      <alignment horizontal="left" wrapText="1"/>
    </xf>
    <xf numFmtId="0" fontId="16" fillId="9" borderId="22" xfId="25" applyFont="1" applyFill="1" applyBorder="1" applyAlignment="1">
      <alignment horizontal="left" wrapText="1"/>
    </xf>
    <xf numFmtId="0" fontId="16" fillId="9" borderId="21" xfId="25" applyFont="1" applyFill="1" applyBorder="1" applyAlignment="1">
      <alignment horizontal="left" wrapText="1"/>
    </xf>
    <xf numFmtId="0" fontId="16" fillId="9" borderId="24" xfId="25" applyFont="1" applyFill="1" applyBorder="1" applyAlignment="1">
      <alignment horizontal="left" vertical="center" wrapText="1" indent="1"/>
    </xf>
    <xf numFmtId="0" fontId="16" fillId="9" borderId="20" xfId="25" applyFont="1" applyFill="1" applyBorder="1" applyAlignment="1">
      <alignment horizontal="left" vertical="center" wrapText="1" indent="1"/>
    </xf>
    <xf numFmtId="0" fontId="50" fillId="9" borderId="23" xfId="25" applyFill="1" applyBorder="1" applyAlignment="1">
      <alignment horizontal="center" vertical="top" wrapText="1"/>
    </xf>
    <xf numFmtId="0" fontId="50" fillId="9" borderId="19" xfId="25" applyFill="1" applyBorder="1" applyAlignment="1">
      <alignment horizontal="center" vertical="top" wrapText="1"/>
    </xf>
    <xf numFmtId="0" fontId="50" fillId="9" borderId="23" xfId="25" applyFill="1" applyBorder="1" applyAlignment="1">
      <alignment horizontal="left" vertical="top" wrapText="1"/>
    </xf>
    <xf numFmtId="0" fontId="50" fillId="9" borderId="19" xfId="25" applyFill="1" applyBorder="1" applyAlignment="1">
      <alignment horizontal="left" vertical="top" wrapText="1"/>
    </xf>
    <xf numFmtId="0" fontId="50" fillId="9" borderId="23" xfId="25" applyFill="1" applyBorder="1" applyAlignment="1">
      <alignment horizontal="left" vertical="top" wrapText="1" indent="1"/>
    </xf>
    <xf numFmtId="0" fontId="50" fillId="9" borderId="19" xfId="25" applyFill="1" applyBorder="1" applyAlignment="1">
      <alignment horizontal="left" vertical="top" wrapText="1" indent="1"/>
    </xf>
    <xf numFmtId="0" fontId="93" fillId="21" borderId="45" xfId="0" applyFont="1" applyFill="1" applyBorder="1" applyAlignment="1">
      <alignment horizontal="center" vertical="center" wrapText="1"/>
    </xf>
    <xf numFmtId="0" fontId="93" fillId="21" borderId="48" xfId="0" applyFont="1" applyFill="1" applyBorder="1" applyAlignment="1">
      <alignment horizontal="center" vertical="center" wrapText="1"/>
    </xf>
    <xf numFmtId="0" fontId="93" fillId="21" borderId="52" xfId="0" applyFont="1" applyFill="1" applyBorder="1" applyAlignment="1">
      <alignment horizontal="center" vertical="center" wrapText="1"/>
    </xf>
    <xf numFmtId="0" fontId="11" fillId="0" borderId="0" xfId="26" applyAlignment="1">
      <alignment horizontal="center"/>
    </xf>
  </cellXfs>
  <cellStyles count="69">
    <cellStyle name="20% - Accent5" xfId="49" builtinId="46"/>
    <cellStyle name="20% - Accent5 2" xfId="50" xr:uid="{1EDF45C9-2CD4-4851-9AE9-48EF337C88BA}"/>
    <cellStyle name="60% - Accent2 2" xfId="51" xr:uid="{A6300A6B-1C2A-446B-A06B-81FD7EE67C93}"/>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2 5" xfId="52" xr:uid="{BAF92580-30DF-402F-A186-6929033F1A5C}"/>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eutral 2" xfId="53" xr:uid="{DC57DDAE-4473-4669-A507-37393931DACD}"/>
    <cellStyle name="Normal" xfId="0" builtinId="0"/>
    <cellStyle name="Normal 10" xfId="54" xr:uid="{C58B76DC-DB0F-4EED-A7A8-3F29C5D034A5}"/>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2" xfId="56" xr:uid="{9426509C-247C-4E44-A127-6B8A05A8A9A7}"/>
    <cellStyle name="Normal 4 3" xfId="30" xr:uid="{16BCBF55-3599-48AE-AF18-E9AA19168515}"/>
    <cellStyle name="Normal 4 4" xfId="55" xr:uid="{705685CD-4DEC-409C-BA53-9D0BE1320E1D}"/>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8 2" xfId="57" xr:uid="{DCA61A0A-A680-4155-9F74-1EC344F052DA}"/>
    <cellStyle name="Normal 9" xfId="46" xr:uid="{DE34B9F9-3659-492D-9A5E-53B8EEA8BEE0}"/>
    <cellStyle name="Normal 9 2" xfId="58" xr:uid="{D21DBDA0-1233-4FB5-8445-0019D43E8CF0}"/>
    <cellStyle name="Normale_B2020" xfId="59" xr:uid="{00833C9B-BE55-4E24-9E0B-CCBA5E6139D3}"/>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2 4" xfId="60" xr:uid="{2D511B30-95A8-465E-9E42-7863E51059C2}"/>
    <cellStyle name="Percent 3" xfId="8" xr:uid="{00000000-0005-0000-0000-000010000000}"/>
    <cellStyle name="Percent 3 2" xfId="61" xr:uid="{C43463FB-71C3-4FE7-BD87-DA39394C9D05}"/>
    <cellStyle name="Percent 3 3" xfId="62" xr:uid="{35EF5419-B6B5-4AF6-8689-4055F97B86DB}"/>
    <cellStyle name="Percent 4" xfId="45" xr:uid="{C43E8885-51BC-4201-8096-A16CB3CB72F1}"/>
    <cellStyle name="Percent 4 2" xfId="64" xr:uid="{F979AB09-BECB-45E1-8FF8-B80AB3852CBF}"/>
    <cellStyle name="Percent 4 3" xfId="65" xr:uid="{6760E248-DAFD-426B-920F-68A6FE745AA7}"/>
    <cellStyle name="Percent 4 4" xfId="63" xr:uid="{C55C6813-D456-4288-BAE6-5A30C642514D}"/>
    <cellStyle name="Percent 5" xfId="47" xr:uid="{32AC00F2-9AAB-4222-B48F-EA3797808505}"/>
    <cellStyle name="Percent 5 2" xfId="66" xr:uid="{05370530-1261-432E-A24C-68349931E873}"/>
    <cellStyle name="Percent 6" xfId="67" xr:uid="{1D308FC3-0BAD-4587-8D8C-496C4E66BC5F}"/>
    <cellStyle name="Standard_Sce_D_Extraction" xfId="68" xr:uid="{C5E5FE08-C8E9-491C-BE8A-22937CC8F86B}"/>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7" Type="http://schemas.openxmlformats.org/officeDocument/2006/relationships/image" Target="../media/image26.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drawing9.xml.rels><?xml version="1.0" encoding="UTF-8" standalone="yes"?>
<Relationships xmlns="http://schemas.openxmlformats.org/package/2006/relationships"><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0.emf"/><Relationship Id="rId7" Type="http://schemas.openxmlformats.org/officeDocument/2006/relationships/image" Target="../media/image54.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5.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 Id="rId9" Type="http://schemas.openxmlformats.org/officeDocument/2006/relationships/image" Target="../media/image64.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png"/><Relationship Id="rId7" Type="http://schemas.openxmlformats.org/officeDocument/2006/relationships/image" Target="../media/image71.emf"/><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0.emf"/><Relationship Id="rId3" Type="http://schemas.openxmlformats.org/officeDocument/2006/relationships/image" Target="../media/image75.emf"/><Relationship Id="rId7" Type="http://schemas.openxmlformats.org/officeDocument/2006/relationships/image" Target="../media/image79.emf"/><Relationship Id="rId2" Type="http://schemas.openxmlformats.org/officeDocument/2006/relationships/image" Target="../media/image74.emf"/><Relationship Id="rId1" Type="http://schemas.openxmlformats.org/officeDocument/2006/relationships/image" Target="../media/image73.png"/><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3.emf"/><Relationship Id="rId7" Type="http://schemas.openxmlformats.org/officeDocument/2006/relationships/image" Target="../media/image87.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84.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0.emf"/><Relationship Id="rId7" Type="http://schemas.openxmlformats.org/officeDocument/2006/relationships/image" Target="../media/image94.emf"/><Relationship Id="rId2" Type="http://schemas.openxmlformats.org/officeDocument/2006/relationships/image" Target="../media/image89.emf"/><Relationship Id="rId1" Type="http://schemas.openxmlformats.org/officeDocument/2006/relationships/image" Target="../media/image88.emf"/><Relationship Id="rId6" Type="http://schemas.openxmlformats.org/officeDocument/2006/relationships/image" Target="../media/image93.emf"/><Relationship Id="rId5" Type="http://schemas.openxmlformats.org/officeDocument/2006/relationships/image" Target="../media/image92.emf"/><Relationship Id="rId4" Type="http://schemas.openxmlformats.org/officeDocument/2006/relationships/image" Target="../media/image9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2.png"/><Relationship Id="rId3" Type="http://schemas.openxmlformats.org/officeDocument/2006/relationships/image" Target="../media/image107.emf"/><Relationship Id="rId7" Type="http://schemas.openxmlformats.org/officeDocument/2006/relationships/image" Target="../media/image111.png"/><Relationship Id="rId2" Type="http://schemas.openxmlformats.org/officeDocument/2006/relationships/image" Target="../media/image106.emf"/><Relationship Id="rId1" Type="http://schemas.openxmlformats.org/officeDocument/2006/relationships/image" Target="../media/image105.emf"/><Relationship Id="rId6" Type="http://schemas.openxmlformats.org/officeDocument/2006/relationships/image" Target="../media/image110.png"/><Relationship Id="rId5" Type="http://schemas.openxmlformats.org/officeDocument/2006/relationships/image" Target="../media/image109.emf"/><Relationship Id="rId4" Type="http://schemas.openxmlformats.org/officeDocument/2006/relationships/image" Target="../media/image108.emf"/><Relationship Id="rId9" Type="http://schemas.openxmlformats.org/officeDocument/2006/relationships/image" Target="../media/image113.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0.png"/><Relationship Id="rId4" Type="http://schemas.openxmlformats.org/officeDocument/2006/relationships/image" Target="../media/image11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4"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chart" Target="../charts/chart4.xml"/><Relationship Id="rId1" Type="http://schemas.openxmlformats.org/officeDocument/2006/relationships/image" Target="../media/image124.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2.emf"/><Relationship Id="rId2" Type="http://schemas.openxmlformats.org/officeDocument/2006/relationships/image" Target="../media/image131.emf"/><Relationship Id="rId1" Type="http://schemas.openxmlformats.org/officeDocument/2006/relationships/image" Target="../media/image1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1.emf"/><Relationship Id="rId3" Type="http://schemas.openxmlformats.org/officeDocument/2006/relationships/image" Target="../media/image136.png"/><Relationship Id="rId7" Type="http://schemas.openxmlformats.org/officeDocument/2006/relationships/image" Target="../media/image140.png"/><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9.png"/><Relationship Id="rId11" Type="http://schemas.openxmlformats.org/officeDocument/2006/relationships/image" Target="../media/image142.png"/><Relationship Id="rId5" Type="http://schemas.openxmlformats.org/officeDocument/2006/relationships/image" Target="../media/image138.png"/><Relationship Id="rId10" Type="http://schemas.openxmlformats.org/officeDocument/2006/relationships/chart" Target="../charts/chart6.xml"/><Relationship Id="rId4" Type="http://schemas.openxmlformats.org/officeDocument/2006/relationships/image" Target="../media/image137.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 Id="rId5" Type="http://schemas.openxmlformats.org/officeDocument/2006/relationships/image" Target="../media/image161.emf"/><Relationship Id="rId4" Type="http://schemas.openxmlformats.org/officeDocument/2006/relationships/image" Target="../media/image160.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4.emf"/><Relationship Id="rId7" Type="http://schemas.openxmlformats.org/officeDocument/2006/relationships/image" Target="../media/image168.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67.emf"/><Relationship Id="rId5" Type="http://schemas.openxmlformats.org/officeDocument/2006/relationships/image" Target="../media/image166.emf"/><Relationship Id="rId4" Type="http://schemas.openxmlformats.org/officeDocument/2006/relationships/image" Target="../media/image165.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6.emf"/><Relationship Id="rId3" Type="http://schemas.openxmlformats.org/officeDocument/2006/relationships/image" Target="../media/image171.emf"/><Relationship Id="rId7" Type="http://schemas.openxmlformats.org/officeDocument/2006/relationships/image" Target="../media/image175.emf"/><Relationship Id="rId2" Type="http://schemas.openxmlformats.org/officeDocument/2006/relationships/image" Target="../media/image170.emf"/><Relationship Id="rId1" Type="http://schemas.openxmlformats.org/officeDocument/2006/relationships/image" Target="../media/image169.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 Id="rId4" Type="http://schemas.openxmlformats.org/officeDocument/2006/relationships/image" Target="../media/image180.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88.emf"/><Relationship Id="rId3" Type="http://schemas.openxmlformats.org/officeDocument/2006/relationships/image" Target="../media/image183.emf"/><Relationship Id="rId7" Type="http://schemas.openxmlformats.org/officeDocument/2006/relationships/image" Target="../media/image187.emf"/><Relationship Id="rId2" Type="http://schemas.openxmlformats.org/officeDocument/2006/relationships/image" Target="../media/image182.emf"/><Relationship Id="rId1" Type="http://schemas.openxmlformats.org/officeDocument/2006/relationships/image" Target="../media/image181.emf"/><Relationship Id="rId6" Type="http://schemas.openxmlformats.org/officeDocument/2006/relationships/image" Target="../media/image186.emf"/><Relationship Id="rId5" Type="http://schemas.openxmlformats.org/officeDocument/2006/relationships/image" Target="../media/image185.emf"/><Relationship Id="rId10" Type="http://schemas.openxmlformats.org/officeDocument/2006/relationships/image" Target="../media/image190.emf"/><Relationship Id="rId4" Type="http://schemas.openxmlformats.org/officeDocument/2006/relationships/image" Target="../media/image184.emf"/><Relationship Id="rId9" Type="http://schemas.openxmlformats.org/officeDocument/2006/relationships/image" Target="../media/image189.emf"/></Relationships>
</file>

<file path=xl/drawings/_rels/drawing44.x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193.emf"/><Relationship Id="rId7" Type="http://schemas.openxmlformats.org/officeDocument/2006/relationships/image" Target="../media/image197.emf"/><Relationship Id="rId2" Type="http://schemas.openxmlformats.org/officeDocument/2006/relationships/image" Target="../media/image192.emf"/><Relationship Id="rId1" Type="http://schemas.openxmlformats.org/officeDocument/2006/relationships/image" Target="../media/image191.emf"/><Relationship Id="rId6" Type="http://schemas.openxmlformats.org/officeDocument/2006/relationships/image" Target="../media/image196.emf"/><Relationship Id="rId5" Type="http://schemas.openxmlformats.org/officeDocument/2006/relationships/image" Target="../media/image195.emf"/><Relationship Id="rId4" Type="http://schemas.openxmlformats.org/officeDocument/2006/relationships/image" Target="../media/image194.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6.emf"/><Relationship Id="rId3" Type="http://schemas.openxmlformats.org/officeDocument/2006/relationships/image" Target="../media/image201.emf"/><Relationship Id="rId7" Type="http://schemas.openxmlformats.org/officeDocument/2006/relationships/image" Target="../media/image205.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204.emf"/><Relationship Id="rId5" Type="http://schemas.openxmlformats.org/officeDocument/2006/relationships/image" Target="../media/image203.emf"/><Relationship Id="rId10" Type="http://schemas.openxmlformats.org/officeDocument/2006/relationships/image" Target="../media/image208.emf"/><Relationship Id="rId4" Type="http://schemas.openxmlformats.org/officeDocument/2006/relationships/image" Target="../media/image202.emf"/><Relationship Id="rId9" Type="http://schemas.openxmlformats.org/officeDocument/2006/relationships/image" Target="../media/image207.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6.emf"/><Relationship Id="rId3" Type="http://schemas.openxmlformats.org/officeDocument/2006/relationships/image" Target="../media/image211.emf"/><Relationship Id="rId7" Type="http://schemas.openxmlformats.org/officeDocument/2006/relationships/image" Target="../media/image215.emf"/><Relationship Id="rId2" Type="http://schemas.openxmlformats.org/officeDocument/2006/relationships/image" Target="../media/image210.emf"/><Relationship Id="rId1" Type="http://schemas.openxmlformats.org/officeDocument/2006/relationships/image" Target="../media/image209.emf"/><Relationship Id="rId6" Type="http://schemas.openxmlformats.org/officeDocument/2006/relationships/image" Target="../media/image214.emf"/><Relationship Id="rId5" Type="http://schemas.openxmlformats.org/officeDocument/2006/relationships/image" Target="../media/image213.emf"/><Relationship Id="rId10" Type="http://schemas.openxmlformats.org/officeDocument/2006/relationships/image" Target="../media/image218.emf"/><Relationship Id="rId4" Type="http://schemas.openxmlformats.org/officeDocument/2006/relationships/image" Target="../media/image212.emf"/><Relationship Id="rId9" Type="http://schemas.openxmlformats.org/officeDocument/2006/relationships/image" Target="../media/image217.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6.emf"/><Relationship Id="rId3" Type="http://schemas.openxmlformats.org/officeDocument/2006/relationships/image" Target="../media/image221.emf"/><Relationship Id="rId7" Type="http://schemas.openxmlformats.org/officeDocument/2006/relationships/image" Target="../media/image225.emf"/><Relationship Id="rId2" Type="http://schemas.openxmlformats.org/officeDocument/2006/relationships/image" Target="../media/image220.emf"/><Relationship Id="rId1" Type="http://schemas.openxmlformats.org/officeDocument/2006/relationships/image" Target="../media/image219.emf"/><Relationship Id="rId6" Type="http://schemas.openxmlformats.org/officeDocument/2006/relationships/image" Target="../media/image224.emf"/><Relationship Id="rId5" Type="http://schemas.openxmlformats.org/officeDocument/2006/relationships/image" Target="../media/image223.emf"/><Relationship Id="rId4" Type="http://schemas.openxmlformats.org/officeDocument/2006/relationships/image" Target="../media/image222.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4.emf"/><Relationship Id="rId3" Type="http://schemas.openxmlformats.org/officeDocument/2006/relationships/image" Target="../media/image229.emf"/><Relationship Id="rId7" Type="http://schemas.openxmlformats.org/officeDocument/2006/relationships/image" Target="../media/image233.emf"/><Relationship Id="rId2" Type="http://schemas.openxmlformats.org/officeDocument/2006/relationships/image" Target="../media/image228.emf"/><Relationship Id="rId1" Type="http://schemas.openxmlformats.org/officeDocument/2006/relationships/image" Target="../media/image227.emf"/><Relationship Id="rId6" Type="http://schemas.openxmlformats.org/officeDocument/2006/relationships/image" Target="../media/image232.emf"/><Relationship Id="rId5" Type="http://schemas.openxmlformats.org/officeDocument/2006/relationships/image" Target="../media/image231.emf"/><Relationship Id="rId10" Type="http://schemas.openxmlformats.org/officeDocument/2006/relationships/image" Target="../media/image236.emf"/><Relationship Id="rId4" Type="http://schemas.openxmlformats.org/officeDocument/2006/relationships/image" Target="../media/image230.emf"/><Relationship Id="rId9" Type="http://schemas.openxmlformats.org/officeDocument/2006/relationships/image" Target="../media/image235.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133116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H3" dT="2020-11-06T10:30:43.50" personId="{308666E5-D28E-418E-B7E7-F6D9F22CA4C0}" id="{9BB4A2A1-4764-4CBE-9226-2127C6FE5D5B}">
    <text>This is needed when auxiliary commodities are included</text>
  </threadedComment>
  <threadedComment ref="L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M3" dT="2020-06-25T16:18:25.56" personId="{308666E5-D28E-418E-B7E7-F6D9F22CA4C0}" id="{263E3071-D266-4F17-B864-9DCF7BA77DC2}">
    <text>Since Resid is fixed, and life-extensions exogenous, Life here is only used to calculate the annualised investment cost.</text>
  </threadedComment>
  <threadedComment ref="O3" dT="2020-07-29T08:32:56.45" personId="{308666E5-D28E-418E-B7E7-F6D9F22CA4C0}" id="{802B7326-2ABF-416B-A8D6-0F25ACEC14E7}">
    <text>This doesn't seem to be working in current version.</text>
  </threadedComment>
  <threadedComment ref="AK4" dT="2020-06-29T15:25:24.51" personId="{308666E5-D28E-418E-B7E7-F6D9F22CA4C0}" id="{E296C19E-5E99-4F45-8B5B-66B4133899E4}">
    <text>set to 40% except where performance is currently lower.</text>
  </threadedComment>
  <threadedComment ref="AN9" dT="2020-06-23T13:50:21.03" personId="{308666E5-D28E-418E-B7E7-F6D9F22CA4C0}" id="{FB7F9219-AD31-463D-984A-FB6CD9261B67}">
    <text>As specified by Eskom</text>
  </threadedComment>
  <threadedComment ref="AO9" dT="2020-06-23T13:51:31.92" personId="{308666E5-D28E-418E-B7E7-F6D9F22CA4C0}" id="{C041B920-FA11-4B50-A8F8-76DC36C18D8E}">
    <text>other emissions from IPCC, no FGD assumed except on Kusile. Emissions change for retrofit specified in retrofit scenario.</text>
  </threadedComment>
  <threadedComment ref="H23" dT="2020-06-23T09:11:25.72" personId="{308666E5-D28E-418E-B7E7-F6D9F22CA4C0}" id="{B4857558-F841-4154-A3FC-5A8369F4AD34}">
    <text>from NIRP3 table</text>
  </threadedComment>
  <threadedComment ref="AN24" dT="2020-06-25T12:04:06.52" personId="{308666E5-D28E-418E-B7E7-F6D9F22CA4C0}" id="{54043BD5-888A-41E2-BDCC-3820623DD286}">
    <text>Emissions accounted for in fuel supply</text>
  </threadedComment>
  <threadedComment ref="S26" dT="2020-06-25T12:02:46.38" personId="{308666E5-D28E-418E-B7E7-F6D9F22CA4C0}" id="{C6BAC441-D0BC-4E9F-A8CD-16E0038D0586}">
    <text>IRP 2019 Table 6 (Gourikwa)</text>
  </threadedComment>
  <threadedComment ref="AH26" dT="2020-06-25T12:02:46.38" personId="{308666E5-D28E-418E-B7E7-F6D9F22CA4C0}" id="{5DAD8B72-22C7-4B56-B170-AEAC8EDD3369}">
    <text>IRP 2019 Table 6 (Gourikwa)</text>
  </threadedComment>
  <threadedComment ref="AK26" dT="2020-11-01T12:12:18.99" personId="{C32653E5-43C3-4829-B5E4-0A2FE24BC648}" id="{7865C21B-B1C4-49EE-B2C2-D45F544C01A9}">
    <text>assumption</text>
  </threadedComment>
  <threadedComment ref="AV26" dT="2020-06-25T13:05:35.51" personId="{308666E5-D28E-418E-B7E7-F6D9F22CA4C0}" id="{14CB6CD1-5D17-48D3-9702-DB8F110E3383}">
    <text>Acacia (171), Atlantis(1323), Mossel Bay (Gouwrika 735), Port Rex (171)</text>
  </threadedComment>
  <threadedComment ref="AV27" dT="2020-06-25T12:00:50.12" personId="{308666E5-D28E-418E-B7E7-F6D9F22CA4C0}" id="{01498D3C-3E0C-435E-B8CB-70B73BAC0FED}">
    <text>Gariep (360), Vanderkloof (240),mini hydro (65),</text>
  </threadedComment>
  <threadedComment ref="J28" dT="2020-03-03T08:19:37.94" personId="{308666E5-D28E-418E-B7E7-F6D9F22CA4C0}" id="{F280DE25-8357-4AF8-BD84-318E53AEE668}">
    <text>from Eskom's Revenue Application, orifinal unit in R/kWh.</text>
  </threadedComment>
  <threadedComment ref="V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1819</v>
      </c>
      <c r="C3" s="342"/>
      <c r="D3" t="s">
        <v>2148</v>
      </c>
      <c r="E3" t="s">
        <v>15</v>
      </c>
    </row>
    <row r="4" spans="2:8" ht="13.5" thickTop="1" x14ac:dyDescent="0.2">
      <c r="D4" t="s">
        <v>2149</v>
      </c>
      <c r="E4" t="s">
        <v>2151</v>
      </c>
    </row>
    <row r="5" spans="2:8" ht="15" x14ac:dyDescent="0.25">
      <c r="B5" t="s">
        <v>2152</v>
      </c>
      <c r="C5" s="343">
        <v>0</v>
      </c>
      <c r="D5" t="s">
        <v>2153</v>
      </c>
      <c r="E5" t="s">
        <v>2154</v>
      </c>
    </row>
    <row r="6" spans="2:8" ht="15" x14ac:dyDescent="0.25">
      <c r="B6" t="s">
        <v>2425</v>
      </c>
      <c r="C6" s="343">
        <v>0</v>
      </c>
      <c r="D6" t="s">
        <v>2150</v>
      </c>
      <c r="E6" s="341" t="s">
        <v>2225</v>
      </c>
      <c r="G6" s="341" t="s">
        <v>1899</v>
      </c>
      <c r="H6" s="343" t="s">
        <v>362</v>
      </c>
    </row>
    <row r="7" spans="2:8" ht="15" x14ac:dyDescent="0.25">
      <c r="B7" t="s">
        <v>2426</v>
      </c>
      <c r="C7" s="343">
        <v>0</v>
      </c>
      <c r="D7" s="341" t="s">
        <v>2221</v>
      </c>
      <c r="E7" s="341" t="s">
        <v>2222</v>
      </c>
      <c r="G7" s="341" t="s">
        <v>1900</v>
      </c>
      <c r="H7" s="341" t="s">
        <v>1898</v>
      </c>
    </row>
    <row r="8" spans="2:8" ht="15" x14ac:dyDescent="0.25">
      <c r="B8" t="s">
        <v>2427</v>
      </c>
      <c r="C8" s="343">
        <v>0</v>
      </c>
      <c r="D8" s="341" t="s">
        <v>2316</v>
      </c>
      <c r="E8" s="341" t="s">
        <v>2222</v>
      </c>
      <c r="G8" s="341" t="s">
        <v>1901</v>
      </c>
      <c r="H8" s="341" t="s">
        <v>362</v>
      </c>
    </row>
    <row r="9" spans="2:8" ht="15" x14ac:dyDescent="0.25">
      <c r="B9" s="341" t="s">
        <v>2206</v>
      </c>
      <c r="C9" s="343">
        <v>0</v>
      </c>
      <c r="D9" s="341" t="s">
        <v>2207</v>
      </c>
      <c r="E9" s="341" t="s">
        <v>2223</v>
      </c>
    </row>
    <row r="10" spans="2:8" ht="15" x14ac:dyDescent="0.25">
      <c r="B10" s="341" t="s">
        <v>1835</v>
      </c>
      <c r="C10" s="343">
        <v>0</v>
      </c>
      <c r="D10" t="s">
        <v>2155</v>
      </c>
      <c r="E10" s="341" t="s">
        <v>2224</v>
      </c>
    </row>
    <row r="11" spans="2:8" ht="15" x14ac:dyDescent="0.25">
      <c r="B11" s="341" t="s">
        <v>1834</v>
      </c>
      <c r="C11" s="343">
        <v>0</v>
      </c>
      <c r="D11" t="s">
        <v>2156</v>
      </c>
      <c r="E11" t="s">
        <v>2160</v>
      </c>
    </row>
    <row r="12" spans="2:8" ht="15" x14ac:dyDescent="0.25">
      <c r="B12" s="341" t="s">
        <v>1875</v>
      </c>
      <c r="C12" s="343">
        <v>0</v>
      </c>
      <c r="D12" t="s">
        <v>2157</v>
      </c>
      <c r="E12" t="s">
        <v>2161</v>
      </c>
    </row>
    <row r="13" spans="2:8" ht="15" x14ac:dyDescent="0.25">
      <c r="B13" s="341" t="s">
        <v>1884</v>
      </c>
      <c r="C13" s="343">
        <v>0</v>
      </c>
      <c r="D13" t="s">
        <v>2158</v>
      </c>
      <c r="E13" t="s">
        <v>2162</v>
      </c>
    </row>
    <row r="14" spans="2:8" ht="15" x14ac:dyDescent="0.25">
      <c r="B14" s="341" t="s">
        <v>1897</v>
      </c>
      <c r="C14" s="343">
        <v>0</v>
      </c>
      <c r="D14" t="s">
        <v>2159</v>
      </c>
      <c r="E14" t="s">
        <v>2163</v>
      </c>
    </row>
    <row r="15" spans="2:8" ht="15" x14ac:dyDescent="0.25">
      <c r="B15" s="341" t="s">
        <v>1973</v>
      </c>
      <c r="C15" s="343">
        <v>0</v>
      </c>
      <c r="D15" t="s">
        <v>2164</v>
      </c>
      <c r="E15" t="s">
        <v>2166</v>
      </c>
    </row>
    <row r="16" spans="2:8" ht="15" x14ac:dyDescent="0.25">
      <c r="B16" s="341" t="s">
        <v>2133</v>
      </c>
      <c r="C16" s="343">
        <v>0</v>
      </c>
      <c r="D16" t="s">
        <v>2165</v>
      </c>
      <c r="E16" t="s">
        <v>2133</v>
      </c>
    </row>
    <row r="17" spans="2:5" x14ac:dyDescent="0.2">
      <c r="C17">
        <f>IF(SUM(C6:C16)&gt;0,1,0)</f>
        <v>0</v>
      </c>
    </row>
    <row r="18" spans="2:5" x14ac:dyDescent="0.2">
      <c r="B18" s="341" t="s">
        <v>1820</v>
      </c>
      <c r="C18" s="341" t="s">
        <v>1821</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2249</v>
      </c>
      <c r="E30" s="341" t="s">
        <v>2250</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2179</v>
      </c>
      <c r="E37" s="341" t="s">
        <v>2183</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codeName="Sheet60">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1"/>
  <sheetViews>
    <sheetView workbookViewId="0">
      <selection activeCell="F28" sqref="F28:G28"/>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138</v>
      </c>
    </row>
    <row r="2" spans="1:12" x14ac:dyDescent="0.2">
      <c r="A2" s="54" t="str">
        <f ca="1">MID(CELL("filename",A1),FIND("]",CELL("filename",A1))+1,255)</f>
        <v>Processes</v>
      </c>
    </row>
    <row r="4" spans="1:12" ht="18" customHeight="1" x14ac:dyDescent="0.2"/>
    <row r="6" spans="1:12" x14ac:dyDescent="0.2">
      <c r="B6" s="503" t="s">
        <v>2493</v>
      </c>
    </row>
    <row r="7" spans="1:12" x14ac:dyDescent="0.2">
      <c r="B7" s="501" t="s">
        <v>2479</v>
      </c>
      <c r="C7" s="501" t="s">
        <v>2480</v>
      </c>
      <c r="D7" s="501" t="s">
        <v>2481</v>
      </c>
      <c r="E7" s="501" t="s">
        <v>2482</v>
      </c>
      <c r="F7" s="501" t="s">
        <v>2483</v>
      </c>
      <c r="G7" s="501" t="s">
        <v>2478</v>
      </c>
      <c r="H7" s="501" t="s">
        <v>2484</v>
      </c>
      <c r="K7" s="501"/>
      <c r="L7" s="502"/>
    </row>
    <row r="8" spans="1:12" x14ac:dyDescent="0.2">
      <c r="A8" s="42" t="s">
        <v>322</v>
      </c>
      <c r="K8" s="25"/>
      <c r="L8" s="25"/>
    </row>
    <row r="9" spans="1:12" x14ac:dyDescent="0.2">
      <c r="B9" s="39" t="s">
        <v>321</v>
      </c>
      <c r="C9" s="39" t="s">
        <v>320</v>
      </c>
      <c r="D9" t="str">
        <f>LEFT(L9,2)</f>
        <v>PJ</v>
      </c>
      <c r="E9" t="str">
        <f>RIGHT(L9,2)</f>
        <v>GW</v>
      </c>
      <c r="F9" s="39" t="str">
        <f>RIGHT(K9,LEN(K9)-FIND(",",K9,5))</f>
        <v>DAYNITE</v>
      </c>
      <c r="G9" s="39" t="str">
        <f>MID(K9,5,LEN(K9)-LEN(F9)-5)</f>
        <v>ELE</v>
      </c>
      <c r="H9" s="39" t="s">
        <v>2485</v>
      </c>
      <c r="K9" s="26" t="str">
        <f>"PRC,ELE,"&amp;Index!$H$6</f>
        <v>PRC,ELE,DAYNITE</v>
      </c>
      <c r="L9" s="25" t="s">
        <v>142</v>
      </c>
    </row>
    <row r="10" spans="1:12" x14ac:dyDescent="0.2">
      <c r="B10" s="39" t="s">
        <v>319</v>
      </c>
      <c r="C10" s="39" t="s">
        <v>318</v>
      </c>
      <c r="D10" t="str">
        <f t="shared" ref="D10:D73" si="0">LEFT(L10,2)</f>
        <v>PJ</v>
      </c>
      <c r="E10" t="str">
        <f t="shared" ref="E10:E73" si="1">RIGHT(L10,2)</f>
        <v>GW</v>
      </c>
      <c r="F10" s="39" t="str">
        <f t="shared" ref="F10:F61" si="2">RIGHT(K10,LEN(K10)-FIND(",",K10,5))</f>
        <v>DAYNITE</v>
      </c>
      <c r="G10" s="39" t="str">
        <f t="shared" ref="G10:G61" si="3">MID(K10,5,LEN(K10)-LEN(F10)-5)</f>
        <v>ELE</v>
      </c>
      <c r="H10" s="39" t="s">
        <v>2485</v>
      </c>
      <c r="K10" s="26" t="str">
        <f>"PRC,ELE,"&amp;Index!$H$6</f>
        <v>PRC,ELE,DAYNITE</v>
      </c>
      <c r="L10" s="25" t="s">
        <v>142</v>
      </c>
    </row>
    <row r="11" spans="1:12" x14ac:dyDescent="0.2">
      <c r="B11" s="39" t="s">
        <v>317</v>
      </c>
      <c r="C11" s="39" t="s">
        <v>316</v>
      </c>
      <c r="D11" t="str">
        <f t="shared" si="0"/>
        <v>PJ</v>
      </c>
      <c r="E11" t="str">
        <f t="shared" si="1"/>
        <v>GW</v>
      </c>
      <c r="F11" s="39" t="str">
        <f t="shared" si="2"/>
        <v>DAYNITE</v>
      </c>
      <c r="G11" s="39" t="str">
        <f t="shared" si="3"/>
        <v>ELE</v>
      </c>
      <c r="H11" s="39" t="s">
        <v>2485</v>
      </c>
      <c r="K11" s="26" t="str">
        <f>"PRC,ELE,"&amp;Index!$H$6</f>
        <v>PRC,ELE,DAYNITE</v>
      </c>
      <c r="L11" s="25" t="s">
        <v>142</v>
      </c>
    </row>
    <row r="12" spans="1:12" x14ac:dyDescent="0.2">
      <c r="B12" s="39" t="s">
        <v>315</v>
      </c>
      <c r="C12" s="39" t="s">
        <v>314</v>
      </c>
      <c r="D12" t="str">
        <f t="shared" si="0"/>
        <v>PJ</v>
      </c>
      <c r="E12" t="str">
        <f t="shared" si="1"/>
        <v>GW</v>
      </c>
      <c r="F12" s="39" t="str">
        <f t="shared" si="2"/>
        <v>DAYNITE</v>
      </c>
      <c r="G12" s="39" t="str">
        <f t="shared" si="3"/>
        <v>ELE</v>
      </c>
      <c r="H12" s="39" t="s">
        <v>2485</v>
      </c>
      <c r="K12" s="26" t="str">
        <f>"PRC,ELE,"&amp;Index!$H$6</f>
        <v>PRC,ELE,DAYNITE</v>
      </c>
      <c r="L12" s="25" t="s">
        <v>142</v>
      </c>
    </row>
    <row r="13" spans="1:12" x14ac:dyDescent="0.2">
      <c r="B13" s="39" t="s">
        <v>313</v>
      </c>
      <c r="C13" s="39" t="s">
        <v>312</v>
      </c>
      <c r="D13" t="str">
        <f t="shared" si="0"/>
        <v>PJ</v>
      </c>
      <c r="E13" t="str">
        <f t="shared" si="1"/>
        <v>GW</v>
      </c>
      <c r="F13" s="39" t="str">
        <f t="shared" si="2"/>
        <v>DAYNITE</v>
      </c>
      <c r="G13" s="39" t="str">
        <f t="shared" si="3"/>
        <v>ELE</v>
      </c>
      <c r="H13" s="39" t="s">
        <v>2485</v>
      </c>
      <c r="K13" s="26" t="str">
        <f>"PRC,ELE,"&amp;Index!$H$6</f>
        <v>PRC,ELE,DAYNITE</v>
      </c>
      <c r="L13" s="25" t="s">
        <v>142</v>
      </c>
    </row>
    <row r="14" spans="1:12" x14ac:dyDescent="0.2">
      <c r="B14" s="39" t="s">
        <v>311</v>
      </c>
      <c r="C14" s="39" t="s">
        <v>310</v>
      </c>
      <c r="D14" t="str">
        <f t="shared" si="0"/>
        <v>PJ</v>
      </c>
      <c r="E14" t="str">
        <f t="shared" si="1"/>
        <v>GW</v>
      </c>
      <c r="F14" s="39" t="str">
        <f t="shared" si="2"/>
        <v>DAYNITE</v>
      </c>
      <c r="G14" s="39" t="str">
        <f t="shared" si="3"/>
        <v>ELE</v>
      </c>
      <c r="H14" s="39" t="s">
        <v>2485</v>
      </c>
      <c r="K14" s="26" t="str">
        <f>"PRC,ELE,"&amp;Index!$H$6</f>
        <v>PRC,ELE,DAYNITE</v>
      </c>
      <c r="L14" s="25" t="s">
        <v>142</v>
      </c>
    </row>
    <row r="15" spans="1:12" x14ac:dyDescent="0.2">
      <c r="A15" s="43"/>
      <c r="B15" s="39" t="s">
        <v>309</v>
      </c>
      <c r="C15" s="39" t="s">
        <v>308</v>
      </c>
      <c r="D15" t="str">
        <f t="shared" si="0"/>
        <v>PJ</v>
      </c>
      <c r="E15" t="str">
        <f t="shared" si="1"/>
        <v>GW</v>
      </c>
      <c r="F15" s="39" t="str">
        <f t="shared" si="2"/>
        <v>DAYNITE</v>
      </c>
      <c r="G15" s="39" t="str">
        <f t="shared" si="3"/>
        <v>ELE</v>
      </c>
      <c r="H15" s="39" t="s">
        <v>2485</v>
      </c>
      <c r="K15" s="26" t="str">
        <f>"PRC,ELE,"&amp;Index!$H$6</f>
        <v>PRC,ELE,DAYNITE</v>
      </c>
      <c r="L15" s="25" t="s">
        <v>142</v>
      </c>
    </row>
    <row r="16" spans="1:12" x14ac:dyDescent="0.2">
      <c r="A16" s="43"/>
      <c r="B16" s="39" t="s">
        <v>307</v>
      </c>
      <c r="C16" s="39" t="s">
        <v>306</v>
      </c>
      <c r="D16" t="str">
        <f t="shared" si="0"/>
        <v>PJ</v>
      </c>
      <c r="E16" t="str">
        <f t="shared" si="1"/>
        <v>GW</v>
      </c>
      <c r="F16" s="39" t="str">
        <f t="shared" si="2"/>
        <v>DAYNITE</v>
      </c>
      <c r="G16" s="39" t="str">
        <f t="shared" si="3"/>
        <v>ELE</v>
      </c>
      <c r="H16" s="39" t="s">
        <v>2485</v>
      </c>
      <c r="K16" s="26" t="str">
        <f>"PRC,ELE,"&amp;Index!$H$6</f>
        <v>PRC,ELE,DAYNITE</v>
      </c>
      <c r="L16" s="25" t="s">
        <v>142</v>
      </c>
    </row>
    <row r="17" spans="1:12" x14ac:dyDescent="0.2">
      <c r="A17" s="43"/>
      <c r="B17" s="39" t="s">
        <v>305</v>
      </c>
      <c r="C17" s="39" t="s">
        <v>304</v>
      </c>
      <c r="D17" t="str">
        <f t="shared" si="0"/>
        <v>PJ</v>
      </c>
      <c r="E17" t="str">
        <f t="shared" si="1"/>
        <v>GW</v>
      </c>
      <c r="F17" s="39" t="str">
        <f t="shared" si="2"/>
        <v>DAYNITE</v>
      </c>
      <c r="G17" s="39" t="str">
        <f t="shared" si="3"/>
        <v>ELE</v>
      </c>
      <c r="H17" s="39" t="s">
        <v>2485</v>
      </c>
      <c r="K17" s="26" t="str">
        <f>"PRC,ELE,"&amp;Index!$H$6</f>
        <v>PRC,ELE,DAYNITE</v>
      </c>
      <c r="L17" s="25" t="s">
        <v>142</v>
      </c>
    </row>
    <row r="18" spans="1:12" x14ac:dyDescent="0.2">
      <c r="A18" s="43"/>
      <c r="B18" s="39" t="s">
        <v>303</v>
      </c>
      <c r="C18" s="39" t="s">
        <v>302</v>
      </c>
      <c r="D18" t="str">
        <f t="shared" si="0"/>
        <v>PJ</v>
      </c>
      <c r="E18" t="str">
        <f t="shared" si="1"/>
        <v>GW</v>
      </c>
      <c r="F18" s="39" t="str">
        <f t="shared" si="2"/>
        <v>DAYNITE</v>
      </c>
      <c r="G18" s="39" t="str">
        <f t="shared" si="3"/>
        <v>ELE</v>
      </c>
      <c r="H18" s="39" t="s">
        <v>2485</v>
      </c>
      <c r="K18" s="26" t="str">
        <f>"PRC,ELE,"&amp;Index!$H$6</f>
        <v>PRC,ELE,DAYNITE</v>
      </c>
      <c r="L18" s="25" t="s">
        <v>142</v>
      </c>
    </row>
    <row r="19" spans="1:12" x14ac:dyDescent="0.2">
      <c r="A19" s="43"/>
      <c r="B19" s="39" t="s">
        <v>301</v>
      </c>
      <c r="C19" s="39" t="s">
        <v>300</v>
      </c>
      <c r="D19" t="str">
        <f t="shared" si="0"/>
        <v>PJ</v>
      </c>
      <c r="E19" t="str">
        <f t="shared" si="1"/>
        <v>GW</v>
      </c>
      <c r="F19" s="39" t="str">
        <f t="shared" si="2"/>
        <v>DAYNITE</v>
      </c>
      <c r="G19" s="39" t="str">
        <f t="shared" si="3"/>
        <v>ELE</v>
      </c>
      <c r="H19" s="39" t="s">
        <v>2485</v>
      </c>
      <c r="K19" s="26" t="str">
        <f>"PRC,ELE,"&amp;Index!$H$6</f>
        <v>PRC,ELE,DAYNITE</v>
      </c>
      <c r="L19" s="25" t="s">
        <v>142</v>
      </c>
    </row>
    <row r="20" spans="1:12" x14ac:dyDescent="0.2">
      <c r="A20" s="43"/>
      <c r="B20" s="39" t="s">
        <v>299</v>
      </c>
      <c r="C20" s="39" t="s">
        <v>298</v>
      </c>
      <c r="D20" t="str">
        <f t="shared" si="0"/>
        <v>PJ</v>
      </c>
      <c r="E20" t="str">
        <f t="shared" si="1"/>
        <v>GW</v>
      </c>
      <c r="F20" s="39" t="str">
        <f t="shared" si="2"/>
        <v>DAYNITE</v>
      </c>
      <c r="G20" s="39" t="str">
        <f t="shared" si="3"/>
        <v>ELE</v>
      </c>
      <c r="H20" s="39" t="s">
        <v>2485</v>
      </c>
      <c r="K20" s="26" t="str">
        <f>"PRC,ELE,"&amp;Index!$H$6</f>
        <v>PRC,ELE,DAYNITE</v>
      </c>
      <c r="L20" s="25" t="s">
        <v>142</v>
      </c>
    </row>
    <row r="21" spans="1:12" x14ac:dyDescent="0.2">
      <c r="A21" s="43"/>
      <c r="B21" s="39" t="s">
        <v>297</v>
      </c>
      <c r="C21" s="39" t="s">
        <v>296</v>
      </c>
      <c r="D21" t="str">
        <f t="shared" si="0"/>
        <v>PJ</v>
      </c>
      <c r="E21" t="str">
        <f t="shared" si="1"/>
        <v>GW</v>
      </c>
      <c r="F21" s="39" t="str">
        <f t="shared" si="2"/>
        <v>DAYNITE</v>
      </c>
      <c r="G21" s="39" t="str">
        <f t="shared" si="3"/>
        <v>ELE</v>
      </c>
      <c r="H21" s="39" t="s">
        <v>2485</v>
      </c>
      <c r="K21" s="26" t="str">
        <f>"PRC,ELE,"&amp;Index!$H$6</f>
        <v>PRC,ELE,DAYNITE</v>
      </c>
      <c r="L21" s="25" t="s">
        <v>142</v>
      </c>
    </row>
    <row r="22" spans="1:12" x14ac:dyDescent="0.2">
      <c r="A22" s="43"/>
      <c r="B22" s="39" t="s">
        <v>295</v>
      </c>
      <c r="C22" s="39" t="s">
        <v>294</v>
      </c>
      <c r="D22" t="str">
        <f t="shared" si="0"/>
        <v>PJ</v>
      </c>
      <c r="E22" t="str">
        <f t="shared" si="1"/>
        <v>GW</v>
      </c>
      <c r="F22" s="39" t="str">
        <f t="shared" si="2"/>
        <v>DAYNITE</v>
      </c>
      <c r="G22" s="39" t="str">
        <f t="shared" si="3"/>
        <v>ELE</v>
      </c>
      <c r="H22" s="39" t="s">
        <v>2485</v>
      </c>
      <c r="K22" s="26" t="str">
        <f>"PRC,ELE,"&amp;Index!$H$6</f>
        <v>PRC,ELE,DAYNITE</v>
      </c>
      <c r="L22" s="25" t="s">
        <v>142</v>
      </c>
    </row>
    <row r="23" spans="1:12" x14ac:dyDescent="0.2">
      <c r="A23" s="43"/>
      <c r="B23" s="39" t="s">
        <v>293</v>
      </c>
      <c r="C23" s="39" t="s">
        <v>292</v>
      </c>
      <c r="D23" t="str">
        <f t="shared" si="0"/>
        <v>PJ</v>
      </c>
      <c r="E23" t="str">
        <f t="shared" si="1"/>
        <v>GW</v>
      </c>
      <c r="F23" s="39" t="str">
        <f t="shared" si="2"/>
        <v>DAYNITE</v>
      </c>
      <c r="G23" s="39" t="str">
        <f t="shared" si="3"/>
        <v>ELE</v>
      </c>
      <c r="H23" s="39" t="s">
        <v>2485</v>
      </c>
      <c r="K23" s="26" t="str">
        <f>"PRC,ELE,"&amp;Index!$H$6</f>
        <v>PRC,ELE,DAYNITE</v>
      </c>
      <c r="L23" s="25" t="s">
        <v>142</v>
      </c>
    </row>
    <row r="24" spans="1:12" x14ac:dyDescent="0.2">
      <c r="A24" s="43"/>
      <c r="B24" s="39" t="s">
        <v>291</v>
      </c>
      <c r="C24" s="39" t="s">
        <v>290</v>
      </c>
      <c r="D24" t="str">
        <f t="shared" si="0"/>
        <v>PJ</v>
      </c>
      <c r="E24" t="str">
        <f t="shared" si="1"/>
        <v>GW</v>
      </c>
      <c r="F24" s="39" t="str">
        <f t="shared" si="2"/>
        <v>DAYNITE</v>
      </c>
      <c r="G24" s="39" t="str">
        <f t="shared" si="3"/>
        <v>ELE</v>
      </c>
      <c r="H24" s="39" t="s">
        <v>2485</v>
      </c>
      <c r="I24" s="18"/>
      <c r="J24" s="18"/>
      <c r="K24" s="26" t="s">
        <v>183</v>
      </c>
      <c r="L24" s="25" t="s">
        <v>142</v>
      </c>
    </row>
    <row r="25" spans="1:12" x14ac:dyDescent="0.2">
      <c r="A25" s="44"/>
      <c r="B25" s="39" t="s">
        <v>289</v>
      </c>
      <c r="C25" s="39" t="s">
        <v>288</v>
      </c>
      <c r="D25" t="str">
        <f t="shared" si="0"/>
        <v>PJ</v>
      </c>
      <c r="E25" t="str">
        <f t="shared" si="1"/>
        <v>GW</v>
      </c>
      <c r="F25" s="39" t="str">
        <f t="shared" si="2"/>
        <v>DAYNITE</v>
      </c>
      <c r="G25" s="39" t="str">
        <f t="shared" si="3"/>
        <v>ELE</v>
      </c>
      <c r="H25" s="39" t="s">
        <v>2485</v>
      </c>
      <c r="I25" s="25"/>
      <c r="J25" s="25"/>
      <c r="K25" s="26" t="s">
        <v>183</v>
      </c>
      <c r="L25" s="25" t="s">
        <v>142</v>
      </c>
    </row>
    <row r="26" spans="1:12" x14ac:dyDescent="0.2">
      <c r="A26" s="44"/>
      <c r="B26" s="39" t="s">
        <v>287</v>
      </c>
      <c r="C26" s="39" t="s">
        <v>286</v>
      </c>
      <c r="D26" t="str">
        <f t="shared" si="0"/>
        <v>PJ</v>
      </c>
      <c r="E26" t="str">
        <f t="shared" si="1"/>
        <v>GW</v>
      </c>
      <c r="F26" s="39" t="str">
        <f t="shared" si="2"/>
        <v>DAYNITE</v>
      </c>
      <c r="G26" s="39" t="str">
        <f t="shared" si="3"/>
        <v>ELE</v>
      </c>
      <c r="H26" s="39" t="s">
        <v>2485</v>
      </c>
      <c r="I26" s="25"/>
      <c r="J26" s="25"/>
      <c r="K26" s="26" t="s">
        <v>183</v>
      </c>
      <c r="L26" s="25" t="s">
        <v>142</v>
      </c>
    </row>
    <row r="27" spans="1:12" x14ac:dyDescent="0.2">
      <c r="A27" s="44"/>
      <c r="B27" s="39" t="s">
        <v>285</v>
      </c>
      <c r="C27" s="39" t="s">
        <v>284</v>
      </c>
      <c r="D27" t="str">
        <f t="shared" si="0"/>
        <v>PJ</v>
      </c>
      <c r="E27" t="str">
        <f t="shared" si="1"/>
        <v>GW</v>
      </c>
      <c r="F27" s="39" t="str">
        <f t="shared" si="2"/>
        <v>SEASON</v>
      </c>
      <c r="G27" s="39" t="str">
        <f t="shared" si="3"/>
        <v>ELE</v>
      </c>
      <c r="H27" s="39" t="s">
        <v>2485</v>
      </c>
      <c r="I27" s="25"/>
      <c r="J27" s="25"/>
      <c r="K27" s="26" t="s">
        <v>259</v>
      </c>
      <c r="L27" s="25" t="s">
        <v>142</v>
      </c>
    </row>
    <row r="28" spans="1:12" x14ac:dyDescent="0.2">
      <c r="A28" s="44"/>
      <c r="B28" s="39" t="s">
        <v>283</v>
      </c>
      <c r="C28" s="39" t="s">
        <v>282</v>
      </c>
      <c r="D28" t="str">
        <f>LEFT(L28,2)</f>
        <v>PJ</v>
      </c>
      <c r="E28" t="str">
        <f>RIGHT(L28,2)</f>
        <v>GW</v>
      </c>
      <c r="F28" s="334" t="s">
        <v>362</v>
      </c>
      <c r="G28" s="334" t="s">
        <v>2486</v>
      </c>
      <c r="H28" s="39" t="s">
        <v>2485</v>
      </c>
      <c r="I28" s="25"/>
      <c r="J28" s="25"/>
      <c r="K28" s="26" t="s">
        <v>235</v>
      </c>
      <c r="L28" s="25" t="s">
        <v>142</v>
      </c>
    </row>
    <row r="29" spans="1:12" x14ac:dyDescent="0.2">
      <c r="A29" s="42" t="s">
        <v>281</v>
      </c>
      <c r="D29" t="str">
        <f t="shared" si="0"/>
        <v/>
      </c>
      <c r="E29" t="str">
        <f t="shared" si="1"/>
        <v/>
      </c>
      <c r="F29" s="39" t="e">
        <f t="shared" si="2"/>
        <v>#VALUE!</v>
      </c>
      <c r="G29" s="39" t="e">
        <f t="shared" si="3"/>
        <v>#VALUE!</v>
      </c>
      <c r="H29" s="39" t="s">
        <v>2485</v>
      </c>
      <c r="I29" s="25"/>
      <c r="J29" s="25"/>
      <c r="K29" s="26"/>
      <c r="L29" s="25"/>
    </row>
    <row r="30" spans="1:12" x14ac:dyDescent="0.2">
      <c r="A30" s="18"/>
      <c r="B30" s="39" t="s">
        <v>280</v>
      </c>
      <c r="C30" s="39" t="s">
        <v>279</v>
      </c>
      <c r="D30" t="str">
        <f t="shared" si="0"/>
        <v>PJ</v>
      </c>
      <c r="E30" t="str">
        <f t="shared" si="1"/>
        <v>GW</v>
      </c>
      <c r="F30" s="39" t="str">
        <f t="shared" si="2"/>
        <v>WEEKLY</v>
      </c>
      <c r="G30" s="39" t="str">
        <f t="shared" si="3"/>
        <v>ELE</v>
      </c>
      <c r="H30" s="39" t="s">
        <v>2485</v>
      </c>
      <c r="I30" s="25"/>
      <c r="J30" s="25"/>
      <c r="K30" s="26" t="s">
        <v>244</v>
      </c>
      <c r="L30" s="25" t="s">
        <v>142</v>
      </c>
    </row>
    <row r="31" spans="1:12" x14ac:dyDescent="0.2">
      <c r="A31" s="18"/>
      <c r="B31" s="39" t="s">
        <v>278</v>
      </c>
      <c r="C31" s="39" t="s">
        <v>277</v>
      </c>
      <c r="D31" t="str">
        <f t="shared" si="0"/>
        <v>PJ</v>
      </c>
      <c r="E31" t="str">
        <f t="shared" si="1"/>
        <v>GW</v>
      </c>
      <c r="F31" s="39" t="str">
        <f t="shared" si="2"/>
        <v>WEEKLY</v>
      </c>
      <c r="G31" s="39" t="str">
        <f t="shared" si="3"/>
        <v>ELE</v>
      </c>
      <c r="H31" s="39" t="s">
        <v>2485</v>
      </c>
      <c r="I31" s="25"/>
      <c r="J31" s="25"/>
      <c r="K31" s="26" t="s">
        <v>244</v>
      </c>
      <c r="L31" s="25" t="s">
        <v>142</v>
      </c>
    </row>
    <row r="32" spans="1:12" x14ac:dyDescent="0.2">
      <c r="A32" s="42" t="s">
        <v>276</v>
      </c>
      <c r="D32" t="str">
        <f t="shared" si="0"/>
        <v/>
      </c>
      <c r="E32" t="str">
        <f t="shared" si="1"/>
        <v/>
      </c>
      <c r="F32" s="39" t="e">
        <f t="shared" si="2"/>
        <v>#VALUE!</v>
      </c>
      <c r="G32" s="39" t="e">
        <f t="shared" si="3"/>
        <v>#VALUE!</v>
      </c>
      <c r="H32" s="39" t="s">
        <v>2485</v>
      </c>
      <c r="I32" s="25"/>
      <c r="J32" s="25"/>
      <c r="K32" s="26"/>
      <c r="L32" s="25"/>
    </row>
    <row r="33" spans="1:12" x14ac:dyDescent="0.2">
      <c r="A33" s="43"/>
      <c r="B33" s="39" t="s">
        <v>275</v>
      </c>
      <c r="C33" s="39" t="s">
        <v>274</v>
      </c>
      <c r="D33" t="str">
        <f t="shared" si="0"/>
        <v>PJ</v>
      </c>
      <c r="E33" t="str">
        <f t="shared" si="1"/>
        <v>GW</v>
      </c>
      <c r="F33" s="39" t="str">
        <f t="shared" si="2"/>
        <v>DAYNITE</v>
      </c>
      <c r="G33" s="39" t="str">
        <f t="shared" si="3"/>
        <v>ELE</v>
      </c>
      <c r="H33" s="39" t="s">
        <v>2485</v>
      </c>
      <c r="K33" s="26" t="str">
        <f>"PRC,ELE,"&amp;Index!$H$6</f>
        <v>PRC,ELE,DAYNITE</v>
      </c>
      <c r="L33" s="25" t="s">
        <v>142</v>
      </c>
    </row>
    <row r="34" spans="1:12" x14ac:dyDescent="0.2">
      <c r="A34" s="43"/>
      <c r="B34" s="39" t="s">
        <v>273</v>
      </c>
      <c r="C34" s="39" t="s">
        <v>272</v>
      </c>
      <c r="D34" t="str">
        <f t="shared" si="0"/>
        <v>PJ</v>
      </c>
      <c r="E34" t="str">
        <f t="shared" si="1"/>
        <v>GW</v>
      </c>
      <c r="F34" s="39" t="str">
        <f t="shared" si="2"/>
        <v>DAYNITE</v>
      </c>
      <c r="G34" s="39" t="str">
        <f t="shared" si="3"/>
        <v>ELE</v>
      </c>
      <c r="H34" s="39" t="s">
        <v>2485</v>
      </c>
      <c r="K34" s="26" t="str">
        <f>"PRC,ELE,"&amp;Index!$H$6</f>
        <v>PRC,ELE,DAYNITE</v>
      </c>
      <c r="L34" s="25" t="s">
        <v>142</v>
      </c>
    </row>
    <row r="35" spans="1:12" x14ac:dyDescent="0.2">
      <c r="A35" s="43"/>
      <c r="B35" s="39" t="s">
        <v>271</v>
      </c>
      <c r="C35" s="39" t="s">
        <v>270</v>
      </c>
      <c r="D35" t="str">
        <f t="shared" si="0"/>
        <v>PJ</v>
      </c>
      <c r="E35" t="str">
        <f t="shared" si="1"/>
        <v>GW</v>
      </c>
      <c r="F35" s="39" t="str">
        <f t="shared" si="2"/>
        <v>DAYNITE</v>
      </c>
      <c r="G35" s="39" t="str">
        <f t="shared" si="3"/>
        <v>ELE</v>
      </c>
      <c r="H35" s="39" t="s">
        <v>2485</v>
      </c>
      <c r="K35" s="26" t="str">
        <f>"PRC,ELE,"&amp;Index!$H$6</f>
        <v>PRC,ELE,DAYNITE</v>
      </c>
      <c r="L35" s="25" t="s">
        <v>142</v>
      </c>
    </row>
    <row r="36" spans="1:12" x14ac:dyDescent="0.2">
      <c r="A36" s="43"/>
      <c r="B36" s="39" t="s">
        <v>1957</v>
      </c>
      <c r="C36" s="39" t="s">
        <v>1955</v>
      </c>
      <c r="D36" t="str">
        <f t="shared" si="0"/>
        <v>PJ</v>
      </c>
      <c r="E36" t="str">
        <f t="shared" si="1"/>
        <v>GW</v>
      </c>
      <c r="F36" s="39" t="str">
        <f t="shared" si="2"/>
        <v>DAYNITE</v>
      </c>
      <c r="G36" s="39" t="str">
        <f t="shared" si="3"/>
        <v>ELE</v>
      </c>
      <c r="H36" s="39" t="s">
        <v>2485</v>
      </c>
      <c r="K36" s="26" t="str">
        <f>"PRC,ELE,"&amp;Index!$H$6</f>
        <v>PRC,ELE,DAYNITE</v>
      </c>
      <c r="L36" s="25" t="s">
        <v>142</v>
      </c>
    </row>
    <row r="37" spans="1:12" x14ac:dyDescent="0.2">
      <c r="A37" s="18"/>
      <c r="B37" s="39" t="s">
        <v>269</v>
      </c>
      <c r="C37" s="39" t="s">
        <v>268</v>
      </c>
      <c r="D37" t="str">
        <f t="shared" si="0"/>
        <v>PJ</v>
      </c>
      <c r="E37" t="str">
        <f t="shared" si="1"/>
        <v>GW</v>
      </c>
      <c r="F37" s="334" t="s">
        <v>362</v>
      </c>
      <c r="G37" s="334" t="s">
        <v>2486</v>
      </c>
      <c r="H37" s="39" t="s">
        <v>2485</v>
      </c>
      <c r="I37" s="25"/>
      <c r="J37" s="25"/>
      <c r="K37" s="26" t="s">
        <v>235</v>
      </c>
      <c r="L37" s="25" t="s">
        <v>142</v>
      </c>
    </row>
    <row r="38" spans="1:12" x14ac:dyDescent="0.2">
      <c r="A38" s="18"/>
      <c r="B38" s="39" t="s">
        <v>267</v>
      </c>
      <c r="C38" s="39" t="s">
        <v>266</v>
      </c>
      <c r="D38" t="str">
        <f t="shared" si="0"/>
        <v>PJ</v>
      </c>
      <c r="E38" t="str">
        <f t="shared" si="1"/>
        <v>GW</v>
      </c>
      <c r="F38" s="39" t="str">
        <f t="shared" si="2"/>
        <v>DAYNITE</v>
      </c>
      <c r="G38" s="39" t="str">
        <f t="shared" si="3"/>
        <v>ELE</v>
      </c>
      <c r="H38" s="39" t="s">
        <v>2485</v>
      </c>
      <c r="I38" s="25"/>
      <c r="J38" s="25"/>
      <c r="K38" s="26" t="s">
        <v>183</v>
      </c>
      <c r="L38" s="25" t="s">
        <v>142</v>
      </c>
    </row>
    <row r="39" spans="1:12" x14ac:dyDescent="0.2">
      <c r="B39" s="39" t="s">
        <v>265</v>
      </c>
      <c r="C39" s="39" t="s">
        <v>264</v>
      </c>
      <c r="D39" t="str">
        <f t="shared" si="0"/>
        <v>PJ</v>
      </c>
      <c r="E39" t="str">
        <f t="shared" si="1"/>
        <v>GW</v>
      </c>
      <c r="F39" s="39" t="str">
        <f t="shared" si="2"/>
        <v>DAYNITE</v>
      </c>
      <c r="G39" s="39" t="str">
        <f t="shared" si="3"/>
        <v>ELE</v>
      </c>
      <c r="H39" s="39" t="s">
        <v>2485</v>
      </c>
      <c r="K39" s="26" t="str">
        <f>"PRC,ELE,"&amp;Index!$H$6</f>
        <v>PRC,ELE,DAYNITE</v>
      </c>
      <c r="L39" s="56" t="s">
        <v>142</v>
      </c>
    </row>
    <row r="40" spans="1:12" x14ac:dyDescent="0.2">
      <c r="B40" s="39" t="s">
        <v>263</v>
      </c>
      <c r="C40" s="39" t="s">
        <v>262</v>
      </c>
      <c r="D40" t="str">
        <f t="shared" si="0"/>
        <v>PJ</v>
      </c>
      <c r="E40" t="str">
        <f t="shared" si="1"/>
        <v>GW</v>
      </c>
      <c r="F40" s="39" t="str">
        <f t="shared" si="2"/>
        <v>DAYNITE</v>
      </c>
      <c r="G40" s="39" t="str">
        <f t="shared" si="3"/>
        <v>ELE</v>
      </c>
      <c r="H40" s="39" t="s">
        <v>2485</v>
      </c>
      <c r="K40" s="55" t="s">
        <v>183</v>
      </c>
      <c r="L40" s="56" t="s">
        <v>142</v>
      </c>
    </row>
    <row r="41" spans="1:12" x14ac:dyDescent="0.2">
      <c r="B41" s="39" t="s">
        <v>261</v>
      </c>
      <c r="C41" s="39" t="s">
        <v>260</v>
      </c>
      <c r="D41" t="str">
        <f t="shared" si="0"/>
        <v>PJ</v>
      </c>
      <c r="E41" t="str">
        <f t="shared" si="1"/>
        <v>GW</v>
      </c>
      <c r="F41" s="39" t="str">
        <f t="shared" si="2"/>
        <v>DAYNITE</v>
      </c>
      <c r="G41" s="39" t="str">
        <f t="shared" si="3"/>
        <v>ELE</v>
      </c>
      <c r="H41" s="39" t="s">
        <v>2485</v>
      </c>
      <c r="K41" s="334" t="s">
        <v>183</v>
      </c>
      <c r="L41" s="56" t="s">
        <v>142</v>
      </c>
    </row>
    <row r="42" spans="1:12" x14ac:dyDescent="0.2">
      <c r="B42" s="39" t="s">
        <v>258</v>
      </c>
      <c r="C42" s="39" t="s">
        <v>257</v>
      </c>
      <c r="D42" t="str">
        <f t="shared" si="0"/>
        <v>PJ</v>
      </c>
      <c r="E42" t="str">
        <f t="shared" si="1"/>
        <v>GW</v>
      </c>
      <c r="F42" s="39" t="str">
        <f t="shared" si="2"/>
        <v>DAYNITE</v>
      </c>
      <c r="G42" s="39" t="str">
        <f t="shared" si="3"/>
        <v>ELE</v>
      </c>
      <c r="H42" s="39" t="s">
        <v>2485</v>
      </c>
      <c r="K42" s="55" t="s">
        <v>183</v>
      </c>
      <c r="L42" s="56" t="s">
        <v>142</v>
      </c>
    </row>
    <row r="43" spans="1:12" x14ac:dyDescent="0.2">
      <c r="B43" s="39" t="s">
        <v>256</v>
      </c>
      <c r="C43" s="39" t="s">
        <v>255</v>
      </c>
      <c r="D43" t="str">
        <f t="shared" si="0"/>
        <v>PJ</v>
      </c>
      <c r="E43" t="str">
        <f t="shared" si="1"/>
        <v>GW</v>
      </c>
      <c r="F43" s="39" t="str">
        <f t="shared" si="2"/>
        <v>DAYNITE</v>
      </c>
      <c r="G43" s="39" t="str">
        <f t="shared" si="3"/>
        <v>ELE</v>
      </c>
      <c r="H43" s="39" t="s">
        <v>2485</v>
      </c>
      <c r="K43" s="55" t="s">
        <v>183</v>
      </c>
      <c r="L43" s="56" t="s">
        <v>142</v>
      </c>
    </row>
    <row r="44" spans="1:12" x14ac:dyDescent="0.2">
      <c r="B44" s="39" t="s">
        <v>254</v>
      </c>
      <c r="C44" s="39" t="s">
        <v>253</v>
      </c>
      <c r="D44" t="str">
        <f t="shared" si="0"/>
        <v>PJ</v>
      </c>
      <c r="E44" t="str">
        <f t="shared" si="1"/>
        <v>GW</v>
      </c>
      <c r="F44" s="39" t="str">
        <f t="shared" si="2"/>
        <v>DAYNITE</v>
      </c>
      <c r="G44" s="39" t="str">
        <f t="shared" si="3"/>
        <v>ELE</v>
      </c>
      <c r="H44" s="39" t="s">
        <v>2485</v>
      </c>
      <c r="K44" s="55" t="s">
        <v>183</v>
      </c>
      <c r="L44" s="56" t="s">
        <v>142</v>
      </c>
    </row>
    <row r="45" spans="1:12" x14ac:dyDescent="0.2">
      <c r="B45" s="39" t="s">
        <v>252</v>
      </c>
      <c r="C45" s="39" t="s">
        <v>251</v>
      </c>
      <c r="D45" t="str">
        <f t="shared" si="0"/>
        <v>PJ</v>
      </c>
      <c r="E45" t="str">
        <f t="shared" si="1"/>
        <v>GW</v>
      </c>
      <c r="F45" s="39" t="str">
        <f t="shared" si="2"/>
        <v>DAYNITE</v>
      </c>
      <c r="G45" s="39" t="str">
        <f t="shared" si="3"/>
        <v>ELE</v>
      </c>
      <c r="H45" s="39" t="s">
        <v>2485</v>
      </c>
      <c r="K45" s="55" t="s">
        <v>183</v>
      </c>
      <c r="L45" s="56" t="s">
        <v>142</v>
      </c>
    </row>
    <row r="46" spans="1:12" x14ac:dyDescent="0.2">
      <c r="B46" s="39" t="s">
        <v>250</v>
      </c>
      <c r="C46" s="39" t="s">
        <v>249</v>
      </c>
      <c r="D46" t="str">
        <f t="shared" si="0"/>
        <v>PJ</v>
      </c>
      <c r="E46" t="str">
        <f t="shared" si="1"/>
        <v>GW</v>
      </c>
      <c r="F46" s="39" t="str">
        <f t="shared" si="2"/>
        <v>DAYNITE</v>
      </c>
      <c r="G46" s="39" t="str">
        <f t="shared" si="3"/>
        <v>ELE</v>
      </c>
      <c r="H46" s="39" t="s">
        <v>2485</v>
      </c>
      <c r="K46" s="55" t="s">
        <v>183</v>
      </c>
      <c r="L46" s="56" t="s">
        <v>142</v>
      </c>
    </row>
    <row r="47" spans="1:12" x14ac:dyDescent="0.2">
      <c r="B47" s="39" t="s">
        <v>248</v>
      </c>
      <c r="C47" s="39" t="s">
        <v>247</v>
      </c>
      <c r="D47" t="str">
        <f t="shared" si="0"/>
        <v>PJ</v>
      </c>
      <c r="E47" t="str">
        <f t="shared" si="1"/>
        <v>GW</v>
      </c>
      <c r="F47" s="39" t="str">
        <f t="shared" si="2"/>
        <v>DAYNITE</v>
      </c>
      <c r="G47" s="39" t="str">
        <f t="shared" si="3"/>
        <v>ELE</v>
      </c>
      <c r="H47" s="39" t="s">
        <v>2485</v>
      </c>
      <c r="K47" s="55" t="s">
        <v>183</v>
      </c>
      <c r="L47" s="56" t="s">
        <v>142</v>
      </c>
    </row>
    <row r="48" spans="1:12" x14ac:dyDescent="0.2">
      <c r="B48" s="39" t="s">
        <v>1930</v>
      </c>
      <c r="C48" s="39" t="s">
        <v>2239</v>
      </c>
      <c r="D48" t="str">
        <f t="shared" si="0"/>
        <v>PJ</v>
      </c>
      <c r="E48" t="str">
        <f t="shared" si="1"/>
        <v>GW</v>
      </c>
      <c r="F48" s="39" t="str">
        <f t="shared" si="2"/>
        <v>DAYNITE</v>
      </c>
      <c r="G48" s="39" t="str">
        <f t="shared" si="3"/>
        <v>ELE</v>
      </c>
      <c r="H48" s="39" t="s">
        <v>2485</v>
      </c>
      <c r="K48" s="55" t="s">
        <v>183</v>
      </c>
      <c r="L48" s="56" t="s">
        <v>142</v>
      </c>
    </row>
    <row r="49" spans="1:12" x14ac:dyDescent="0.2">
      <c r="B49" s="39" t="s">
        <v>246</v>
      </c>
      <c r="C49" s="39" t="s">
        <v>245</v>
      </c>
      <c r="D49" t="str">
        <f t="shared" si="0"/>
        <v>PJ</v>
      </c>
      <c r="E49" t="str">
        <f t="shared" si="1"/>
        <v>GW</v>
      </c>
      <c r="F49" s="39" t="str">
        <f t="shared" si="2"/>
        <v>DAYNITE</v>
      </c>
      <c r="G49" s="39" t="str">
        <f t="shared" si="3"/>
        <v>ELE</v>
      </c>
      <c r="H49" s="39" t="s">
        <v>2485</v>
      </c>
      <c r="K49" s="26" t="str">
        <f>"PRC,ELE,"&amp;Index!$H$6</f>
        <v>PRC,ELE,DAYNITE</v>
      </c>
      <c r="L49" s="56" t="s">
        <v>142</v>
      </c>
    </row>
    <row r="50" spans="1:12" x14ac:dyDescent="0.2">
      <c r="B50" s="39" t="s">
        <v>1958</v>
      </c>
      <c r="C50" s="39" t="s">
        <v>1959</v>
      </c>
      <c r="D50" t="str">
        <f t="shared" si="0"/>
        <v>PJ</v>
      </c>
      <c r="E50" t="str">
        <f t="shared" si="1"/>
        <v>GW</v>
      </c>
      <c r="F50" s="39" t="str">
        <f t="shared" si="2"/>
        <v>DAYNITE</v>
      </c>
      <c r="G50" s="39" t="str">
        <f t="shared" si="3"/>
        <v>ELE</v>
      </c>
      <c r="H50" s="39" t="s">
        <v>2485</v>
      </c>
      <c r="K50" s="26" t="str">
        <f>"PRC,ELE,"&amp;Index!$H$6</f>
        <v>PRC,ELE,DAYNITE</v>
      </c>
      <c r="L50" s="56" t="s">
        <v>142</v>
      </c>
    </row>
    <row r="51" spans="1:12" x14ac:dyDescent="0.2">
      <c r="B51" s="39" t="s">
        <v>243</v>
      </c>
      <c r="C51" s="39" t="s">
        <v>242</v>
      </c>
      <c r="D51" t="str">
        <f t="shared" si="0"/>
        <v>PJ</v>
      </c>
      <c r="E51" t="str">
        <f t="shared" si="1"/>
        <v>GW</v>
      </c>
      <c r="F51" s="39" t="str">
        <f t="shared" si="2"/>
        <v>DAYNITE</v>
      </c>
      <c r="G51" s="39" t="str">
        <f t="shared" si="3"/>
        <v>ELE</v>
      </c>
      <c r="H51" s="39" t="s">
        <v>2485</v>
      </c>
      <c r="K51" s="55" t="s">
        <v>183</v>
      </c>
      <c r="L51" s="56" t="s">
        <v>142</v>
      </c>
    </row>
    <row r="52" spans="1:12" x14ac:dyDescent="0.2">
      <c r="B52" s="39" t="s">
        <v>241</v>
      </c>
      <c r="C52" s="39" t="s">
        <v>240</v>
      </c>
      <c r="D52" t="str">
        <f t="shared" si="0"/>
        <v>PJ</v>
      </c>
      <c r="E52" t="str">
        <f t="shared" si="1"/>
        <v>GW</v>
      </c>
      <c r="F52" s="39" t="str">
        <f t="shared" si="2"/>
        <v>DAYNITE</v>
      </c>
      <c r="G52" s="39" t="str">
        <f t="shared" si="3"/>
        <v>ELE</v>
      </c>
      <c r="H52" s="39" t="s">
        <v>2485</v>
      </c>
      <c r="K52" s="55" t="s">
        <v>183</v>
      </c>
      <c r="L52" s="56" t="s">
        <v>142</v>
      </c>
    </row>
    <row r="53" spans="1:12" ht="12" customHeight="1" x14ac:dyDescent="0.2">
      <c r="B53" s="39" t="s">
        <v>239</v>
      </c>
      <c r="C53" s="39" t="s">
        <v>238</v>
      </c>
      <c r="D53" t="str">
        <f t="shared" si="0"/>
        <v>PJ</v>
      </c>
      <c r="E53" t="str">
        <f t="shared" si="1"/>
        <v>GW</v>
      </c>
      <c r="F53" s="39" t="str">
        <f t="shared" si="2"/>
        <v>DAYNITE</v>
      </c>
      <c r="G53" s="39" t="str">
        <f t="shared" si="3"/>
        <v>ELE</v>
      </c>
      <c r="H53" s="39" t="s">
        <v>2485</v>
      </c>
      <c r="K53" s="55" t="s">
        <v>183</v>
      </c>
      <c r="L53" s="56" t="s">
        <v>142</v>
      </c>
    </row>
    <row r="54" spans="1:12" ht="12" customHeight="1" x14ac:dyDescent="0.2">
      <c r="B54" s="39" t="s">
        <v>237</v>
      </c>
      <c r="C54" s="39" t="s">
        <v>236</v>
      </c>
      <c r="D54" t="str">
        <f t="shared" si="0"/>
        <v>PJ</v>
      </c>
      <c r="E54" t="str">
        <f t="shared" si="1"/>
        <v>GW</v>
      </c>
      <c r="F54" s="334" t="s">
        <v>362</v>
      </c>
      <c r="G54" s="334" t="s">
        <v>2486</v>
      </c>
      <c r="H54" s="39" t="s">
        <v>2485</v>
      </c>
      <c r="K54" s="26" t="s">
        <v>235</v>
      </c>
      <c r="L54" s="56" t="s">
        <v>142</v>
      </c>
    </row>
    <row r="55" spans="1:12" x14ac:dyDescent="0.2">
      <c r="A55" s="42" t="s">
        <v>234</v>
      </c>
      <c r="D55" t="str">
        <f t="shared" si="0"/>
        <v/>
      </c>
      <c r="E55" t="str">
        <f t="shared" si="1"/>
        <v/>
      </c>
      <c r="F55" s="39" t="e">
        <f t="shared" si="2"/>
        <v>#VALUE!</v>
      </c>
      <c r="G55" s="39" t="e">
        <f t="shared" si="3"/>
        <v>#VALUE!</v>
      </c>
      <c r="H55" s="39" t="s">
        <v>2485</v>
      </c>
      <c r="K55" s="55"/>
      <c r="L55" s="56"/>
    </row>
    <row r="56" spans="1:12" ht="11.45" customHeight="1" x14ac:dyDescent="0.2">
      <c r="B56" s="39" t="s">
        <v>233</v>
      </c>
      <c r="C56" s="39" t="s">
        <v>232</v>
      </c>
      <c r="D56" t="str">
        <f t="shared" si="0"/>
        <v>PJ</v>
      </c>
      <c r="E56" t="str">
        <f t="shared" si="1"/>
        <v>GW</v>
      </c>
      <c r="F56" s="39" t="str">
        <f t="shared" si="2"/>
        <v>DAYNITE</v>
      </c>
      <c r="G56" s="39" t="str">
        <f t="shared" si="3"/>
        <v>ELE</v>
      </c>
      <c r="H56" s="39" t="s">
        <v>2485</v>
      </c>
      <c r="K56" s="55" t="s">
        <v>183</v>
      </c>
      <c r="L56" s="56" t="s">
        <v>142</v>
      </c>
    </row>
    <row r="57" spans="1:12" ht="11.45" customHeight="1" x14ac:dyDescent="0.2">
      <c r="B57" s="39" t="s">
        <v>231</v>
      </c>
      <c r="C57" s="39" t="s">
        <v>230</v>
      </c>
      <c r="D57" t="str">
        <f t="shared" si="0"/>
        <v>PJ</v>
      </c>
      <c r="E57" t="str">
        <f t="shared" si="1"/>
        <v>GW</v>
      </c>
      <c r="F57" s="39" t="str">
        <f t="shared" si="2"/>
        <v>DAYNITE</v>
      </c>
      <c r="G57" s="39" t="str">
        <f t="shared" si="3"/>
        <v>ELE</v>
      </c>
      <c r="H57" s="39" t="s">
        <v>2485</v>
      </c>
      <c r="K57" s="55" t="s">
        <v>183</v>
      </c>
      <c r="L57" s="56" t="s">
        <v>142</v>
      </c>
    </row>
    <row r="58" spans="1:12" x14ac:dyDescent="0.2">
      <c r="B58" s="39" t="s">
        <v>229</v>
      </c>
      <c r="C58" s="39" t="s">
        <v>228</v>
      </c>
      <c r="D58" t="str">
        <f t="shared" si="0"/>
        <v>PJ</v>
      </c>
      <c r="E58" t="str">
        <f t="shared" si="1"/>
        <v>GW</v>
      </c>
      <c r="F58" s="39" t="str">
        <f t="shared" si="2"/>
        <v>DAYNITE</v>
      </c>
      <c r="G58" s="39" t="str">
        <f t="shared" si="3"/>
        <v>ELE</v>
      </c>
      <c r="H58" s="39" t="s">
        <v>2485</v>
      </c>
      <c r="K58" s="55" t="s">
        <v>183</v>
      </c>
      <c r="L58" s="56" t="s">
        <v>142</v>
      </c>
    </row>
    <row r="59" spans="1:12" x14ac:dyDescent="0.2">
      <c r="B59" s="39" t="s">
        <v>227</v>
      </c>
      <c r="C59" s="39" t="s">
        <v>226</v>
      </c>
      <c r="D59" t="str">
        <f t="shared" si="0"/>
        <v>PJ</v>
      </c>
      <c r="E59" t="str">
        <f t="shared" si="1"/>
        <v>GW</v>
      </c>
      <c r="F59" s="39" t="str">
        <f t="shared" si="2"/>
        <v>DAYNITE</v>
      </c>
      <c r="G59" s="39" t="str">
        <f t="shared" si="3"/>
        <v>ELE</v>
      </c>
      <c r="H59" s="39" t="s">
        <v>2485</v>
      </c>
      <c r="K59" s="55" t="s">
        <v>183</v>
      </c>
      <c r="L59" s="56" t="s">
        <v>142</v>
      </c>
    </row>
    <row r="60" spans="1:12" x14ac:dyDescent="0.2">
      <c r="B60" s="39" t="s">
        <v>225</v>
      </c>
      <c r="C60" s="39" t="s">
        <v>224</v>
      </c>
      <c r="D60" t="str">
        <f t="shared" si="0"/>
        <v>PJ</v>
      </c>
      <c r="E60" t="str">
        <f t="shared" si="1"/>
        <v>GW</v>
      </c>
      <c r="F60" s="39" t="str">
        <f t="shared" si="2"/>
        <v>DAYNITE</v>
      </c>
      <c r="G60" s="39" t="str">
        <f t="shared" si="3"/>
        <v>ELE</v>
      </c>
      <c r="H60" s="39" t="s">
        <v>2485</v>
      </c>
      <c r="K60" s="55" t="s">
        <v>183</v>
      </c>
      <c r="L60" s="56" t="s">
        <v>142</v>
      </c>
    </row>
    <row r="61" spans="1:12" x14ac:dyDescent="0.2">
      <c r="A61" s="42" t="s">
        <v>223</v>
      </c>
      <c r="D61" t="str">
        <f t="shared" si="0"/>
        <v/>
      </c>
      <c r="E61" t="str">
        <f t="shared" si="1"/>
        <v/>
      </c>
      <c r="F61" s="39" t="e">
        <f t="shared" si="2"/>
        <v>#VALUE!</v>
      </c>
      <c r="G61" s="39" t="e">
        <f t="shared" si="3"/>
        <v>#VALUE!</v>
      </c>
      <c r="H61" s="39" t="s">
        <v>2485</v>
      </c>
      <c r="K61" s="25"/>
      <c r="L61" s="25"/>
    </row>
    <row r="62" spans="1:12" x14ac:dyDescent="0.2">
      <c r="A62" s="44"/>
      <c r="B62" s="39" t="str">
        <f>EskomCoalPrice2019!K36</f>
        <v>MINCSARNOVRS</v>
      </c>
      <c r="C62" s="39" t="str">
        <f>"Coal Supply for "&amp;EskomCoalPrice2019!J36&amp;"-"&amp;EskomCoalPrice2019!I36</f>
        <v>Coal Supply for Arnot-various</v>
      </c>
      <c r="D62" t="str">
        <f t="shared" si="0"/>
        <v>PJ</v>
      </c>
      <c r="E62" t="str">
        <f t="shared" si="1"/>
        <v>Ja</v>
      </c>
      <c r="F62" s="39" t="s">
        <v>122</v>
      </c>
      <c r="G62" s="39" t="s">
        <v>2487</v>
      </c>
      <c r="H62" s="39" t="s">
        <v>2485</v>
      </c>
      <c r="K62" s="26" t="s">
        <v>141</v>
      </c>
      <c r="L62" s="25" t="s">
        <v>118</v>
      </c>
    </row>
    <row r="63" spans="1:12" x14ac:dyDescent="0.2">
      <c r="A63" s="44"/>
      <c r="B63" s="39" t="str">
        <f>EskomCoalPrice2019!K37</f>
        <v>MINCSCAMDVRS</v>
      </c>
      <c r="C63" s="39" t="str">
        <f>"Coal Supply for "&amp;EskomCoalPrice2019!J37&amp;"-"&amp;EskomCoalPrice2019!I37</f>
        <v>Coal Supply for Camden-various</v>
      </c>
      <c r="D63" t="str">
        <f t="shared" si="0"/>
        <v>PJ</v>
      </c>
      <c r="E63" t="str">
        <f t="shared" si="1"/>
        <v>Ja</v>
      </c>
      <c r="F63" s="39" t="s">
        <v>122</v>
      </c>
      <c r="G63" s="39" t="s">
        <v>2487</v>
      </c>
      <c r="H63" s="39" t="s">
        <v>2485</v>
      </c>
      <c r="K63" s="26" t="s">
        <v>141</v>
      </c>
      <c r="L63" s="25" t="s">
        <v>118</v>
      </c>
    </row>
    <row r="64" spans="1:12" x14ac:dyDescent="0.2">
      <c r="A64" s="44"/>
      <c r="B64" s="39" t="str">
        <f>EskomCoalPrice2019!K38</f>
        <v>MINCSDUVHSER</v>
      </c>
      <c r="C64" s="39" t="str">
        <f>"Coal Supply for "&amp;EskomCoalPrice2019!J38&amp;"-"&amp;EskomCoalPrice2019!I38</f>
        <v>Coal Supply for Duvha-Seriti</v>
      </c>
      <c r="D64" t="str">
        <f t="shared" si="0"/>
        <v>PJ</v>
      </c>
      <c r="E64" t="str">
        <f t="shared" si="1"/>
        <v>Ja</v>
      </c>
      <c r="F64" s="39" t="s">
        <v>122</v>
      </c>
      <c r="G64" s="39" t="s">
        <v>2487</v>
      </c>
      <c r="H64" s="39" t="s">
        <v>2485</v>
      </c>
      <c r="K64" s="26" t="s">
        <v>141</v>
      </c>
      <c r="L64" s="25" t="s">
        <v>118</v>
      </c>
    </row>
    <row r="65" spans="1:12" x14ac:dyDescent="0.2">
      <c r="A65" s="44"/>
      <c r="B65" s="39" t="str">
        <f>EskomCoalPrice2019!K39</f>
        <v>MINCSDUVHVRS</v>
      </c>
      <c r="C65" s="39" t="str">
        <f>"Coal Supply for "&amp;EskomCoalPrice2019!J39&amp;"-"&amp;EskomCoalPrice2019!I39</f>
        <v>Coal Supply for Duvha-various</v>
      </c>
      <c r="D65" t="str">
        <f t="shared" si="0"/>
        <v>PJ</v>
      </c>
      <c r="E65" t="str">
        <f t="shared" si="1"/>
        <v>Ja</v>
      </c>
      <c r="F65" s="39" t="s">
        <v>122</v>
      </c>
      <c r="G65" s="39" t="s">
        <v>2487</v>
      </c>
      <c r="H65" s="39" t="s">
        <v>2485</v>
      </c>
      <c r="K65" s="26" t="s">
        <v>141</v>
      </c>
      <c r="L65" s="25" t="s">
        <v>118</v>
      </c>
    </row>
    <row r="66" spans="1:12" x14ac:dyDescent="0.2">
      <c r="A66" s="44"/>
      <c r="B66" s="39" t="str">
        <f>EskomCoalPrice2019!K40</f>
        <v>MINCSGROOVRS</v>
      </c>
      <c r="C66" s="39" t="str">
        <f>"Coal Supply for "&amp;EskomCoalPrice2019!J40&amp;"-"&amp;EskomCoalPrice2019!I40</f>
        <v>Coal Supply for Grootvlei-various</v>
      </c>
      <c r="D66" t="str">
        <f t="shared" si="0"/>
        <v>PJ</v>
      </c>
      <c r="E66" t="str">
        <f t="shared" si="1"/>
        <v>Ja</v>
      </c>
      <c r="F66" s="39" t="s">
        <v>122</v>
      </c>
      <c r="G66" s="39" t="s">
        <v>2487</v>
      </c>
      <c r="H66" s="39" t="s">
        <v>2485</v>
      </c>
      <c r="K66" s="26" t="s">
        <v>141</v>
      </c>
      <c r="L66" s="25" t="s">
        <v>118</v>
      </c>
    </row>
    <row r="67" spans="1:12" x14ac:dyDescent="0.2">
      <c r="A67" s="44"/>
      <c r="B67" s="39" t="str">
        <f>EskomCoalPrice2019!K41</f>
        <v>MINCSHENDVRS</v>
      </c>
      <c r="C67" s="39" t="str">
        <f>"Coal Supply for "&amp;EskomCoalPrice2019!J41&amp;"-"&amp;EskomCoalPrice2019!I41</f>
        <v>Coal Supply for Hendrina-various</v>
      </c>
      <c r="D67" t="str">
        <f t="shared" si="0"/>
        <v>PJ</v>
      </c>
      <c r="E67" t="str">
        <f t="shared" si="1"/>
        <v>Ja</v>
      </c>
      <c r="F67" s="39" t="s">
        <v>122</v>
      </c>
      <c r="G67" s="39" t="s">
        <v>2487</v>
      </c>
      <c r="H67" s="39" t="s">
        <v>2485</v>
      </c>
      <c r="K67" s="26" t="s">
        <v>141</v>
      </c>
      <c r="L67" s="25" t="s">
        <v>118</v>
      </c>
    </row>
    <row r="68" spans="1:12" x14ac:dyDescent="0.2">
      <c r="A68" s="44"/>
      <c r="B68" s="39" t="str">
        <f>EskomCoalPrice2019!K42</f>
        <v>MINCSKENDS32</v>
      </c>
      <c r="C68" s="39" t="str">
        <f>"Coal Supply for "&amp;EskomCoalPrice2019!J42&amp;"-"&amp;EskomCoalPrice2019!I42</f>
        <v>Coal Supply for Kendal-South 32</v>
      </c>
      <c r="D68" t="str">
        <f t="shared" si="0"/>
        <v>PJ</v>
      </c>
      <c r="E68" t="str">
        <f t="shared" si="1"/>
        <v>Ja</v>
      </c>
      <c r="F68" s="39" t="s">
        <v>122</v>
      </c>
      <c r="G68" s="39" t="s">
        <v>2487</v>
      </c>
      <c r="H68" s="39" t="s">
        <v>2485</v>
      </c>
      <c r="K68" s="26" t="s">
        <v>141</v>
      </c>
      <c r="L68" s="25" t="s">
        <v>118</v>
      </c>
    </row>
    <row r="69" spans="1:12" x14ac:dyDescent="0.2">
      <c r="A69" s="44"/>
      <c r="B69" s="39" t="str">
        <f>EskomCoalPrice2019!K43</f>
        <v>MINCSKENDVRS</v>
      </c>
      <c r="C69" s="39" t="str">
        <f>"Coal Supply for "&amp;EskomCoalPrice2019!J43&amp;"-"&amp;EskomCoalPrice2019!I43</f>
        <v>Coal Supply for Kendal-various</v>
      </c>
      <c r="D69" t="str">
        <f t="shared" si="0"/>
        <v>PJ</v>
      </c>
      <c r="E69" t="str">
        <f t="shared" si="1"/>
        <v>Ja</v>
      </c>
      <c r="F69" s="39" t="s">
        <v>122</v>
      </c>
      <c r="G69" s="39" t="s">
        <v>2487</v>
      </c>
      <c r="H69" s="39" t="s">
        <v>2485</v>
      </c>
      <c r="K69" s="26" t="s">
        <v>141</v>
      </c>
      <c r="L69" s="25" t="s">
        <v>118</v>
      </c>
    </row>
    <row r="70" spans="1:12" x14ac:dyDescent="0.2">
      <c r="A70" s="44"/>
      <c r="B70" s="39" t="str">
        <f>EskomCoalPrice2019!K44</f>
        <v>MINCSKOMAVRS</v>
      </c>
      <c r="C70" s="39" t="str">
        <f>"Coal Supply for "&amp;EskomCoalPrice2019!J44&amp;"-"&amp;EskomCoalPrice2019!I44</f>
        <v>Coal Supply for Komati-various</v>
      </c>
      <c r="D70" t="str">
        <f t="shared" si="0"/>
        <v>PJ</v>
      </c>
      <c r="E70" t="str">
        <f t="shared" si="1"/>
        <v>Ja</v>
      </c>
      <c r="F70" s="39" t="s">
        <v>122</v>
      </c>
      <c r="G70" s="39" t="s">
        <v>2487</v>
      </c>
      <c r="H70" s="39" t="s">
        <v>2485</v>
      </c>
      <c r="K70" s="26" t="s">
        <v>141</v>
      </c>
      <c r="L70" s="25" t="s">
        <v>118</v>
      </c>
    </row>
    <row r="71" spans="1:12" x14ac:dyDescent="0.2">
      <c r="A71" s="44"/>
      <c r="B71" s="39" t="str">
        <f>EskomCoalPrice2019!K45</f>
        <v>MINCSKRIESER</v>
      </c>
      <c r="C71" s="39" t="str">
        <f>"Coal Supply for "&amp;EskomCoalPrice2019!J45&amp;"-"&amp;EskomCoalPrice2019!I45</f>
        <v xml:space="preserve">Coal Supply for Kriel-Seriti </v>
      </c>
      <c r="D71" t="str">
        <f t="shared" si="0"/>
        <v>PJ</v>
      </c>
      <c r="E71" t="str">
        <f t="shared" si="1"/>
        <v>Ja</v>
      </c>
      <c r="F71" s="39" t="s">
        <v>122</v>
      </c>
      <c r="G71" s="39" t="s">
        <v>2487</v>
      </c>
      <c r="H71" s="39" t="s">
        <v>2485</v>
      </c>
      <c r="K71" s="26" t="s">
        <v>141</v>
      </c>
      <c r="L71" s="25" t="s">
        <v>118</v>
      </c>
    </row>
    <row r="72" spans="1:12" x14ac:dyDescent="0.2">
      <c r="A72" s="44"/>
      <c r="B72" s="39" t="str">
        <f>EskomCoalPrice2019!K46</f>
        <v>MINCSKRIEVRS</v>
      </c>
      <c r="C72" s="39" t="str">
        <f>"Coal Supply for "&amp;EskomCoalPrice2019!J46&amp;"-"&amp;EskomCoalPrice2019!I46</f>
        <v>Coal Supply for Kriel-various</v>
      </c>
      <c r="D72" t="str">
        <f t="shared" si="0"/>
        <v>PJ</v>
      </c>
      <c r="E72" t="str">
        <f t="shared" si="1"/>
        <v>Ja</v>
      </c>
      <c r="F72" s="39" t="s">
        <v>122</v>
      </c>
      <c r="G72" s="39" t="s">
        <v>2487</v>
      </c>
      <c r="H72" s="39" t="s">
        <v>2485</v>
      </c>
      <c r="K72" s="26" t="s">
        <v>141</v>
      </c>
      <c r="L72" s="25" t="s">
        <v>118</v>
      </c>
    </row>
    <row r="73" spans="1:12" x14ac:dyDescent="0.2">
      <c r="B73" s="39" t="s">
        <v>222</v>
      </c>
      <c r="C73" s="39" t="s">
        <v>221</v>
      </c>
      <c r="D73" t="str">
        <f t="shared" si="0"/>
        <v>PJ</v>
      </c>
      <c r="E73" t="str">
        <f t="shared" si="1"/>
        <v>Ja</v>
      </c>
      <c r="F73" s="39" t="s">
        <v>122</v>
      </c>
      <c r="G73" s="39" t="s">
        <v>2487</v>
      </c>
      <c r="H73" s="39" t="s">
        <v>2485</v>
      </c>
      <c r="K73" s="26" t="s">
        <v>141</v>
      </c>
      <c r="L73" s="25" t="s">
        <v>118</v>
      </c>
    </row>
    <row r="74" spans="1:12" x14ac:dyDescent="0.2">
      <c r="B74" s="39" t="s">
        <v>220</v>
      </c>
      <c r="C74" s="39" t="s">
        <v>219</v>
      </c>
      <c r="D74" t="str">
        <f t="shared" ref="D74:D124" si="4">LEFT(L74,2)</f>
        <v>PJ</v>
      </c>
      <c r="E74" t="str">
        <f t="shared" ref="E74:E124" si="5">RIGHT(L74,2)</f>
        <v>Ja</v>
      </c>
      <c r="F74" s="39" t="s">
        <v>122</v>
      </c>
      <c r="G74" s="39" t="s">
        <v>2487</v>
      </c>
      <c r="H74" s="39" t="s">
        <v>2485</v>
      </c>
      <c r="K74" s="26" t="s">
        <v>141</v>
      </c>
      <c r="L74" s="25" t="s">
        <v>118</v>
      </c>
    </row>
    <row r="75" spans="1:12" x14ac:dyDescent="0.2">
      <c r="B75" s="39" t="str">
        <f>EskomCoalPrice2019!K49</f>
        <v>MINCSLETHSER</v>
      </c>
      <c r="C75" s="39" t="str">
        <f>"Coal Supply for "&amp;EskomCoalPrice2019!J49&amp;"-"&amp;EskomCoalPrice2019!I49</f>
        <v>Coal Supply for Lethabo-Seriti</v>
      </c>
      <c r="D75" t="str">
        <f t="shared" si="4"/>
        <v>PJ</v>
      </c>
      <c r="E75" t="str">
        <f t="shared" si="5"/>
        <v>Ja</v>
      </c>
      <c r="F75" s="39" t="s">
        <v>122</v>
      </c>
      <c r="G75" s="39" t="s">
        <v>2487</v>
      </c>
      <c r="H75" s="39" t="s">
        <v>2485</v>
      </c>
      <c r="K75" s="26" t="s">
        <v>141</v>
      </c>
      <c r="L75" s="25" t="s">
        <v>118</v>
      </c>
    </row>
    <row r="76" spans="1:12" x14ac:dyDescent="0.2">
      <c r="B76" s="39" t="str">
        <f>EskomCoalPrice2019!K50</f>
        <v>MINCSMAJUVRS</v>
      </c>
      <c r="C76" s="39" t="str">
        <f>"Coal Supply for "&amp;EskomCoalPrice2019!J50&amp;"-"&amp;EskomCoalPrice2019!I50</f>
        <v>Coal Supply for Majuba-various</v>
      </c>
      <c r="D76" t="str">
        <f t="shared" si="4"/>
        <v>PJ</v>
      </c>
      <c r="E76" t="str">
        <f t="shared" si="5"/>
        <v>Ja</v>
      </c>
      <c r="F76" s="39" t="s">
        <v>122</v>
      </c>
      <c r="G76" s="39" t="s">
        <v>2487</v>
      </c>
      <c r="H76" s="39" t="s">
        <v>2485</v>
      </c>
      <c r="K76" s="26" t="s">
        <v>141</v>
      </c>
      <c r="L76" s="25" t="s">
        <v>118</v>
      </c>
    </row>
    <row r="77" spans="1:12" x14ac:dyDescent="0.2">
      <c r="B77" s="39" t="str">
        <f>EskomCoalPrice2019!K51</f>
        <v>MINCSMATIEXX</v>
      </c>
      <c r="C77" s="39" t="str">
        <f>"Coal Supply for "&amp;EskomCoalPrice2019!J51&amp;"-"&amp;EskomCoalPrice2019!I51</f>
        <v xml:space="preserve">Coal Supply for Matimba-Exxaro </v>
      </c>
      <c r="D77" t="str">
        <f t="shared" si="4"/>
        <v>PJ</v>
      </c>
      <c r="E77" t="str">
        <f t="shared" si="5"/>
        <v>Ja</v>
      </c>
      <c r="F77" s="39" t="s">
        <v>122</v>
      </c>
      <c r="G77" s="39" t="s">
        <v>2487</v>
      </c>
      <c r="H77" s="39" t="s">
        <v>2485</v>
      </c>
      <c r="K77" s="26" t="s">
        <v>141</v>
      </c>
      <c r="L77" s="25" t="s">
        <v>118</v>
      </c>
    </row>
    <row r="78" spans="1:12" x14ac:dyDescent="0.2">
      <c r="B78" s="39" t="str">
        <f>EskomCoalPrice2019!K52</f>
        <v>MINCSMATLEXX</v>
      </c>
      <c r="C78" s="39" t="str">
        <f>"Coal Supply for "&amp;EskomCoalPrice2019!J52&amp;"-"&amp;EskomCoalPrice2019!I52</f>
        <v>Coal Supply for Matla-Exxaro</v>
      </c>
      <c r="D78" t="str">
        <f t="shared" si="4"/>
        <v>PJ</v>
      </c>
      <c r="E78" t="str">
        <f t="shared" si="5"/>
        <v>Ja</v>
      </c>
      <c r="F78" s="39" t="s">
        <v>122</v>
      </c>
      <c r="G78" s="39" t="s">
        <v>2487</v>
      </c>
      <c r="H78" s="39" t="s">
        <v>2485</v>
      </c>
      <c r="K78" s="26" t="s">
        <v>141</v>
      </c>
      <c r="L78" s="25" t="s">
        <v>118</v>
      </c>
    </row>
    <row r="79" spans="1:12" x14ac:dyDescent="0.2">
      <c r="B79" s="39" t="str">
        <f>EskomCoalPrice2019!K53</f>
        <v>MINCSMATLVRS</v>
      </c>
      <c r="C79" s="39" t="str">
        <f>"Coal Supply for "&amp;EskomCoalPrice2019!J53&amp;"-"&amp;EskomCoalPrice2019!I53</f>
        <v>Coal Supply for Matla-various</v>
      </c>
      <c r="D79" t="str">
        <f t="shared" si="4"/>
        <v>PJ</v>
      </c>
      <c r="E79" t="str">
        <f t="shared" si="5"/>
        <v>Ja</v>
      </c>
      <c r="F79" s="39" t="s">
        <v>122</v>
      </c>
      <c r="G79" s="39" t="s">
        <v>2487</v>
      </c>
      <c r="H79" s="39" t="s">
        <v>2485</v>
      </c>
      <c r="K79" s="26" t="s">
        <v>141</v>
      </c>
      <c r="L79" s="25" t="s">
        <v>118</v>
      </c>
    </row>
    <row r="80" spans="1:12" x14ac:dyDescent="0.2">
      <c r="B80" s="39" t="str">
        <f>EskomCoalPrice2019!K54</f>
        <v>MINCSMEDUEXX</v>
      </c>
      <c r="C80" s="39" t="str">
        <f>"Coal Supply for "&amp;EskomCoalPrice2019!J54&amp;"-"&amp;EskomCoalPrice2019!I54</f>
        <v>Coal Supply for Medupi-Exxaro</v>
      </c>
      <c r="D80" t="str">
        <f t="shared" si="4"/>
        <v>PJ</v>
      </c>
      <c r="E80" t="str">
        <f t="shared" si="5"/>
        <v>Ja</v>
      </c>
      <c r="F80" s="39" t="s">
        <v>122</v>
      </c>
      <c r="G80" s="39" t="s">
        <v>2487</v>
      </c>
      <c r="H80" s="39" t="s">
        <v>2485</v>
      </c>
      <c r="K80" s="26" t="s">
        <v>141</v>
      </c>
      <c r="L80" s="25" t="s">
        <v>118</v>
      </c>
    </row>
    <row r="81" spans="1:12" x14ac:dyDescent="0.2">
      <c r="B81" s="39" t="str">
        <f>EskomCoalPrice2019!K55</f>
        <v>MINCSTUTUSER</v>
      </c>
      <c r="C81" s="39" t="str">
        <f>"Coal Supply for "&amp;EskomCoalPrice2019!J55&amp;"-"&amp;EskomCoalPrice2019!I55</f>
        <v>Coal Supply for Tutuka-Seriti</v>
      </c>
      <c r="D81" t="str">
        <f t="shared" si="4"/>
        <v>PJ</v>
      </c>
      <c r="E81" t="str">
        <f t="shared" si="5"/>
        <v>Ja</v>
      </c>
      <c r="F81" s="39" t="s">
        <v>122</v>
      </c>
      <c r="G81" s="39" t="s">
        <v>2487</v>
      </c>
      <c r="H81" s="39" t="s">
        <v>2485</v>
      </c>
      <c r="K81" s="26" t="s">
        <v>141</v>
      </c>
      <c r="L81" s="25" t="s">
        <v>118</v>
      </c>
    </row>
    <row r="82" spans="1:12" x14ac:dyDescent="0.2">
      <c r="B82" s="39" t="str">
        <f>EskomCoalPrice2019!K56</f>
        <v>MINCSTUTUVRS</v>
      </c>
      <c r="C82" s="39" t="str">
        <f>"Coal Supply for "&amp;EskomCoalPrice2019!J56&amp;"-"&amp;EskomCoalPrice2019!I56</f>
        <v>Coal Supply for Tutuka-various</v>
      </c>
      <c r="D82" t="str">
        <f t="shared" si="4"/>
        <v>PJ</v>
      </c>
      <c r="E82" t="str">
        <f t="shared" si="5"/>
        <v>Ja</v>
      </c>
      <c r="F82" s="39" t="s">
        <v>122</v>
      </c>
      <c r="G82" s="39" t="s">
        <v>2487</v>
      </c>
      <c r="H82" s="39" t="s">
        <v>2485</v>
      </c>
      <c r="K82" s="26" t="s">
        <v>141</v>
      </c>
      <c r="L82" s="25" t="s">
        <v>118</v>
      </c>
    </row>
    <row r="83" spans="1:12" x14ac:dyDescent="0.2">
      <c r="B83" s="39" t="s">
        <v>218</v>
      </c>
      <c r="C83" s="39" t="s">
        <v>217</v>
      </c>
      <c r="D83" t="str">
        <f t="shared" si="4"/>
        <v>PJ</v>
      </c>
      <c r="E83" t="str">
        <f t="shared" si="5"/>
        <v>Ja</v>
      </c>
      <c r="F83" s="39" t="s">
        <v>122</v>
      </c>
      <c r="G83" s="39" t="s">
        <v>2487</v>
      </c>
      <c r="H83" s="39" t="s">
        <v>2485</v>
      </c>
      <c r="K83" s="26" t="s">
        <v>141</v>
      </c>
      <c r="L83" s="25" t="s">
        <v>118</v>
      </c>
    </row>
    <row r="84" spans="1:12" x14ac:dyDescent="0.2">
      <c r="A84" s="42" t="s">
        <v>216</v>
      </c>
      <c r="D84" t="str">
        <f t="shared" si="4"/>
        <v/>
      </c>
      <c r="E84" t="str">
        <f t="shared" si="5"/>
        <v/>
      </c>
      <c r="F84" s="39" t="e">
        <f t="shared" ref="F84:F116" si="6">RIGHT(K84,LEN(K84)-FIND(",",K84,5))</f>
        <v>#VALUE!</v>
      </c>
      <c r="G84" s="39" t="e">
        <f t="shared" ref="G84:G116" si="7">MID(K84,5,LEN(K84)-LEN(F84)-5)</f>
        <v>#VALUE!</v>
      </c>
      <c r="H84" s="39" t="s">
        <v>2485</v>
      </c>
    </row>
    <row r="85" spans="1:12" x14ac:dyDescent="0.2">
      <c r="A85" s="54"/>
      <c r="B85" s="39" t="s">
        <v>128</v>
      </c>
      <c r="C85" s="39" t="s">
        <v>129</v>
      </c>
      <c r="D85" t="str">
        <f t="shared" si="4"/>
        <v>PJ</v>
      </c>
      <c r="E85" t="str">
        <f t="shared" si="5"/>
        <v>GW</v>
      </c>
      <c r="F85" s="39" t="str">
        <f t="shared" si="6"/>
        <v>DAYNITE</v>
      </c>
      <c r="G85" s="39" t="str">
        <f t="shared" si="7"/>
        <v>ELE</v>
      </c>
      <c r="H85" s="39" t="s">
        <v>2485</v>
      </c>
      <c r="K85" s="26" t="s">
        <v>183</v>
      </c>
      <c r="L85" s="25" t="s">
        <v>142</v>
      </c>
    </row>
    <row r="86" spans="1:12" x14ac:dyDescent="0.2">
      <c r="A86" s="54"/>
      <c r="B86" s="39" t="s">
        <v>215</v>
      </c>
      <c r="C86" s="39" t="s">
        <v>214</v>
      </c>
      <c r="D86" t="str">
        <f t="shared" si="4"/>
        <v>PJ</v>
      </c>
      <c r="E86" t="str">
        <f t="shared" si="5"/>
        <v>GW</v>
      </c>
      <c r="F86" s="39" t="str">
        <f t="shared" si="6"/>
        <v>DAYNITE</v>
      </c>
      <c r="G86" s="39" t="str">
        <f t="shared" si="7"/>
        <v>ELE</v>
      </c>
      <c r="H86" s="39" t="s">
        <v>2485</v>
      </c>
      <c r="K86" s="26" t="s">
        <v>183</v>
      </c>
      <c r="L86" s="25" t="s">
        <v>142</v>
      </c>
    </row>
    <row r="87" spans="1:12" x14ac:dyDescent="0.2">
      <c r="A87" s="54"/>
      <c r="B87" s="39" t="s">
        <v>2462</v>
      </c>
      <c r="C87" s="39" t="s">
        <v>2458</v>
      </c>
      <c r="D87" t="str">
        <f t="shared" si="4"/>
        <v>PJ</v>
      </c>
      <c r="E87" t="str">
        <f t="shared" si="5"/>
        <v>GW</v>
      </c>
      <c r="F87" s="39" t="str">
        <f t="shared" si="6"/>
        <v>DAYNITE</v>
      </c>
      <c r="G87" s="39" t="str">
        <f t="shared" si="7"/>
        <v>ELE</v>
      </c>
      <c r="H87" s="39" t="s">
        <v>2485</v>
      </c>
      <c r="K87" s="26" t="s">
        <v>183</v>
      </c>
      <c r="L87" s="25" t="s">
        <v>142</v>
      </c>
    </row>
    <row r="88" spans="1:12" x14ac:dyDescent="0.2">
      <c r="A88" s="54"/>
      <c r="B88" s="39" t="s">
        <v>213</v>
      </c>
      <c r="C88" s="39" t="s">
        <v>212</v>
      </c>
      <c r="D88" t="str">
        <f t="shared" si="4"/>
        <v>PJ</v>
      </c>
      <c r="E88" t="str">
        <f t="shared" si="5"/>
        <v>GW</v>
      </c>
      <c r="F88" s="39" t="str">
        <f t="shared" si="6"/>
        <v>DAYNITE</v>
      </c>
      <c r="G88" s="39" t="str">
        <f t="shared" si="7"/>
        <v>ELE</v>
      </c>
      <c r="H88" s="39" t="s">
        <v>2485</v>
      </c>
      <c r="K88" s="26" t="s">
        <v>183</v>
      </c>
      <c r="L88" s="25" t="s">
        <v>142</v>
      </c>
    </row>
    <row r="89" spans="1:12" x14ac:dyDescent="0.2">
      <c r="A89" s="54"/>
      <c r="B89" s="39" t="s">
        <v>211</v>
      </c>
      <c r="C89" s="39" t="s">
        <v>210</v>
      </c>
      <c r="D89" t="str">
        <f t="shared" si="4"/>
        <v>PJ</v>
      </c>
      <c r="E89" t="str">
        <f t="shared" si="5"/>
        <v>GW</v>
      </c>
      <c r="F89" s="39" t="str">
        <f t="shared" si="6"/>
        <v>DAYNITE</v>
      </c>
      <c r="G89" s="39" t="str">
        <f t="shared" si="7"/>
        <v>ELE</v>
      </c>
      <c r="H89" s="39" t="s">
        <v>2485</v>
      </c>
      <c r="K89" s="26" t="s">
        <v>183</v>
      </c>
      <c r="L89" s="25" t="s">
        <v>142</v>
      </c>
    </row>
    <row r="90" spans="1:12" x14ac:dyDescent="0.2">
      <c r="A90" s="54"/>
      <c r="B90" s="39" t="s">
        <v>209</v>
      </c>
      <c r="C90" s="39" t="s">
        <v>208</v>
      </c>
      <c r="D90" t="str">
        <f t="shared" si="4"/>
        <v>PJ</v>
      </c>
      <c r="E90" t="str">
        <f t="shared" si="5"/>
        <v>GW</v>
      </c>
      <c r="F90" s="39" t="str">
        <f t="shared" si="6"/>
        <v>DAYNITE</v>
      </c>
      <c r="G90" s="39" t="str">
        <f t="shared" si="7"/>
        <v>ELE</v>
      </c>
      <c r="H90" s="39" t="s">
        <v>2485</v>
      </c>
      <c r="K90" s="26" t="s">
        <v>183</v>
      </c>
      <c r="L90" s="25" t="s">
        <v>142</v>
      </c>
    </row>
    <row r="91" spans="1:12" x14ac:dyDescent="0.2">
      <c r="A91" s="54"/>
      <c r="B91" s="39" t="s">
        <v>207</v>
      </c>
      <c r="C91" s="39" t="s">
        <v>206</v>
      </c>
      <c r="D91" t="str">
        <f t="shared" si="4"/>
        <v>PJ</v>
      </c>
      <c r="E91" t="str">
        <f t="shared" si="5"/>
        <v>GW</v>
      </c>
      <c r="F91" s="39" t="str">
        <f t="shared" si="6"/>
        <v>DAYNITE</v>
      </c>
      <c r="G91" s="39" t="str">
        <f t="shared" si="7"/>
        <v>ELE</v>
      </c>
      <c r="H91" s="39" t="s">
        <v>2485</v>
      </c>
      <c r="K91" s="26" t="s">
        <v>183</v>
      </c>
      <c r="L91" s="25" t="s">
        <v>142</v>
      </c>
    </row>
    <row r="92" spans="1:12" x14ac:dyDescent="0.2">
      <c r="A92" s="54"/>
      <c r="B92" s="39" t="s">
        <v>205</v>
      </c>
      <c r="C92" s="39" t="s">
        <v>204</v>
      </c>
      <c r="D92" t="str">
        <f t="shared" si="4"/>
        <v>PJ</v>
      </c>
      <c r="E92" t="str">
        <f t="shared" si="5"/>
        <v>GW</v>
      </c>
      <c r="F92" s="39" t="str">
        <f t="shared" si="6"/>
        <v>DAYNITE</v>
      </c>
      <c r="G92" s="39" t="str">
        <f t="shared" si="7"/>
        <v>ELE</v>
      </c>
      <c r="H92" s="39" t="s">
        <v>2485</v>
      </c>
      <c r="K92" s="26" t="s">
        <v>183</v>
      </c>
      <c r="L92" s="25" t="s">
        <v>142</v>
      </c>
    </row>
    <row r="93" spans="1:12" x14ac:dyDescent="0.2">
      <c r="A93" s="54"/>
      <c r="B93" s="39" t="s">
        <v>203</v>
      </c>
      <c r="C93" s="39" t="s">
        <v>202</v>
      </c>
      <c r="D93" t="str">
        <f t="shared" si="4"/>
        <v>PJ</v>
      </c>
      <c r="E93" t="str">
        <f t="shared" si="5"/>
        <v>GW</v>
      </c>
      <c r="F93" s="39" t="str">
        <f t="shared" si="6"/>
        <v>DAYNITE</v>
      </c>
      <c r="G93" s="39" t="str">
        <f t="shared" si="7"/>
        <v>ELE</v>
      </c>
      <c r="H93" s="39" t="s">
        <v>2485</v>
      </c>
      <c r="K93" s="26" t="s">
        <v>183</v>
      </c>
      <c r="L93" s="25" t="s">
        <v>142</v>
      </c>
    </row>
    <row r="94" spans="1:12" x14ac:dyDescent="0.2">
      <c r="A94" s="54"/>
      <c r="B94" s="39" t="s">
        <v>201</v>
      </c>
      <c r="C94" s="39" t="s">
        <v>200</v>
      </c>
      <c r="D94" t="str">
        <f t="shared" si="4"/>
        <v>PJ</v>
      </c>
      <c r="E94" t="str">
        <f t="shared" si="5"/>
        <v>GW</v>
      </c>
      <c r="F94" s="39" t="str">
        <f t="shared" si="6"/>
        <v>DAYNITE</v>
      </c>
      <c r="G94" s="39" t="str">
        <f t="shared" si="7"/>
        <v>ELE</v>
      </c>
      <c r="H94" s="39" t="s">
        <v>2485</v>
      </c>
      <c r="K94" s="26" t="s">
        <v>183</v>
      </c>
      <c r="L94" s="25" t="s">
        <v>142</v>
      </c>
    </row>
    <row r="95" spans="1:12" x14ac:dyDescent="0.2">
      <c r="A95" s="54"/>
      <c r="B95" s="39" t="s">
        <v>199</v>
      </c>
      <c r="C95" s="39" t="s">
        <v>198</v>
      </c>
      <c r="D95" t="str">
        <f t="shared" si="4"/>
        <v>PJ</v>
      </c>
      <c r="E95" t="str">
        <f t="shared" si="5"/>
        <v>GW</v>
      </c>
      <c r="F95" s="39" t="str">
        <f t="shared" si="6"/>
        <v>DAYNITE</v>
      </c>
      <c r="G95" s="39" t="str">
        <f t="shared" si="7"/>
        <v>ELE</v>
      </c>
      <c r="H95" s="39" t="s">
        <v>2485</v>
      </c>
      <c r="K95" s="26" t="s">
        <v>183</v>
      </c>
      <c r="L95" s="25" t="s">
        <v>142</v>
      </c>
    </row>
    <row r="96" spans="1:12" x14ac:dyDescent="0.2">
      <c r="A96" s="54"/>
      <c r="B96" s="39" t="s">
        <v>197</v>
      </c>
      <c r="C96" s="39" t="s">
        <v>196</v>
      </c>
      <c r="D96" t="str">
        <f t="shared" si="4"/>
        <v>PJ</v>
      </c>
      <c r="E96" t="str">
        <f t="shared" si="5"/>
        <v>GW</v>
      </c>
      <c r="F96" s="39" t="str">
        <f t="shared" si="6"/>
        <v>DAYNITE</v>
      </c>
      <c r="G96" s="39" t="str">
        <f t="shared" si="7"/>
        <v>ELE</v>
      </c>
      <c r="H96" s="39" t="s">
        <v>2485</v>
      </c>
      <c r="K96" s="26" t="s">
        <v>183</v>
      </c>
      <c r="L96" s="25" t="s">
        <v>142</v>
      </c>
    </row>
    <row r="97" spans="1:12" x14ac:dyDescent="0.2">
      <c r="A97" s="54"/>
      <c r="B97" s="39" t="s">
        <v>195</v>
      </c>
      <c r="C97" s="39" t="s">
        <v>194</v>
      </c>
      <c r="D97" t="str">
        <f t="shared" si="4"/>
        <v>PJ</v>
      </c>
      <c r="E97" t="str">
        <f t="shared" si="5"/>
        <v>GW</v>
      </c>
      <c r="F97" s="39" t="str">
        <f t="shared" si="6"/>
        <v>DAYNITE</v>
      </c>
      <c r="G97" s="39" t="str">
        <f t="shared" si="7"/>
        <v>ELE</v>
      </c>
      <c r="H97" s="39" t="s">
        <v>2485</v>
      </c>
      <c r="K97" s="26" t="s">
        <v>183</v>
      </c>
      <c r="L97" s="25" t="s">
        <v>142</v>
      </c>
    </row>
    <row r="98" spans="1:12" x14ac:dyDescent="0.2">
      <c r="A98" s="54"/>
      <c r="B98" s="39" t="s">
        <v>193</v>
      </c>
      <c r="C98" s="39" t="s">
        <v>192</v>
      </c>
      <c r="D98" t="str">
        <f t="shared" si="4"/>
        <v>PJ</v>
      </c>
      <c r="E98" t="str">
        <f t="shared" si="5"/>
        <v>GW</v>
      </c>
      <c r="F98" s="39" t="str">
        <f t="shared" si="6"/>
        <v>DAYNITE</v>
      </c>
      <c r="G98" s="39" t="str">
        <f t="shared" si="7"/>
        <v>ELE</v>
      </c>
      <c r="H98" s="39" t="s">
        <v>2485</v>
      </c>
      <c r="K98" s="26" t="s">
        <v>183</v>
      </c>
      <c r="L98" s="25" t="s">
        <v>142</v>
      </c>
    </row>
    <row r="99" spans="1:12" x14ac:dyDescent="0.2">
      <c r="A99" s="54"/>
      <c r="B99" s="39" t="s">
        <v>191</v>
      </c>
      <c r="C99" s="39" t="s">
        <v>190</v>
      </c>
      <c r="D99" t="str">
        <f t="shared" si="4"/>
        <v>PJ</v>
      </c>
      <c r="E99" t="str">
        <f t="shared" si="5"/>
        <v>GW</v>
      </c>
      <c r="F99" s="39" t="str">
        <f t="shared" si="6"/>
        <v>DAYNITE</v>
      </c>
      <c r="G99" s="39" t="str">
        <f t="shared" si="7"/>
        <v>ELE</v>
      </c>
      <c r="H99" s="39" t="s">
        <v>2485</v>
      </c>
      <c r="K99" s="26" t="s">
        <v>183</v>
      </c>
      <c r="L99" s="25" t="s">
        <v>142</v>
      </c>
    </row>
    <row r="100" spans="1:12" x14ac:dyDescent="0.2">
      <c r="A100" s="54"/>
      <c r="B100" s="39" t="s">
        <v>189</v>
      </c>
      <c r="C100" s="39" t="s">
        <v>188</v>
      </c>
      <c r="D100" t="str">
        <f t="shared" si="4"/>
        <v>PJ</v>
      </c>
      <c r="E100" t="str">
        <f t="shared" si="5"/>
        <v>GW</v>
      </c>
      <c r="F100" s="39" t="str">
        <f t="shared" si="6"/>
        <v>DAYNITE</v>
      </c>
      <c r="G100" s="39" t="str">
        <f t="shared" si="7"/>
        <v>ELE</v>
      </c>
      <c r="H100" s="39" t="s">
        <v>2485</v>
      </c>
      <c r="K100" s="26" t="s">
        <v>183</v>
      </c>
      <c r="L100" s="25" t="s">
        <v>142</v>
      </c>
    </row>
    <row r="101" spans="1:12" x14ac:dyDescent="0.2">
      <c r="A101" s="54"/>
      <c r="B101" s="39" t="s">
        <v>187</v>
      </c>
      <c r="C101" s="39" t="s">
        <v>186</v>
      </c>
      <c r="D101" t="str">
        <f t="shared" si="4"/>
        <v>PJ</v>
      </c>
      <c r="E101" t="str">
        <f t="shared" si="5"/>
        <v>GW</v>
      </c>
      <c r="F101" s="39" t="str">
        <f t="shared" si="6"/>
        <v>DAYNITE</v>
      </c>
      <c r="G101" s="39" t="str">
        <f t="shared" si="7"/>
        <v>ELE</v>
      </c>
      <c r="H101" s="39" t="s">
        <v>2485</v>
      </c>
      <c r="K101" s="26" t="s">
        <v>183</v>
      </c>
      <c r="L101" s="25" t="s">
        <v>142</v>
      </c>
    </row>
    <row r="102" spans="1:12" x14ac:dyDescent="0.2">
      <c r="A102" s="54"/>
      <c r="B102" s="39" t="s">
        <v>185</v>
      </c>
      <c r="C102" s="39" t="s">
        <v>184</v>
      </c>
      <c r="D102" t="str">
        <f t="shared" si="4"/>
        <v>PJ</v>
      </c>
      <c r="E102" t="str">
        <f t="shared" si="5"/>
        <v>GW</v>
      </c>
      <c r="F102" s="39" t="str">
        <f t="shared" si="6"/>
        <v>DAYNITE</v>
      </c>
      <c r="G102" s="39" t="str">
        <f t="shared" si="7"/>
        <v>ELE</v>
      </c>
      <c r="H102" s="39" t="s">
        <v>2485</v>
      </c>
      <c r="K102" s="26" t="s">
        <v>183</v>
      </c>
      <c r="L102" s="25" t="s">
        <v>142</v>
      </c>
    </row>
    <row r="103" spans="1:12" x14ac:dyDescent="0.2">
      <c r="A103" s="42" t="s">
        <v>1910</v>
      </c>
      <c r="D103" t="str">
        <f t="shared" si="4"/>
        <v/>
      </c>
      <c r="E103" t="str">
        <f t="shared" si="5"/>
        <v/>
      </c>
      <c r="F103" s="39" t="e">
        <f t="shared" si="6"/>
        <v>#VALUE!</v>
      </c>
      <c r="G103" s="39" t="e">
        <f t="shared" si="7"/>
        <v>#VALUE!</v>
      </c>
      <c r="H103" s="39" t="s">
        <v>2485</v>
      </c>
      <c r="K103" s="26"/>
      <c r="L103" s="25"/>
    </row>
    <row r="104" spans="1:12" x14ac:dyDescent="0.2">
      <c r="A104" s="54"/>
      <c r="B104" s="39" t="s">
        <v>1909</v>
      </c>
      <c r="C104" s="39" t="s">
        <v>1908</v>
      </c>
      <c r="D104" t="str">
        <f t="shared" si="4"/>
        <v>PJ</v>
      </c>
      <c r="E104" t="str">
        <f t="shared" si="5"/>
        <v>Ja</v>
      </c>
      <c r="F104" s="39" t="s">
        <v>122</v>
      </c>
      <c r="G104" s="39" t="s">
        <v>2487</v>
      </c>
      <c r="H104" s="39" t="s">
        <v>2485</v>
      </c>
      <c r="K104" s="26" t="s">
        <v>141</v>
      </c>
      <c r="L104" s="25" t="s">
        <v>118</v>
      </c>
    </row>
    <row r="105" spans="1:12" x14ac:dyDescent="0.2">
      <c r="A105" s="54"/>
      <c r="B105" s="39" t="s">
        <v>1918</v>
      </c>
      <c r="C105" s="39" t="s">
        <v>1917</v>
      </c>
      <c r="D105" t="str">
        <f t="shared" si="4"/>
        <v>PJ</v>
      </c>
      <c r="E105" t="str">
        <f t="shared" si="5"/>
        <v>Ja</v>
      </c>
      <c r="F105" s="39" t="s">
        <v>122</v>
      </c>
      <c r="G105" s="39" t="s">
        <v>2487</v>
      </c>
      <c r="H105" s="39" t="s">
        <v>2485</v>
      </c>
      <c r="K105" s="26" t="s">
        <v>141</v>
      </c>
      <c r="L105" s="25" t="s">
        <v>118</v>
      </c>
    </row>
    <row r="106" spans="1:12" x14ac:dyDescent="0.2">
      <c r="A106" s="54"/>
      <c r="B106" s="39" t="s">
        <v>2463</v>
      </c>
      <c r="C106" s="39" t="s">
        <v>2464</v>
      </c>
      <c r="D106" t="str">
        <f t="shared" si="4"/>
        <v>PJ</v>
      </c>
      <c r="E106" t="str">
        <f t="shared" si="5"/>
        <v>Ja</v>
      </c>
      <c r="F106" s="39" t="s">
        <v>122</v>
      </c>
      <c r="G106" s="39" t="s">
        <v>2487</v>
      </c>
      <c r="H106" s="39" t="s">
        <v>2485</v>
      </c>
      <c r="K106" s="26" t="s">
        <v>2471</v>
      </c>
      <c r="L106" s="25" t="s">
        <v>118</v>
      </c>
    </row>
    <row r="107" spans="1:12" x14ac:dyDescent="0.2">
      <c r="A107" s="54"/>
      <c r="B107" s="39" t="s">
        <v>2465</v>
      </c>
      <c r="C107" s="39" t="s">
        <v>2466</v>
      </c>
      <c r="D107" t="str">
        <f t="shared" si="4"/>
        <v>PJ</v>
      </c>
      <c r="E107" t="str">
        <f t="shared" si="5"/>
        <v>Ja</v>
      </c>
      <c r="F107" s="39" t="s">
        <v>122</v>
      </c>
      <c r="G107" s="39" t="s">
        <v>2487</v>
      </c>
      <c r="H107" s="39" t="s">
        <v>2485</v>
      </c>
      <c r="K107" s="26" t="s">
        <v>2471</v>
      </c>
      <c r="L107" s="25" t="s">
        <v>118</v>
      </c>
    </row>
    <row r="108" spans="1:12" x14ac:dyDescent="0.2">
      <c r="A108" s="54"/>
      <c r="B108" s="39" t="s">
        <v>2467</v>
      </c>
      <c r="C108" s="39" t="s">
        <v>2468</v>
      </c>
      <c r="D108" t="str">
        <f t="shared" si="4"/>
        <v>PJ</v>
      </c>
      <c r="E108" t="str">
        <f t="shared" si="5"/>
        <v>Ja</v>
      </c>
      <c r="F108" s="39" t="s">
        <v>122</v>
      </c>
      <c r="G108" s="39" t="s">
        <v>2487</v>
      </c>
      <c r="H108" s="39" t="s">
        <v>2485</v>
      </c>
      <c r="K108" s="26" t="s">
        <v>141</v>
      </c>
      <c r="L108" s="25" t="s">
        <v>118</v>
      </c>
    </row>
    <row r="109" spans="1:12" x14ac:dyDescent="0.2">
      <c r="A109" s="54"/>
      <c r="B109" s="39" t="s">
        <v>2470</v>
      </c>
      <c r="C109" s="39" t="s">
        <v>2469</v>
      </c>
      <c r="D109" t="str">
        <f t="shared" si="4"/>
        <v>PJ</v>
      </c>
      <c r="E109" t="str">
        <f t="shared" si="5"/>
        <v>Ja</v>
      </c>
      <c r="F109" s="39" t="s">
        <v>122</v>
      </c>
      <c r="G109" s="39" t="s">
        <v>2487</v>
      </c>
      <c r="H109" s="39" t="s">
        <v>2485</v>
      </c>
      <c r="K109" s="26" t="s">
        <v>141</v>
      </c>
      <c r="L109" s="25" t="s">
        <v>118</v>
      </c>
    </row>
    <row r="110" spans="1:12" x14ac:dyDescent="0.2">
      <c r="A110" s="54"/>
      <c r="B110" s="39" t="s">
        <v>2472</v>
      </c>
      <c r="C110" s="39" t="s">
        <v>2475</v>
      </c>
      <c r="D110" t="str">
        <f t="shared" si="4"/>
        <v>PJ</v>
      </c>
      <c r="E110" t="str">
        <f t="shared" si="5"/>
        <v>Ja</v>
      </c>
      <c r="F110" s="39" t="s">
        <v>122</v>
      </c>
      <c r="G110" s="39" t="s">
        <v>2487</v>
      </c>
      <c r="H110" s="39" t="s">
        <v>2485</v>
      </c>
      <c r="K110" s="26" t="s">
        <v>141</v>
      </c>
      <c r="L110" s="25" t="s">
        <v>118</v>
      </c>
    </row>
    <row r="111" spans="1:12" x14ac:dyDescent="0.2">
      <c r="A111" s="54"/>
      <c r="B111" s="39" t="s">
        <v>2473</v>
      </c>
      <c r="C111" s="39" t="s">
        <v>2476</v>
      </c>
      <c r="D111" t="str">
        <f t="shared" si="4"/>
        <v>PJ</v>
      </c>
      <c r="E111" t="str">
        <f t="shared" si="5"/>
        <v>Ja</v>
      </c>
      <c r="F111" s="39" t="s">
        <v>122</v>
      </c>
      <c r="G111" s="39" t="s">
        <v>2487</v>
      </c>
      <c r="H111" s="39" t="s">
        <v>2485</v>
      </c>
      <c r="K111" s="26" t="s">
        <v>141</v>
      </c>
      <c r="L111" s="25" t="s">
        <v>118</v>
      </c>
    </row>
    <row r="112" spans="1:12" x14ac:dyDescent="0.2">
      <c r="A112" s="54"/>
      <c r="B112" s="39" t="s">
        <v>2474</v>
      </c>
      <c r="C112" s="39" t="s">
        <v>2477</v>
      </c>
      <c r="D112" t="str">
        <f t="shared" si="4"/>
        <v>PJ</v>
      </c>
      <c r="E112" t="str">
        <f t="shared" si="5"/>
        <v>Ja</v>
      </c>
      <c r="F112" s="39" t="s">
        <v>122</v>
      </c>
      <c r="G112" s="39" t="s">
        <v>2487</v>
      </c>
      <c r="H112" s="39" t="s">
        <v>2485</v>
      </c>
      <c r="K112" s="26" t="s">
        <v>141</v>
      </c>
      <c r="L112" s="25" t="s">
        <v>118</v>
      </c>
    </row>
    <row r="113" spans="1:12" x14ac:dyDescent="0.2">
      <c r="A113" s="54"/>
      <c r="B113" s="39" t="s">
        <v>2090</v>
      </c>
      <c r="C113" s="39" t="s">
        <v>2091</v>
      </c>
      <c r="D113" t="str">
        <f t="shared" si="4"/>
        <v>PJ</v>
      </c>
      <c r="E113" t="str">
        <f t="shared" si="5"/>
        <v>Ja</v>
      </c>
      <c r="F113" s="39" t="s">
        <v>122</v>
      </c>
      <c r="G113" s="39" t="s">
        <v>2487</v>
      </c>
      <c r="H113" s="39" t="s">
        <v>2485</v>
      </c>
      <c r="K113" s="26" t="s">
        <v>141</v>
      </c>
      <c r="L113" s="25" t="s">
        <v>118</v>
      </c>
    </row>
    <row r="114" spans="1:12" x14ac:dyDescent="0.2">
      <c r="A114" s="42" t="s">
        <v>1806</v>
      </c>
      <c r="D114" t="str">
        <f t="shared" si="4"/>
        <v/>
      </c>
      <c r="E114" t="str">
        <f t="shared" si="5"/>
        <v/>
      </c>
      <c r="F114" s="39" t="e">
        <f t="shared" si="6"/>
        <v>#VALUE!</v>
      </c>
      <c r="G114" s="39" t="e">
        <f t="shared" si="7"/>
        <v>#VALUE!</v>
      </c>
      <c r="H114" s="39" t="s">
        <v>2485</v>
      </c>
      <c r="K114" s="26"/>
      <c r="L114" s="25"/>
    </row>
    <row r="115" spans="1:12" x14ac:dyDescent="0.2">
      <c r="A115" s="54"/>
      <c r="B115" s="39" t="s">
        <v>1807</v>
      </c>
      <c r="C115" s="39" t="s">
        <v>1808</v>
      </c>
      <c r="D115" t="str">
        <f t="shared" si="4"/>
        <v>PJ</v>
      </c>
      <c r="E115" t="str">
        <f t="shared" si="5"/>
        <v>Ja</v>
      </c>
      <c r="F115" s="39" t="s">
        <v>122</v>
      </c>
      <c r="G115" s="39" t="s">
        <v>2488</v>
      </c>
      <c r="H115" s="39" t="s">
        <v>2485</v>
      </c>
      <c r="K115" s="26" t="s">
        <v>1836</v>
      </c>
      <c r="L115" s="25" t="s">
        <v>118</v>
      </c>
    </row>
    <row r="116" spans="1:12" x14ac:dyDescent="0.2">
      <c r="A116" s="42" t="s">
        <v>182</v>
      </c>
      <c r="D116" t="str">
        <f t="shared" si="4"/>
        <v/>
      </c>
      <c r="E116" t="str">
        <f t="shared" si="5"/>
        <v/>
      </c>
      <c r="F116" s="39" t="e">
        <f t="shared" si="6"/>
        <v>#VALUE!</v>
      </c>
      <c r="G116" s="39" t="e">
        <f t="shared" si="7"/>
        <v>#VALUE!</v>
      </c>
      <c r="H116" s="39" t="s">
        <v>2485</v>
      </c>
      <c r="K116" s="26"/>
      <c r="L116" s="25"/>
    </row>
    <row r="117" spans="1:12" x14ac:dyDescent="0.2">
      <c r="A117" s="54"/>
      <c r="B117" s="39" t="s">
        <v>181</v>
      </c>
      <c r="C117" s="39" t="s">
        <v>180</v>
      </c>
      <c r="D117" t="str">
        <f t="shared" si="4"/>
        <v>PJ</v>
      </c>
      <c r="E117" t="str">
        <f t="shared" si="5"/>
        <v>Ja</v>
      </c>
      <c r="F117" s="39" t="s">
        <v>122</v>
      </c>
      <c r="G117" s="39" t="s">
        <v>2487</v>
      </c>
      <c r="H117" s="39" t="s">
        <v>2485</v>
      </c>
      <c r="K117" s="26" t="s">
        <v>140</v>
      </c>
      <c r="L117" s="25" t="s">
        <v>118</v>
      </c>
    </row>
    <row r="118" spans="1:12" x14ac:dyDescent="0.2">
      <c r="A118" s="54"/>
      <c r="B118" s="39" t="s">
        <v>179</v>
      </c>
      <c r="C118" s="39" t="s">
        <v>178</v>
      </c>
      <c r="D118" t="str">
        <f t="shared" si="4"/>
        <v>PJ</v>
      </c>
      <c r="E118" t="str">
        <f t="shared" si="5"/>
        <v>Ja</v>
      </c>
      <c r="F118" s="39" t="s">
        <v>122</v>
      </c>
      <c r="G118" s="39" t="s">
        <v>2487</v>
      </c>
      <c r="H118" s="39" t="s">
        <v>2485</v>
      </c>
      <c r="K118" s="26" t="s">
        <v>140</v>
      </c>
      <c r="L118" s="25" t="s">
        <v>118</v>
      </c>
    </row>
    <row r="119" spans="1:12" x14ac:dyDescent="0.2">
      <c r="A119" s="54"/>
      <c r="B119" s="39" t="s">
        <v>177</v>
      </c>
      <c r="C119" s="39" t="s">
        <v>176</v>
      </c>
      <c r="D119" t="str">
        <f t="shared" si="4"/>
        <v>PJ</v>
      </c>
      <c r="E119" t="str">
        <f t="shared" si="5"/>
        <v>Ja</v>
      </c>
      <c r="F119" s="39" t="s">
        <v>122</v>
      </c>
      <c r="G119" s="39" t="s">
        <v>2487</v>
      </c>
      <c r="H119" s="39" t="s">
        <v>2485</v>
      </c>
      <c r="K119" s="26" t="s">
        <v>140</v>
      </c>
      <c r="L119" s="25" t="s">
        <v>118</v>
      </c>
    </row>
    <row r="120" spans="1:12" x14ac:dyDescent="0.2">
      <c r="A120" s="54"/>
      <c r="B120" s="39" t="s">
        <v>175</v>
      </c>
      <c r="C120" s="39" t="s">
        <v>174</v>
      </c>
      <c r="D120" t="str">
        <f t="shared" si="4"/>
        <v>PJ</v>
      </c>
      <c r="E120" t="str">
        <f t="shared" si="5"/>
        <v>Ja</v>
      </c>
      <c r="F120" s="39" t="s">
        <v>122</v>
      </c>
      <c r="G120" s="39" t="s">
        <v>2487</v>
      </c>
      <c r="H120" s="39" t="s">
        <v>2485</v>
      </c>
      <c r="K120" s="26" t="s">
        <v>140</v>
      </c>
      <c r="L120" s="25" t="s">
        <v>118</v>
      </c>
    </row>
    <row r="121" spans="1:12" x14ac:dyDescent="0.2">
      <c r="A121" s="54"/>
      <c r="B121" s="39" t="s">
        <v>173</v>
      </c>
      <c r="C121" s="39" t="s">
        <v>172</v>
      </c>
      <c r="D121" t="str">
        <f t="shared" si="4"/>
        <v>PJ</v>
      </c>
      <c r="E121" t="str">
        <f t="shared" si="5"/>
        <v>Ja</v>
      </c>
      <c r="F121" s="39" t="s">
        <v>122</v>
      </c>
      <c r="G121" s="39" t="s">
        <v>2487</v>
      </c>
      <c r="H121" s="39" t="s">
        <v>2485</v>
      </c>
      <c r="K121" s="26" t="s">
        <v>165</v>
      </c>
      <c r="L121" s="25" t="s">
        <v>118</v>
      </c>
    </row>
    <row r="122" spans="1:12" x14ac:dyDescent="0.2">
      <c r="A122" s="54"/>
      <c r="B122" s="39" t="s">
        <v>171</v>
      </c>
      <c r="C122" s="39" t="s">
        <v>170</v>
      </c>
      <c r="D122" t="str">
        <f t="shared" si="4"/>
        <v>PJ</v>
      </c>
      <c r="E122" t="str">
        <f t="shared" si="5"/>
        <v>Ja</v>
      </c>
      <c r="F122" s="39" t="s">
        <v>122</v>
      </c>
      <c r="G122" s="39" t="s">
        <v>2487</v>
      </c>
      <c r="H122" s="39" t="s">
        <v>2485</v>
      </c>
      <c r="K122" s="26" t="s">
        <v>165</v>
      </c>
      <c r="L122" s="25" t="s">
        <v>118</v>
      </c>
    </row>
    <row r="123" spans="1:12" x14ac:dyDescent="0.2">
      <c r="A123" s="54"/>
      <c r="B123" s="39" t="s">
        <v>169</v>
      </c>
      <c r="C123" s="39" t="s">
        <v>168</v>
      </c>
      <c r="D123" t="str">
        <f t="shared" si="4"/>
        <v>PJ</v>
      </c>
      <c r="E123" t="str">
        <f t="shared" si="5"/>
        <v>Ja</v>
      </c>
      <c r="F123" s="39" t="s">
        <v>122</v>
      </c>
      <c r="G123" s="39" t="s">
        <v>2487</v>
      </c>
      <c r="H123" s="39" t="s">
        <v>2485</v>
      </c>
      <c r="K123" s="26" t="s">
        <v>165</v>
      </c>
      <c r="L123" s="25" t="s">
        <v>118</v>
      </c>
    </row>
    <row r="124" spans="1:12" x14ac:dyDescent="0.2">
      <c r="A124" s="54"/>
      <c r="B124" s="39" t="s">
        <v>167</v>
      </c>
      <c r="C124" s="39" t="s">
        <v>166</v>
      </c>
      <c r="D124" t="str">
        <f t="shared" si="4"/>
        <v>PJ</v>
      </c>
      <c r="E124" t="str">
        <f t="shared" si="5"/>
        <v>Ja</v>
      </c>
      <c r="F124" s="39" t="s">
        <v>122</v>
      </c>
      <c r="G124" s="39" t="s">
        <v>2487</v>
      </c>
      <c r="H124" s="39" t="s">
        <v>2485</v>
      </c>
      <c r="K124" s="26" t="s">
        <v>165</v>
      </c>
      <c r="L124" s="25" t="s">
        <v>118</v>
      </c>
    </row>
    <row r="125" spans="1:12" x14ac:dyDescent="0.2">
      <c r="A125" s="54"/>
    </row>
    <row r="126" spans="1:12" x14ac:dyDescent="0.2">
      <c r="A126" s="54"/>
    </row>
    <row r="127" spans="1:12" x14ac:dyDescent="0.2">
      <c r="A127" s="54"/>
    </row>
    <row r="128" spans="1:12" x14ac:dyDescent="0.2">
      <c r="A128" s="54"/>
    </row>
    <row r="129" spans="1:1" x14ac:dyDescent="0.2">
      <c r="A129" s="54"/>
    </row>
    <row r="130" spans="1:1" x14ac:dyDescent="0.2">
      <c r="A130" s="54"/>
    </row>
    <row r="131" spans="1:1" x14ac:dyDescent="0.2">
      <c r="A131"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73"/>
  <sheetViews>
    <sheetView topLeftCell="A9" workbookViewId="0">
      <selection activeCell="J3" sqref="J3:M8"/>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6" x14ac:dyDescent="0.2">
      <c r="A1" s="57" t="str">
        <f ca="1">IF(INDEX(Index!$C$19:$C$50,MATCH(A2,Index!B19:B50,0)),"Commodities","")</f>
        <v>Commodities</v>
      </c>
      <c r="B1" s="18" t="s">
        <v>138</v>
      </c>
    </row>
    <row r="2" spans="1:6" ht="12.75" x14ac:dyDescent="0.2">
      <c r="A2" s="54" t="str">
        <f ca="1">MID(CELL("filename",A1),FIND("]",CELL("filename",A1))+1,255)</f>
        <v>Commodities</v>
      </c>
    </row>
    <row r="4" spans="1:6" ht="17.25" customHeight="1" x14ac:dyDescent="0.2"/>
    <row r="5" spans="1:6" ht="17.25" customHeight="1" x14ac:dyDescent="0.2">
      <c r="C5" s="19"/>
    </row>
    <row r="6" spans="1:6" ht="15.75" customHeight="1" x14ac:dyDescent="0.2">
      <c r="B6" s="18" t="s">
        <v>2494</v>
      </c>
    </row>
    <row r="7" spans="1:6" x14ac:dyDescent="0.2">
      <c r="B7" s="24" t="s">
        <v>40</v>
      </c>
      <c r="C7" s="20" t="s">
        <v>41</v>
      </c>
      <c r="D7" s="20" t="s">
        <v>42</v>
      </c>
      <c r="E7" s="20" t="s">
        <v>2495</v>
      </c>
      <c r="F7" s="20"/>
    </row>
    <row r="8" spans="1:6" x14ac:dyDescent="0.2">
      <c r="B8" s="19" t="s">
        <v>422</v>
      </c>
      <c r="C8" s="18" t="s">
        <v>1800</v>
      </c>
      <c r="D8" s="18" t="s">
        <v>115</v>
      </c>
      <c r="E8" s="26" t="s">
        <v>117</v>
      </c>
    </row>
    <row r="9" spans="1:6" s="17" customFormat="1" ht="12.75" x14ac:dyDescent="0.2">
      <c r="A9" s="37" t="s">
        <v>343</v>
      </c>
      <c r="B9" s="39"/>
      <c r="C9" s="39"/>
      <c r="D9" s="39"/>
    </row>
    <row r="10" spans="1:6" s="17" customFormat="1" ht="12.75" x14ac:dyDescent="0.2">
      <c r="A10" s="41"/>
      <c r="B10" s="41" t="s">
        <v>356</v>
      </c>
      <c r="C10" s="41" t="str">
        <f>"Coal for "&amp;INDEX(ProcDataGenPre2012!$C$9:$C$29,MATCH(B10,ProcDataGenPre2012!$D$9:$D$29,0))&amp;" Power Plant"</f>
        <v>Coal for ARNOT Power Plant</v>
      </c>
      <c r="D10" s="58" t="s">
        <v>115</v>
      </c>
      <c r="E10" s="26" t="s">
        <v>117</v>
      </c>
    </row>
    <row r="11" spans="1:6" s="17" customFormat="1" ht="12.75" x14ac:dyDescent="0.2">
      <c r="A11" s="41"/>
      <c r="B11" s="41" t="s">
        <v>355</v>
      </c>
      <c r="C11" s="41" t="str">
        <f>"Coal for "&amp;INDEX(ProcDataGenPre2012!$C$9:$C$29,MATCH(B11,ProcDataGenPre2012!$D$9:$D$29,0))&amp;" Power Plant"</f>
        <v>Coal for CAMDEN Power Plant</v>
      </c>
      <c r="D11" s="58" t="s">
        <v>115</v>
      </c>
      <c r="E11" s="26" t="s">
        <v>117</v>
      </c>
    </row>
    <row r="12" spans="1:6" s="17" customFormat="1" ht="12.75" x14ac:dyDescent="0.2">
      <c r="A12" s="41"/>
      <c r="B12" s="41" t="s">
        <v>354</v>
      </c>
      <c r="C12" s="41" t="str">
        <f>"Coal for "&amp;INDEX(ProcDataGenPre2012!$C$9:$C$29,MATCH(B12,ProcDataGenPre2012!$D$9:$D$29,0))&amp;" Power Plant"</f>
        <v>Coal for DUVHA Power Plant</v>
      </c>
      <c r="D12" s="58" t="s">
        <v>115</v>
      </c>
      <c r="E12" s="26" t="s">
        <v>117</v>
      </c>
    </row>
    <row r="13" spans="1:6" s="17" customFormat="1" ht="12.75" x14ac:dyDescent="0.2">
      <c r="A13" s="41"/>
      <c r="B13" s="41" t="s">
        <v>353</v>
      </c>
      <c r="C13" s="41" t="str">
        <f>"Coal for "&amp;INDEX(ProcDataGenPre2012!$C$9:$C$29,MATCH(B13,ProcDataGenPre2012!$D$9:$D$29,0))&amp;" Power Plant"</f>
        <v>Coal for GROOTVLEI Power Plant</v>
      </c>
      <c r="D13" s="58" t="s">
        <v>115</v>
      </c>
      <c r="E13" s="26" t="s">
        <v>117</v>
      </c>
    </row>
    <row r="14" spans="1:6" s="17" customFormat="1" ht="12.75" x14ac:dyDescent="0.2">
      <c r="A14" s="41"/>
      <c r="B14" s="41" t="s">
        <v>352</v>
      </c>
      <c r="C14" s="41" t="str">
        <f>"Coal for "&amp;INDEX(ProcDataGenPre2012!$C$9:$C$29,MATCH(B14,ProcDataGenPre2012!$D$9:$D$29,0))&amp;" Power Plant"</f>
        <v>Coal for HENDRINA Power Plant</v>
      </c>
      <c r="D14" s="58" t="s">
        <v>115</v>
      </c>
      <c r="E14" s="26" t="s">
        <v>117</v>
      </c>
    </row>
    <row r="15" spans="1:6" s="17" customFormat="1" ht="12.75" x14ac:dyDescent="0.2">
      <c r="A15" s="41"/>
      <c r="B15" s="41" t="s">
        <v>351</v>
      </c>
      <c r="C15" s="41" t="str">
        <f>"Coal for "&amp;INDEX(ProcDataGenPre2012!$C$9:$C$29,MATCH(B15,ProcDataGenPre2012!$D$9:$D$29,0))&amp;" Power Plant"</f>
        <v>Coal for KENDAL Power Plant</v>
      </c>
      <c r="D15" s="58" t="s">
        <v>115</v>
      </c>
      <c r="E15" s="26" t="s">
        <v>117</v>
      </c>
    </row>
    <row r="16" spans="1:6" s="17" customFormat="1" ht="12.75" x14ac:dyDescent="0.2">
      <c r="A16" s="41"/>
      <c r="B16" s="41" t="s">
        <v>350</v>
      </c>
      <c r="C16" s="41" t="str">
        <f>"Coal for "&amp;INDEX(ProcDataGenPre2012!$C$9:$C$29,MATCH(B16,ProcDataGenPre2012!$D$9:$D$29,0))&amp;" Power Plant"</f>
        <v>Coal for KOMATI Power Plant</v>
      </c>
      <c r="D16" s="58" t="s">
        <v>115</v>
      </c>
      <c r="E16" s="26" t="s">
        <v>117</v>
      </c>
    </row>
    <row r="17" spans="1:11" s="17" customFormat="1" ht="12.75" x14ac:dyDescent="0.2">
      <c r="A17" s="41"/>
      <c r="B17" s="41" t="s">
        <v>349</v>
      </c>
      <c r="C17" s="41" t="str">
        <f>"Coal for "&amp;INDEX(ProcDataGenPre2012!$C$9:$C$29,MATCH(B17,ProcDataGenPre2012!$D$9:$D$29,0))&amp;" Power Plant"</f>
        <v>Coal for KRIEL Power Plant</v>
      </c>
      <c r="D17" s="58" t="s">
        <v>115</v>
      </c>
      <c r="E17" s="26" t="s">
        <v>117</v>
      </c>
    </row>
    <row r="18" spans="1:11" s="17" customFormat="1" ht="12.75" x14ac:dyDescent="0.2">
      <c r="A18" s="41"/>
      <c r="B18" s="41" t="s">
        <v>348</v>
      </c>
      <c r="C18" s="41" t="str">
        <f>"Coal for "&amp;INDEX(ProcDataGenPre2012!$C$9:$C$29,MATCH(B18,ProcDataGenPre2012!$D$9:$D$29,0))&amp;" Power Plant"</f>
        <v>Coal for LETHABO Power Plant</v>
      </c>
      <c r="D18" s="58" t="s">
        <v>115</v>
      </c>
      <c r="E18" s="26" t="s">
        <v>117</v>
      </c>
    </row>
    <row r="19" spans="1:11" s="17" customFormat="1" ht="12.75" x14ac:dyDescent="0.2">
      <c r="A19" s="41"/>
      <c r="B19" s="41" t="s">
        <v>347</v>
      </c>
      <c r="C19" s="41" t="str">
        <f>"Coal for "&amp;INDEX(ProcDataGenPre2012!$C$9:$C$29,MATCH(B19,ProcDataGenPre2012!$D$9:$D$29,0))&amp;" Power Plant"</f>
        <v>Coal for MAJUBA DRY Power Plant</v>
      </c>
      <c r="D19" s="58" t="s">
        <v>115</v>
      </c>
      <c r="E19" s="26" t="s">
        <v>117</v>
      </c>
    </row>
    <row r="20" spans="1:11" s="17" customFormat="1" ht="12.75" x14ac:dyDescent="0.2">
      <c r="A20" s="41"/>
      <c r="B20" s="41" t="s">
        <v>346</v>
      </c>
      <c r="C20" s="41" t="str">
        <f>"Coal for "&amp;INDEX(ProcDataGenPre2012!$C$9:$C$29,MATCH(B20,ProcDataGenPre2012!$D$9:$D$29,0))&amp;" Power Plant"</f>
        <v>Coal for MATIMBA Power Plant</v>
      </c>
      <c r="D20" s="58" t="s">
        <v>115</v>
      </c>
      <c r="E20" s="26" t="s">
        <v>117</v>
      </c>
    </row>
    <row r="21" spans="1:11" s="17" customFormat="1" ht="12.75" x14ac:dyDescent="0.2">
      <c r="A21" s="41"/>
      <c r="B21" s="41" t="s">
        <v>345</v>
      </c>
      <c r="C21" s="41" t="str">
        <f>"Coal for "&amp;INDEX(ProcDataGenPre2012!$C$9:$C$29,MATCH(B21,ProcDataGenPre2012!$D$9:$D$29,0))&amp;" Power Plant"</f>
        <v>Coal for MATLA Power Plant</v>
      </c>
      <c r="D21" s="58" t="s">
        <v>115</v>
      </c>
      <c r="E21" s="26" t="s">
        <v>117</v>
      </c>
    </row>
    <row r="22" spans="1:11" s="17" customFormat="1" ht="12.75" x14ac:dyDescent="0.2">
      <c r="A22" s="41"/>
      <c r="B22" s="41" t="s">
        <v>344</v>
      </c>
      <c r="C22" s="41" t="str">
        <f>"Coal for "&amp;INDEX(ProcDataGenPre2012!$C$9:$C$29,MATCH(B22,ProcDataGenPre2012!$D$9:$D$29,0))&amp;" Power Plant"</f>
        <v>Coal for TUTUKA Power Plant</v>
      </c>
      <c r="D22" s="58" t="s">
        <v>115</v>
      </c>
      <c r="E22" s="26" t="s">
        <v>117</v>
      </c>
    </row>
    <row r="23" spans="1:11" s="17" customFormat="1" ht="12.75" x14ac:dyDescent="0.2">
      <c r="A23" s="37" t="s">
        <v>342</v>
      </c>
      <c r="B23" s="41"/>
      <c r="C23" s="41"/>
      <c r="D23" s="58"/>
      <c r="E23" s="26"/>
    </row>
    <row r="24" spans="1:11" s="17" customFormat="1" ht="12.75" x14ac:dyDescent="0.2">
      <c r="A24" s="41"/>
      <c r="B24" s="41" t="s">
        <v>341</v>
      </c>
      <c r="C24" s="41" t="str">
        <f>"Coal for "&amp;INDEX(ProcDataGen2012On!$C$9:$C$21,MATCH(B24,ProcDataGen2012On!$E$9:$E$21,0))&amp;" Power Plant"</f>
        <v>Coal for KUSILE Power Plant</v>
      </c>
      <c r="D24" s="58" t="s">
        <v>115</v>
      </c>
      <c r="E24" s="26" t="s">
        <v>117</v>
      </c>
    </row>
    <row r="25" spans="1:11" s="17" customFormat="1" ht="12.75" x14ac:dyDescent="0.2">
      <c r="A25" s="41"/>
      <c r="B25" s="41" t="s">
        <v>340</v>
      </c>
      <c r="C25" s="41" t="str">
        <f>"Coal for "&amp;INDEX(ProcDataGen2012On!$C$9:$C$21,MATCH(B25,ProcDataGen2012On!$E$9:$E$21,0))&amp;" Power Plant"</f>
        <v>Coal for MEDUPI Power Plant</v>
      </c>
      <c r="D25" s="58" t="s">
        <v>115</v>
      </c>
      <c r="E25" s="26" t="s">
        <v>117</v>
      </c>
      <c r="K25" s="54"/>
    </row>
    <row r="26" spans="1:11" ht="12.75" x14ac:dyDescent="0.2">
      <c r="A26" s="40" t="s">
        <v>339</v>
      </c>
      <c r="B26" s="41"/>
      <c r="C26" s="41"/>
      <c r="D26" s="58"/>
    </row>
    <row r="27" spans="1:11" ht="12.75" x14ac:dyDescent="0.2">
      <c r="A27" s="41"/>
      <c r="B27" s="41" t="s">
        <v>338</v>
      </c>
      <c r="C27" s="41" t="s">
        <v>337</v>
      </c>
      <c r="D27" s="58" t="s">
        <v>115</v>
      </c>
      <c r="E27" s="26" t="s">
        <v>117</v>
      </c>
    </row>
    <row r="28" spans="1:11" ht="12.75" x14ac:dyDescent="0.2">
      <c r="A28" s="41"/>
      <c r="B28" s="41" t="s">
        <v>336</v>
      </c>
      <c r="C28" s="41" t="s">
        <v>335</v>
      </c>
      <c r="D28" s="58" t="s">
        <v>115</v>
      </c>
      <c r="E28" s="26" t="s">
        <v>117</v>
      </c>
    </row>
    <row r="29" spans="1:11" ht="12.75" x14ac:dyDescent="0.2">
      <c r="A29" s="41"/>
      <c r="B29" s="41" t="s">
        <v>334</v>
      </c>
      <c r="C29" s="41" t="s">
        <v>333</v>
      </c>
      <c r="D29" s="58" t="s">
        <v>115</v>
      </c>
      <c r="E29" s="26" t="s">
        <v>117</v>
      </c>
    </row>
    <row r="30" spans="1:11" ht="12.75" x14ac:dyDescent="0.2">
      <c r="B30" s="41" t="s">
        <v>332</v>
      </c>
      <c r="C30" s="41" t="s">
        <v>331</v>
      </c>
      <c r="D30" s="58" t="s">
        <v>115</v>
      </c>
      <c r="E30" s="26" t="s">
        <v>117</v>
      </c>
    </row>
    <row r="31" spans="1:11" ht="12.75" x14ac:dyDescent="0.2">
      <c r="B31" s="41" t="s">
        <v>330</v>
      </c>
      <c r="C31" s="41" t="s">
        <v>329</v>
      </c>
      <c r="D31" s="58" t="s">
        <v>115</v>
      </c>
      <c r="E31" s="26" t="s">
        <v>117</v>
      </c>
    </row>
    <row r="32" spans="1:11" ht="12.75" x14ac:dyDescent="0.2">
      <c r="B32" s="41" t="s">
        <v>328</v>
      </c>
      <c r="C32" s="41" t="s">
        <v>327</v>
      </c>
      <c r="D32" s="58" t="s">
        <v>115</v>
      </c>
      <c r="E32" s="26" t="s">
        <v>117</v>
      </c>
    </row>
    <row r="33" spans="1:5" ht="12.75" x14ac:dyDescent="0.2">
      <c r="B33" s="41" t="s">
        <v>326</v>
      </c>
      <c r="C33" s="41" t="s">
        <v>325</v>
      </c>
      <c r="D33" s="58" t="s">
        <v>115</v>
      </c>
      <c r="E33" s="26" t="s">
        <v>117</v>
      </c>
    </row>
    <row r="34" spans="1:5" ht="12.75" x14ac:dyDescent="0.2">
      <c r="B34" s="41" t="s">
        <v>324</v>
      </c>
      <c r="C34" s="41" t="s">
        <v>323</v>
      </c>
      <c r="D34" s="58" t="s">
        <v>115</v>
      </c>
      <c r="E34" s="26" t="s">
        <v>117</v>
      </c>
    </row>
    <row r="35" spans="1:5" ht="12" x14ac:dyDescent="0.2">
      <c r="A35" s="40" t="s">
        <v>1906</v>
      </c>
    </row>
    <row r="36" spans="1:5" x14ac:dyDescent="0.2">
      <c r="B36" s="18" t="s">
        <v>1922</v>
      </c>
      <c r="C36" s="18" t="s">
        <v>1924</v>
      </c>
      <c r="D36" s="18" t="s">
        <v>115</v>
      </c>
      <c r="E36" s="26" t="s">
        <v>117</v>
      </c>
    </row>
    <row r="37" spans="1:5" x14ac:dyDescent="0.2">
      <c r="B37" s="18" t="s">
        <v>1923</v>
      </c>
      <c r="C37" s="18" t="s">
        <v>1925</v>
      </c>
      <c r="D37" s="18" t="s">
        <v>115</v>
      </c>
      <c r="E37" s="26" t="s">
        <v>117</v>
      </c>
    </row>
    <row r="38" spans="1:5" x14ac:dyDescent="0.2">
      <c r="B38" s="18" t="s">
        <v>132</v>
      </c>
      <c r="C38" s="18" t="s">
        <v>2431</v>
      </c>
      <c r="D38" s="18" t="s">
        <v>115</v>
      </c>
      <c r="E38" s="26" t="s">
        <v>2432</v>
      </c>
    </row>
    <row r="39" spans="1:5" x14ac:dyDescent="0.2">
      <c r="B39" s="18" t="s">
        <v>123</v>
      </c>
      <c r="C39" s="18" t="s">
        <v>2461</v>
      </c>
      <c r="D39" s="18" t="s">
        <v>115</v>
      </c>
      <c r="E39" s="26" t="s">
        <v>2432</v>
      </c>
    </row>
    <row r="40" spans="1:5" x14ac:dyDescent="0.2">
      <c r="B40" s="18" t="s">
        <v>2460</v>
      </c>
      <c r="C40" s="18" t="s">
        <v>2458</v>
      </c>
      <c r="D40" s="18" t="s">
        <v>115</v>
      </c>
      <c r="E40" s="26" t="s">
        <v>2459</v>
      </c>
    </row>
    <row r="41" spans="1:5" x14ac:dyDescent="0.2">
      <c r="B41" s="18" t="s">
        <v>2435</v>
      </c>
      <c r="C41" s="18" t="s">
        <v>2436</v>
      </c>
      <c r="D41" s="18" t="s">
        <v>115</v>
      </c>
      <c r="E41" s="26" t="s">
        <v>2432</v>
      </c>
    </row>
    <row r="42" spans="1:5" x14ac:dyDescent="0.2">
      <c r="B42" s="18" t="s">
        <v>393</v>
      </c>
      <c r="C42" s="18" t="s">
        <v>2453</v>
      </c>
      <c r="D42" s="18" t="s">
        <v>115</v>
      </c>
      <c r="E42" s="26" t="s">
        <v>2432</v>
      </c>
    </row>
    <row r="43" spans="1:5" x14ac:dyDescent="0.2">
      <c r="B43" s="18" t="s">
        <v>391</v>
      </c>
      <c r="C43" s="18" t="s">
        <v>184</v>
      </c>
      <c r="D43" s="18" t="s">
        <v>115</v>
      </c>
      <c r="E43" s="26" t="s">
        <v>2432</v>
      </c>
    </row>
    <row r="44" spans="1:5" x14ac:dyDescent="0.2">
      <c r="B44" s="18" t="s">
        <v>394</v>
      </c>
      <c r="C44" s="18" t="s">
        <v>2454</v>
      </c>
      <c r="D44" s="18" t="s">
        <v>115</v>
      </c>
      <c r="E44" s="26" t="s">
        <v>2432</v>
      </c>
    </row>
    <row r="45" spans="1:5" x14ac:dyDescent="0.2">
      <c r="B45" s="18" t="s">
        <v>2437</v>
      </c>
      <c r="C45" s="18" t="s">
        <v>2438</v>
      </c>
      <c r="D45" s="18" t="s">
        <v>115</v>
      </c>
      <c r="E45" s="26" t="s">
        <v>2432</v>
      </c>
    </row>
    <row r="46" spans="1:5" x14ac:dyDescent="0.2">
      <c r="B46" s="18" t="s">
        <v>1907</v>
      </c>
      <c r="C46" s="18" t="s">
        <v>1908</v>
      </c>
      <c r="D46" s="18" t="s">
        <v>115</v>
      </c>
      <c r="E46" s="26" t="s">
        <v>117</v>
      </c>
    </row>
    <row r="47" spans="1:5" x14ac:dyDescent="0.2">
      <c r="B47" s="18" t="s">
        <v>1916</v>
      </c>
      <c r="C47" s="18" t="s">
        <v>1917</v>
      </c>
      <c r="D47" s="18" t="s">
        <v>115</v>
      </c>
      <c r="E47" s="26" t="s">
        <v>117</v>
      </c>
    </row>
    <row r="48" spans="1:5" x14ac:dyDescent="0.2">
      <c r="B48" s="18" t="s">
        <v>359</v>
      </c>
      <c r="C48" s="18" t="s">
        <v>2439</v>
      </c>
      <c r="D48" s="18" t="s">
        <v>115</v>
      </c>
      <c r="E48" s="26" t="s">
        <v>2440</v>
      </c>
    </row>
    <row r="49" spans="2:5" x14ac:dyDescent="0.2">
      <c r="B49" s="18" t="s">
        <v>397</v>
      </c>
      <c r="C49" s="18" t="s">
        <v>2449</v>
      </c>
      <c r="D49" s="18" t="s">
        <v>115</v>
      </c>
      <c r="E49" s="26" t="s">
        <v>2440</v>
      </c>
    </row>
    <row r="50" spans="2:5" x14ac:dyDescent="0.2">
      <c r="B50" s="18" t="s">
        <v>134</v>
      </c>
      <c r="C50" s="18" t="s">
        <v>2455</v>
      </c>
      <c r="D50" s="18" t="s">
        <v>115</v>
      </c>
      <c r="E50" s="26" t="s">
        <v>2440</v>
      </c>
    </row>
    <row r="51" spans="2:5" x14ac:dyDescent="0.2">
      <c r="B51" s="18" t="s">
        <v>1931</v>
      </c>
      <c r="C51" s="18" t="s">
        <v>2450</v>
      </c>
      <c r="D51" s="18" t="s">
        <v>115</v>
      </c>
      <c r="E51" s="26" t="s">
        <v>2440</v>
      </c>
    </row>
    <row r="52" spans="2:5" x14ac:dyDescent="0.2">
      <c r="B52" s="18" t="s">
        <v>358</v>
      </c>
      <c r="C52" s="18" t="s">
        <v>2441</v>
      </c>
      <c r="D52" s="18" t="s">
        <v>115</v>
      </c>
      <c r="E52" s="26" t="s">
        <v>117</v>
      </c>
    </row>
    <row r="53" spans="2:5" x14ac:dyDescent="0.2">
      <c r="B53" s="18" t="s">
        <v>392</v>
      </c>
      <c r="C53" s="18" t="s">
        <v>2445</v>
      </c>
      <c r="D53" s="18" t="s">
        <v>115</v>
      </c>
      <c r="E53" s="26" t="s">
        <v>117</v>
      </c>
    </row>
    <row r="54" spans="2:5" x14ac:dyDescent="0.2">
      <c r="B54" s="18" t="s">
        <v>398</v>
      </c>
      <c r="C54" s="18" t="s">
        <v>2446</v>
      </c>
      <c r="D54" s="18" t="s">
        <v>115</v>
      </c>
      <c r="E54" s="26" t="s">
        <v>117</v>
      </c>
    </row>
    <row r="55" spans="2:5" x14ac:dyDescent="0.2">
      <c r="B55" s="18" t="s">
        <v>357</v>
      </c>
      <c r="C55" s="18" t="s">
        <v>2442</v>
      </c>
      <c r="D55" s="18" t="s">
        <v>115</v>
      </c>
      <c r="E55" s="26" t="s">
        <v>117</v>
      </c>
    </row>
    <row r="56" spans="2:5" x14ac:dyDescent="0.2">
      <c r="B56" s="18" t="s">
        <v>396</v>
      </c>
      <c r="C56" s="18" t="s">
        <v>2451</v>
      </c>
      <c r="D56" s="18" t="s">
        <v>115</v>
      </c>
      <c r="E56" s="26" t="s">
        <v>117</v>
      </c>
    </row>
    <row r="57" spans="2:5" x14ac:dyDescent="0.2">
      <c r="B57" s="18" t="s">
        <v>395</v>
      </c>
      <c r="C57" s="18" t="s">
        <v>2452</v>
      </c>
      <c r="D57" s="18" t="s">
        <v>115</v>
      </c>
      <c r="E57" s="26" t="s">
        <v>117</v>
      </c>
    </row>
    <row r="58" spans="2:5" x14ac:dyDescent="0.2">
      <c r="B58" s="18" t="s">
        <v>133</v>
      </c>
      <c r="C58" s="18" t="s">
        <v>2443</v>
      </c>
      <c r="D58" s="18" t="s">
        <v>115</v>
      </c>
      <c r="E58" s="26" t="s">
        <v>117</v>
      </c>
    </row>
    <row r="59" spans="2:5" x14ac:dyDescent="0.2">
      <c r="B59" s="18" t="s">
        <v>361</v>
      </c>
      <c r="C59" s="18" t="s">
        <v>2447</v>
      </c>
      <c r="D59" s="18" t="s">
        <v>115</v>
      </c>
      <c r="E59" s="26" t="s">
        <v>117</v>
      </c>
    </row>
    <row r="60" spans="2:5" x14ac:dyDescent="0.2">
      <c r="B60" s="18" t="s">
        <v>360</v>
      </c>
      <c r="C60" s="18" t="s">
        <v>2448</v>
      </c>
      <c r="D60" s="18" t="s">
        <v>115</v>
      </c>
      <c r="E60" s="26" t="s">
        <v>117</v>
      </c>
    </row>
    <row r="61" spans="2:5" x14ac:dyDescent="0.2">
      <c r="B61" s="18" t="s">
        <v>399</v>
      </c>
      <c r="C61" s="18" t="s">
        <v>2444</v>
      </c>
      <c r="D61" s="18" t="s">
        <v>115</v>
      </c>
      <c r="E61" s="26" t="s">
        <v>117</v>
      </c>
    </row>
    <row r="62" spans="2:5" ht="12.75" x14ac:dyDescent="0.2">
      <c r="B62" s="41" t="s">
        <v>370</v>
      </c>
      <c r="C62" s="41" t="s">
        <v>2046</v>
      </c>
      <c r="D62" s="58" t="s">
        <v>2044</v>
      </c>
      <c r="E62" s="26" t="s">
        <v>2045</v>
      </c>
    </row>
    <row r="63" spans="2:5" x14ac:dyDescent="0.2">
      <c r="B63" s="18" t="s">
        <v>2052</v>
      </c>
      <c r="C63" s="18" t="s">
        <v>2053</v>
      </c>
      <c r="D63" s="18" t="s">
        <v>115</v>
      </c>
      <c r="E63" s="26" t="s">
        <v>117</v>
      </c>
    </row>
    <row r="64" spans="2:5" x14ac:dyDescent="0.2">
      <c r="B64" s="18" t="s">
        <v>366</v>
      </c>
      <c r="C64" s="18" t="s">
        <v>2129</v>
      </c>
      <c r="D64" s="18" t="s">
        <v>2044</v>
      </c>
      <c r="E64" s="26" t="s">
        <v>2045</v>
      </c>
    </row>
    <row r="65" spans="2:5" x14ac:dyDescent="0.2">
      <c r="B65" s="18" t="s">
        <v>365</v>
      </c>
      <c r="C65" s="18" t="s">
        <v>2130</v>
      </c>
      <c r="D65" s="18" t="s">
        <v>2044</v>
      </c>
      <c r="E65" s="26" t="s">
        <v>2045</v>
      </c>
    </row>
    <row r="66" spans="2:5" x14ac:dyDescent="0.2">
      <c r="B66" s="18" t="s">
        <v>2175</v>
      </c>
      <c r="C66" s="18" t="s">
        <v>2176</v>
      </c>
      <c r="D66" s="18" t="s">
        <v>2044</v>
      </c>
      <c r="E66" s="26" t="s">
        <v>2045</v>
      </c>
    </row>
    <row r="67" spans="2:5" x14ac:dyDescent="0.2">
      <c r="B67" s="18" t="s">
        <v>369</v>
      </c>
      <c r="C67" s="18" t="s">
        <v>2428</v>
      </c>
      <c r="D67" s="18" t="s">
        <v>2044</v>
      </c>
      <c r="E67" s="26" t="s">
        <v>2045</v>
      </c>
    </row>
    <row r="68" spans="2:5" x14ac:dyDescent="0.2">
      <c r="B68" s="18" t="s">
        <v>368</v>
      </c>
      <c r="C68" s="18" t="s">
        <v>2429</v>
      </c>
      <c r="D68" s="18" t="s">
        <v>2044</v>
      </c>
      <c r="E68" s="26" t="s">
        <v>2045</v>
      </c>
    </row>
    <row r="69" spans="2:5" x14ac:dyDescent="0.2">
      <c r="B69" s="18" t="s">
        <v>367</v>
      </c>
      <c r="C69" s="18" t="s">
        <v>2430</v>
      </c>
      <c r="D69" s="18" t="s">
        <v>2044</v>
      </c>
      <c r="E69" s="26" t="s">
        <v>2045</v>
      </c>
    </row>
    <row r="70" spans="2:5" x14ac:dyDescent="0.2">
      <c r="B70" s="18" t="s">
        <v>364</v>
      </c>
      <c r="C70" s="18" t="s">
        <v>2433</v>
      </c>
      <c r="D70" s="18" t="s">
        <v>2044</v>
      </c>
      <c r="E70" s="26" t="s">
        <v>2045</v>
      </c>
    </row>
    <row r="71" spans="2:5" x14ac:dyDescent="0.2">
      <c r="B71" s="18" t="s">
        <v>363</v>
      </c>
      <c r="C71" s="18" t="s">
        <v>2434</v>
      </c>
      <c r="D71" s="18" t="s">
        <v>2044</v>
      </c>
      <c r="E71" s="26" t="s">
        <v>2045</v>
      </c>
    </row>
    <row r="72" spans="2:5" x14ac:dyDescent="0.2">
      <c r="B72" s="18" t="s">
        <v>427</v>
      </c>
      <c r="C72" s="18" t="s">
        <v>2456</v>
      </c>
      <c r="D72" s="18" t="s">
        <v>2044</v>
      </c>
      <c r="E72" s="26" t="s">
        <v>2045</v>
      </c>
    </row>
    <row r="73" spans="2:5" x14ac:dyDescent="0.2">
      <c r="B73" s="18" t="s">
        <v>426</v>
      </c>
      <c r="C73" s="18" t="s">
        <v>2457</v>
      </c>
      <c r="D73" s="18" t="s">
        <v>2044</v>
      </c>
      <c r="E73" s="26" t="s">
        <v>2045</v>
      </c>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sheetPr codeName="Sheet61"/>
  <dimension ref="B3:F26"/>
  <sheetViews>
    <sheetView workbookViewId="0"/>
  </sheetViews>
  <sheetFormatPr defaultColWidth="11.42578125" defaultRowHeight="12.75" x14ac:dyDescent="0.2"/>
  <cols>
    <col min="2" max="2" width="21" customWidth="1"/>
  </cols>
  <sheetData>
    <row r="3" spans="2:6" x14ac:dyDescent="0.2">
      <c r="B3" s="341" t="s">
        <v>2393</v>
      </c>
    </row>
    <row r="4" spans="2:6" x14ac:dyDescent="0.2">
      <c r="B4" s="341"/>
    </row>
    <row r="5" spans="2:6" x14ac:dyDescent="0.2">
      <c r="B5" s="341" t="s">
        <v>2395</v>
      </c>
    </row>
    <row r="6" spans="2:6" x14ac:dyDescent="0.2">
      <c r="B6" s="341"/>
      <c r="C6" s="341" t="s">
        <v>2397</v>
      </c>
      <c r="D6" s="341" t="s">
        <v>2398</v>
      </c>
      <c r="E6" s="341" t="s">
        <v>2399</v>
      </c>
      <c r="F6" s="341" t="s">
        <v>162</v>
      </c>
    </row>
    <row r="7" spans="2:6" x14ac:dyDescent="0.2">
      <c r="B7" s="1" t="s">
        <v>2394</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2396</v>
      </c>
    </row>
    <row r="25" spans="2:2" x14ac:dyDescent="0.2">
      <c r="B25" s="1" t="s">
        <v>2400</v>
      </c>
    </row>
    <row r="26" spans="2:2" x14ac:dyDescent="0.2">
      <c r="B26" s="341" t="s">
        <v>162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W30"/>
  <sheetViews>
    <sheetView topLeftCell="W1" workbookViewId="0">
      <selection activeCell="AN26" sqref="AN26:AT2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6" width="10.140625" style="39" customWidth="1"/>
    <col min="7" max="14" width="9.140625" style="39"/>
    <col min="15" max="15" width="0" style="39" hidden="1" customWidth="1"/>
    <col min="16" max="16384" width="9.140625" style="39"/>
  </cols>
  <sheetData>
    <row r="1" spans="1:75" ht="11.25" customHeight="1" x14ac:dyDescent="0.2">
      <c r="A1" s="57" t="str">
        <f ca="1">IF(INDEX(Index!$C$19:$C$50,MATCH(A2,Index!B19:B50,0)),"ProcData","")</f>
        <v>ProcData</v>
      </c>
      <c r="B1" s="18" t="s">
        <v>138</v>
      </c>
      <c r="R1" s="39" t="s">
        <v>92</v>
      </c>
      <c r="S1" s="39" t="s">
        <v>92</v>
      </c>
      <c r="T1" s="39" t="s">
        <v>92</v>
      </c>
      <c r="U1" s="39" t="s">
        <v>92</v>
      </c>
      <c r="V1" s="39" t="s">
        <v>92</v>
      </c>
      <c r="AG1" s="39" t="s">
        <v>92</v>
      </c>
      <c r="AH1" s="39" t="s">
        <v>92</v>
      </c>
      <c r="AI1" s="39" t="s">
        <v>92</v>
      </c>
      <c r="AJ1" s="39" t="s">
        <v>92</v>
      </c>
      <c r="AK1" s="39" t="s">
        <v>92</v>
      </c>
      <c r="AV1" s="39" t="s">
        <v>92</v>
      </c>
      <c r="AW1" s="39" t="s">
        <v>92</v>
      </c>
      <c r="AX1" s="39" t="s">
        <v>92</v>
      </c>
      <c r="AY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c r="BW1" s="39" t="s">
        <v>92</v>
      </c>
    </row>
    <row r="2" spans="1:75" ht="11.25" customHeight="1" x14ac:dyDescent="0.2">
      <c r="A2" s="54" t="str">
        <f ca="1">MID(CELL("filename",A1),FIND("]",CELL("filename",A1))+1,255)</f>
        <v>ProcDataGenPre2012</v>
      </c>
    </row>
    <row r="3" spans="1:75" ht="34.5" customHeight="1" x14ac:dyDescent="0.2">
      <c r="G3" s="69" t="s">
        <v>151</v>
      </c>
      <c r="H3" s="69" t="s">
        <v>1926</v>
      </c>
      <c r="I3" s="69" t="s">
        <v>390</v>
      </c>
      <c r="J3" s="69" t="s">
        <v>389</v>
      </c>
      <c r="K3" s="69" t="s">
        <v>388</v>
      </c>
      <c r="L3" s="69" t="s">
        <v>387</v>
      </c>
      <c r="M3" s="69" t="s">
        <v>161</v>
      </c>
      <c r="N3" s="69" t="s">
        <v>150</v>
      </c>
      <c r="O3" s="69" t="s">
        <v>386</v>
      </c>
      <c r="R3" s="39" t="s">
        <v>385</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385</v>
      </c>
      <c r="AG3" s="39" t="s">
        <v>384</v>
      </c>
      <c r="AH3" s="39" t="s">
        <v>384</v>
      </c>
      <c r="AI3" s="39" t="s">
        <v>384</v>
      </c>
      <c r="AJ3" s="39" t="s">
        <v>384</v>
      </c>
      <c r="AK3" s="39" t="s">
        <v>384</v>
      </c>
      <c r="AL3" s="39" t="s">
        <v>383</v>
      </c>
      <c r="AM3" s="39" t="s">
        <v>382</v>
      </c>
      <c r="AN3" s="39" t="s">
        <v>381</v>
      </c>
      <c r="AV3" s="39" t="s">
        <v>149</v>
      </c>
    </row>
    <row r="4" spans="1:75" ht="21.75" customHeight="1" x14ac:dyDescent="0.2">
      <c r="D4" s="68"/>
      <c r="E4" s="68"/>
      <c r="F4" s="68"/>
      <c r="G4" s="55" t="s">
        <v>121</v>
      </c>
      <c r="H4" s="55" t="s">
        <v>1927</v>
      </c>
      <c r="I4" s="55" t="s">
        <v>380</v>
      </c>
      <c r="J4" s="55" t="s">
        <v>120</v>
      </c>
      <c r="K4" s="55" t="s">
        <v>154</v>
      </c>
      <c r="L4" s="55" t="s">
        <v>379</v>
      </c>
      <c r="M4" s="55" t="s">
        <v>378</v>
      </c>
      <c r="N4" s="55" t="s">
        <v>119</v>
      </c>
      <c r="O4" s="55" t="s">
        <v>377</v>
      </c>
      <c r="P4" s="67" t="s">
        <v>376</v>
      </c>
      <c r="Q4" s="67" t="s">
        <v>376</v>
      </c>
      <c r="R4" s="67" t="s">
        <v>375</v>
      </c>
      <c r="S4" s="67" t="s">
        <v>375</v>
      </c>
      <c r="T4" s="67" t="s">
        <v>375</v>
      </c>
      <c r="U4" s="67" t="s">
        <v>375</v>
      </c>
      <c r="V4" s="67" t="s">
        <v>375</v>
      </c>
      <c r="W4" s="67" t="s">
        <v>375</v>
      </c>
      <c r="X4" s="67" t="s">
        <v>375</v>
      </c>
      <c r="Y4" s="67" t="s">
        <v>375</v>
      </c>
      <c r="Z4" s="67" t="s">
        <v>375</v>
      </c>
      <c r="AA4" s="67" t="s">
        <v>375</v>
      </c>
      <c r="AB4" s="67" t="s">
        <v>375</v>
      </c>
      <c r="AC4" s="67" t="s">
        <v>375</v>
      </c>
      <c r="AD4" s="67" t="s">
        <v>375</v>
      </c>
      <c r="AE4" s="67" t="s">
        <v>375</v>
      </c>
      <c r="AF4" s="67" t="s">
        <v>375</v>
      </c>
      <c r="AG4" s="67" t="s">
        <v>374</v>
      </c>
      <c r="AH4" s="67" t="s">
        <v>374</v>
      </c>
      <c r="AI4" s="67" t="s">
        <v>374</v>
      </c>
      <c r="AJ4" s="67" t="s">
        <v>374</v>
      </c>
      <c r="AK4" s="67" t="s">
        <v>374</v>
      </c>
      <c r="AL4" s="67" t="s">
        <v>373</v>
      </c>
      <c r="AM4" s="67" t="s">
        <v>372</v>
      </c>
      <c r="AN4" s="67" t="s">
        <v>371</v>
      </c>
      <c r="AO4" s="67" t="s">
        <v>371</v>
      </c>
      <c r="AP4" s="67" t="s">
        <v>371</v>
      </c>
      <c r="AQ4" s="67" t="s">
        <v>371</v>
      </c>
      <c r="AR4" s="67" t="s">
        <v>371</v>
      </c>
      <c r="AS4" s="67" t="s">
        <v>371</v>
      </c>
      <c r="AT4" s="67" t="s">
        <v>371</v>
      </c>
      <c r="AU4" s="67" t="s">
        <v>371</v>
      </c>
      <c r="AV4" s="67" t="s">
        <v>152</v>
      </c>
      <c r="AW4" s="67" t="s">
        <v>152</v>
      </c>
      <c r="AX4" s="67" t="s">
        <v>152</v>
      </c>
      <c r="AY4" s="67" t="s">
        <v>152</v>
      </c>
      <c r="AZ4" s="67" t="s">
        <v>152</v>
      </c>
      <c r="BA4" s="67" t="s">
        <v>152</v>
      </c>
      <c r="BB4" s="67" t="s">
        <v>152</v>
      </c>
      <c r="BC4" s="67" t="s">
        <v>152</v>
      </c>
      <c r="BD4" s="67" t="s">
        <v>152</v>
      </c>
      <c r="BE4" s="67" t="s">
        <v>152</v>
      </c>
      <c r="BF4" s="67" t="s">
        <v>152</v>
      </c>
      <c r="BG4" s="67" t="s">
        <v>152</v>
      </c>
      <c r="BH4" s="67" t="s">
        <v>152</v>
      </c>
      <c r="BI4" s="67" t="s">
        <v>152</v>
      </c>
      <c r="BJ4" s="67" t="s">
        <v>152</v>
      </c>
      <c r="BK4" s="67" t="s">
        <v>152</v>
      </c>
      <c r="BL4" s="67" t="s">
        <v>152</v>
      </c>
      <c r="BM4" s="67" t="s">
        <v>152</v>
      </c>
      <c r="BN4" s="67" t="s">
        <v>152</v>
      </c>
      <c r="BO4" s="67" t="s">
        <v>152</v>
      </c>
      <c r="BP4" s="67" t="s">
        <v>152</v>
      </c>
      <c r="BQ4" s="67" t="s">
        <v>152</v>
      </c>
      <c r="BR4" s="67" t="s">
        <v>152</v>
      </c>
      <c r="BS4" s="67" t="s">
        <v>152</v>
      </c>
      <c r="BT4" s="67" t="s">
        <v>152</v>
      </c>
      <c r="BU4" s="67" t="s">
        <v>152</v>
      </c>
      <c r="BV4" s="67" t="s">
        <v>152</v>
      </c>
      <c r="BW4" s="67" t="s">
        <v>152</v>
      </c>
    </row>
    <row r="5" spans="1:75" ht="16.5" customHeight="1" x14ac:dyDescent="0.2">
      <c r="G5" s="55" t="s">
        <v>27</v>
      </c>
      <c r="H5" s="55" t="s">
        <v>132</v>
      </c>
      <c r="I5" s="55"/>
      <c r="J5" s="55"/>
      <c r="N5" s="66"/>
      <c r="O5" s="55" t="s">
        <v>122</v>
      </c>
      <c r="R5" s="39">
        <v>2012</v>
      </c>
      <c r="S5" s="39">
        <v>2017</v>
      </c>
      <c r="T5" s="39">
        <v>2018</v>
      </c>
      <c r="U5" s="39">
        <v>2019</v>
      </c>
      <c r="V5" s="39">
        <v>2020</v>
      </c>
      <c r="W5" s="39">
        <v>2021</v>
      </c>
      <c r="X5" s="39">
        <v>2022</v>
      </c>
      <c r="Y5" s="39">
        <v>2023</v>
      </c>
      <c r="Z5" s="39">
        <v>2024</v>
      </c>
      <c r="AA5" s="39">
        <v>2025</v>
      </c>
      <c r="AB5" s="39">
        <v>2026</v>
      </c>
      <c r="AC5" s="39">
        <v>2027</v>
      </c>
      <c r="AD5" s="39">
        <v>2028</v>
      </c>
      <c r="AE5" s="39">
        <v>2029</v>
      </c>
      <c r="AF5" s="39">
        <v>2030</v>
      </c>
      <c r="AG5" s="39">
        <v>2012</v>
      </c>
      <c r="AH5" s="39">
        <v>2017</v>
      </c>
      <c r="AI5" s="39">
        <v>2018</v>
      </c>
      <c r="AJ5" s="39">
        <v>2019</v>
      </c>
      <c r="AK5" s="39">
        <v>2020</v>
      </c>
      <c r="AL5" s="55" t="s">
        <v>27</v>
      </c>
      <c r="AM5" s="55" t="s">
        <v>370</v>
      </c>
      <c r="AN5" s="55" t="s">
        <v>369</v>
      </c>
      <c r="AO5" s="55" t="s">
        <v>368</v>
      </c>
      <c r="AP5" s="55" t="s">
        <v>367</v>
      </c>
      <c r="AQ5" s="55" t="s">
        <v>366</v>
      </c>
      <c r="AR5" s="55" t="s">
        <v>365</v>
      </c>
      <c r="AS5" s="55" t="s">
        <v>364</v>
      </c>
      <c r="AT5" s="55" t="s">
        <v>363</v>
      </c>
      <c r="AU5" s="55" t="str">
        <f>Commodities!B66</f>
        <v>PWRPM10</v>
      </c>
      <c r="AV5" s="39">
        <v>2012</v>
      </c>
      <c r="AW5" s="39">
        <v>2017</v>
      </c>
      <c r="AX5" s="39">
        <v>2019</v>
      </c>
      <c r="AY5" s="39">
        <v>2020</v>
      </c>
      <c r="AZ5" s="39">
        <v>2021</v>
      </c>
      <c r="BA5" s="39">
        <v>2022</v>
      </c>
      <c r="BB5" s="39">
        <v>2023</v>
      </c>
      <c r="BC5" s="39">
        <v>2024</v>
      </c>
      <c r="BD5" s="39">
        <v>2025</v>
      </c>
      <c r="BE5" s="39">
        <v>2026</v>
      </c>
      <c r="BF5" s="39">
        <v>2027</v>
      </c>
      <c r="BG5" s="39">
        <v>2028</v>
      </c>
      <c r="BH5" s="39">
        <v>2029</v>
      </c>
      <c r="BI5" s="39">
        <v>2030</v>
      </c>
      <c r="BJ5" s="39">
        <v>2031</v>
      </c>
      <c r="BK5" s="39">
        <v>2032</v>
      </c>
      <c r="BL5" s="39">
        <v>2033</v>
      </c>
      <c r="BM5" s="39">
        <v>2034</v>
      </c>
      <c r="BN5" s="39">
        <v>2035</v>
      </c>
      <c r="BO5" s="39">
        <v>2036</v>
      </c>
      <c r="BP5" s="39">
        <v>2037</v>
      </c>
      <c r="BQ5" s="39">
        <v>2038</v>
      </c>
      <c r="BR5" s="39">
        <v>2039</v>
      </c>
      <c r="BS5" s="39">
        <v>2040</v>
      </c>
      <c r="BT5" s="39">
        <v>2045</v>
      </c>
      <c r="BU5" s="39">
        <v>2050</v>
      </c>
      <c r="BV5" s="39">
        <v>2060</v>
      </c>
      <c r="BW5" s="39">
        <v>2070</v>
      </c>
    </row>
    <row r="6" spans="1:75" ht="17.25" customHeight="1" x14ac:dyDescent="0.2">
      <c r="E6" s="39" t="s">
        <v>2491</v>
      </c>
      <c r="G6" s="55" t="s">
        <v>122</v>
      </c>
      <c r="H6" s="55" t="s">
        <v>122</v>
      </c>
      <c r="I6" s="55"/>
      <c r="J6" s="55"/>
      <c r="N6" s="66"/>
      <c r="AL6" s="55" t="s">
        <v>362</v>
      </c>
      <c r="AM6" s="55" t="s">
        <v>122</v>
      </c>
      <c r="AN6" s="55" t="s">
        <v>122</v>
      </c>
      <c r="AO6" s="55" t="s">
        <v>122</v>
      </c>
      <c r="AP6" s="55" t="s">
        <v>122</v>
      </c>
      <c r="AQ6" s="55" t="s">
        <v>122</v>
      </c>
      <c r="AR6" s="55" t="s">
        <v>122</v>
      </c>
      <c r="AS6" s="55" t="s">
        <v>122</v>
      </c>
      <c r="AT6" s="55" t="s">
        <v>122</v>
      </c>
      <c r="AU6" s="55" t="s">
        <v>122</v>
      </c>
      <c r="AV6" s="55"/>
      <c r="AW6" s="55"/>
      <c r="AX6" s="55"/>
      <c r="AY6" s="55"/>
    </row>
    <row r="7" spans="1:75" ht="21.75" customHeight="1" x14ac:dyDescent="0.2">
      <c r="B7" s="57" t="s">
        <v>2479</v>
      </c>
      <c r="C7" s="57" t="s">
        <v>2492</v>
      </c>
      <c r="D7" s="57" t="s">
        <v>2489</v>
      </c>
      <c r="E7" s="57" t="s">
        <v>2490</v>
      </c>
      <c r="F7" s="65" t="s">
        <v>2502</v>
      </c>
      <c r="G7" s="39" t="str">
        <f>IFERROR(REPLACE(G4,SEARCH("-",G4),1,"~"),G4)</f>
        <v>ACT_EFF</v>
      </c>
      <c r="H7" s="69" t="s">
        <v>2496</v>
      </c>
      <c r="I7" s="69" t="str">
        <f t="shared" ref="I7:Q7" si="0">IFERROR(REPLACE(I4,SEARCH("-",I4),1,"~"),I4)</f>
        <v>STG_EFF</v>
      </c>
      <c r="J7" s="69" t="str">
        <f t="shared" si="0"/>
        <v>ACT_COST</v>
      </c>
      <c r="K7" s="69" t="str">
        <f t="shared" si="0"/>
        <v>NCAP_FOM</v>
      </c>
      <c r="L7" s="69" t="str">
        <f t="shared" si="0"/>
        <v>NCAP_COST</v>
      </c>
      <c r="M7" s="69" t="str">
        <f t="shared" si="0"/>
        <v>NCAP_TLIFE</v>
      </c>
      <c r="N7" s="69" t="str">
        <f t="shared" si="0"/>
        <v>PRC_CAPACT</v>
      </c>
      <c r="O7" s="69" t="str">
        <f t="shared" si="0"/>
        <v>NCAP_PKCNT</v>
      </c>
      <c r="P7" s="69" t="str">
        <f t="shared" si="0"/>
        <v>NCAP_BND~UP</v>
      </c>
      <c r="Q7" s="69" t="str">
        <f t="shared" si="0"/>
        <v>NCAP_BND~UP</v>
      </c>
      <c r="R7" s="69" t="str">
        <f t="shared" ref="R7:AK7" si="1">IFERROR(REPLACE(R4,SEARCH("-",R4),1,"~"),R4)&amp;"~"&amp;R5</f>
        <v>NCAP_AFA~UP~2012</v>
      </c>
      <c r="S7" s="69" t="str">
        <f t="shared" si="1"/>
        <v>NCAP_AFA~UP~2017</v>
      </c>
      <c r="T7" s="69" t="str">
        <f t="shared" si="1"/>
        <v>NCAP_AFA~UP~2018</v>
      </c>
      <c r="U7" s="69" t="str">
        <f t="shared" si="1"/>
        <v>NCAP_AFA~UP~2019</v>
      </c>
      <c r="V7" s="69" t="str">
        <f t="shared" si="1"/>
        <v>NCAP_AFA~UP~2020</v>
      </c>
      <c r="W7" s="69" t="str">
        <f t="shared" si="1"/>
        <v>NCAP_AFA~UP~2021</v>
      </c>
      <c r="X7" s="69" t="str">
        <f t="shared" si="1"/>
        <v>NCAP_AFA~UP~2022</v>
      </c>
      <c r="Y7" s="69" t="str">
        <f t="shared" si="1"/>
        <v>NCAP_AFA~UP~2023</v>
      </c>
      <c r="Z7" s="69" t="str">
        <f t="shared" si="1"/>
        <v>NCAP_AFA~UP~2024</v>
      </c>
      <c r="AA7" s="69" t="str">
        <f t="shared" si="1"/>
        <v>NCAP_AFA~UP~2025</v>
      </c>
      <c r="AB7" s="69" t="str">
        <f t="shared" si="1"/>
        <v>NCAP_AFA~UP~2026</v>
      </c>
      <c r="AC7" s="69" t="str">
        <f t="shared" si="1"/>
        <v>NCAP_AFA~UP~2027</v>
      </c>
      <c r="AD7" s="69" t="str">
        <f t="shared" si="1"/>
        <v>NCAP_AFA~UP~2028</v>
      </c>
      <c r="AE7" s="69" t="str">
        <f t="shared" si="1"/>
        <v>NCAP_AFA~UP~2029</v>
      </c>
      <c r="AF7" s="69" t="str">
        <f t="shared" si="1"/>
        <v>NCAP_AFA~UP~2030</v>
      </c>
      <c r="AG7" s="69" t="str">
        <f t="shared" si="1"/>
        <v>NCAP_AFA~LO~2012</v>
      </c>
      <c r="AH7" s="69" t="str">
        <f t="shared" si="1"/>
        <v>NCAP_AFA~LO~2017</v>
      </c>
      <c r="AI7" s="69" t="str">
        <f t="shared" si="1"/>
        <v>NCAP_AFA~LO~2018</v>
      </c>
      <c r="AJ7" s="69" t="str">
        <f t="shared" si="1"/>
        <v>NCAP_AFA~LO~2019</v>
      </c>
      <c r="AK7" s="69" t="str">
        <f t="shared" si="1"/>
        <v>NCAP_AFA~LO~2020</v>
      </c>
      <c r="AL7" s="69" t="str">
        <f>IFERROR(REPLACE(AL4,SEARCH("-",AL4),1,"~"),AL4)</f>
        <v>NCAP_AFC</v>
      </c>
      <c r="AM7" s="69" t="str">
        <f t="shared" ref="AM7" si="2">IFERROR(REPLACE(AM4,SEARCH("-",AM4),1,"~"),AM4)</f>
        <v>FLO_EMIS~O</v>
      </c>
      <c r="AN7" s="504" t="str">
        <f>"FLO_EMIS~"&amp;AN5</f>
        <v>FLO_EMIS~PWRCO2S</v>
      </c>
      <c r="AO7" s="504" t="str">
        <f t="shared" ref="AO7:AU7" si="3">"FLO_EMIS~"&amp;AO5</f>
        <v>FLO_EMIS~PWRCH4S</v>
      </c>
      <c r="AP7" s="504" t="str">
        <f t="shared" si="3"/>
        <v>FLO_EMIS~PWRN2OS</v>
      </c>
      <c r="AQ7" s="504" t="str">
        <f t="shared" si="3"/>
        <v>FLO_EMIS~PWRSOXS</v>
      </c>
      <c r="AR7" s="504" t="str">
        <f t="shared" si="3"/>
        <v>FLO_EMIS~PWRNOXS</v>
      </c>
      <c r="AS7" s="504" t="str">
        <f t="shared" si="3"/>
        <v>FLO_EMIS~PWRCMOX</v>
      </c>
      <c r="AT7" s="504" t="str">
        <f t="shared" si="3"/>
        <v>FLO_EMIS~PWRNMVS</v>
      </c>
      <c r="AU7" s="504" t="str">
        <f t="shared" si="3"/>
        <v>FLO_EMIS~PWRPM10</v>
      </c>
      <c r="AV7" s="69" t="str">
        <f t="shared" ref="AV7:BW7" si="4">IFERROR(REPLACE(AV4,SEARCH("-",AV4),1,"~"),AV4)&amp;"~"&amp;AV5</f>
        <v>PRC_RESID~2012</v>
      </c>
      <c r="AW7" s="69" t="str">
        <f t="shared" si="4"/>
        <v>PRC_RESID~2017</v>
      </c>
      <c r="AX7" s="69" t="str">
        <f t="shared" si="4"/>
        <v>PRC_RESID~2019</v>
      </c>
      <c r="AY7" s="69" t="str">
        <f t="shared" si="4"/>
        <v>PRC_RESID~2020</v>
      </c>
      <c r="AZ7" s="69" t="str">
        <f t="shared" si="4"/>
        <v>PRC_RESID~2021</v>
      </c>
      <c r="BA7" s="69" t="str">
        <f t="shared" si="4"/>
        <v>PRC_RESID~2022</v>
      </c>
      <c r="BB7" s="69" t="str">
        <f t="shared" si="4"/>
        <v>PRC_RESID~2023</v>
      </c>
      <c r="BC7" s="69" t="str">
        <f t="shared" si="4"/>
        <v>PRC_RESID~2024</v>
      </c>
      <c r="BD7" s="69" t="str">
        <f t="shared" si="4"/>
        <v>PRC_RESID~2025</v>
      </c>
      <c r="BE7" s="69" t="str">
        <f t="shared" si="4"/>
        <v>PRC_RESID~2026</v>
      </c>
      <c r="BF7" s="69" t="str">
        <f t="shared" si="4"/>
        <v>PRC_RESID~2027</v>
      </c>
      <c r="BG7" s="69" t="str">
        <f t="shared" si="4"/>
        <v>PRC_RESID~2028</v>
      </c>
      <c r="BH7" s="69" t="str">
        <f t="shared" si="4"/>
        <v>PRC_RESID~2029</v>
      </c>
      <c r="BI7" s="69" t="str">
        <f t="shared" si="4"/>
        <v>PRC_RESID~2030</v>
      </c>
      <c r="BJ7" s="69" t="str">
        <f t="shared" si="4"/>
        <v>PRC_RESID~2031</v>
      </c>
      <c r="BK7" s="69" t="str">
        <f t="shared" si="4"/>
        <v>PRC_RESID~2032</v>
      </c>
      <c r="BL7" s="69" t="str">
        <f t="shared" si="4"/>
        <v>PRC_RESID~2033</v>
      </c>
      <c r="BM7" s="69" t="str">
        <f t="shared" si="4"/>
        <v>PRC_RESID~2034</v>
      </c>
      <c r="BN7" s="69" t="str">
        <f t="shared" si="4"/>
        <v>PRC_RESID~2035</v>
      </c>
      <c r="BO7" s="69" t="str">
        <f t="shared" si="4"/>
        <v>PRC_RESID~2036</v>
      </c>
      <c r="BP7" s="69" t="str">
        <f t="shared" si="4"/>
        <v>PRC_RESID~2037</v>
      </c>
      <c r="BQ7" s="69" t="str">
        <f t="shared" si="4"/>
        <v>PRC_RESID~2038</v>
      </c>
      <c r="BR7" s="69" t="str">
        <f t="shared" si="4"/>
        <v>PRC_RESID~2039</v>
      </c>
      <c r="BS7" s="69" t="str">
        <f t="shared" si="4"/>
        <v>PRC_RESID~2040</v>
      </c>
      <c r="BT7" s="69" t="str">
        <f t="shared" si="4"/>
        <v>PRC_RESID~2045</v>
      </c>
      <c r="BU7" s="69" t="str">
        <f t="shared" si="4"/>
        <v>PRC_RESID~2050</v>
      </c>
      <c r="BV7" s="69" t="str">
        <f t="shared" si="4"/>
        <v>PRC_RESID~2060</v>
      </c>
      <c r="BW7" s="69" t="str">
        <f t="shared" si="4"/>
        <v>PRC_RESID~2070</v>
      </c>
    </row>
    <row r="8" spans="1:75" ht="11.25" customHeight="1" x14ac:dyDescent="0.2">
      <c r="B8" s="42" t="s">
        <v>1822</v>
      </c>
      <c r="E8" s="45"/>
      <c r="F8" s="46"/>
      <c r="Q8" s="46"/>
      <c r="AM8" s="46"/>
      <c r="AP8" s="46"/>
      <c r="AQ8" s="46"/>
      <c r="AZ8" s="46"/>
    </row>
    <row r="9" spans="1:75" s="46" customFormat="1" ht="11.25" customHeight="1" x14ac:dyDescent="0.2">
      <c r="A9" s="39"/>
      <c r="B9" s="39" t="str">
        <f>Processes!B9</f>
        <v>ETCLECAMD-E</v>
      </c>
      <c r="C9" s="39" t="str">
        <f>Processes!C9</f>
        <v>CAMDEN</v>
      </c>
      <c r="D9" s="52" t="str">
        <f t="shared" ref="D9:D17" si="5">"PWR"&amp;MID(B9,3,7)</f>
        <v>PWRCLECAMD</v>
      </c>
      <c r="E9" s="39" t="s">
        <v>132</v>
      </c>
      <c r="F9" s="46" t="str">
        <f>D9</f>
        <v>PWRCLECAMD</v>
      </c>
      <c r="G9" s="48"/>
      <c r="H9" s="48">
        <f>INDEX('eskom production 2009-YTD'!$Q$35:$Q$62,MATCH(C9,'eskom production 2009-YTD'!$A$35:$A$62,0))</f>
        <v>0.2805027762784329</v>
      </c>
      <c r="I9" s="48"/>
      <c r="J9" s="48">
        <f>INDEX(ElecBY!$S$82:$S$103,MATCH(B9,ElecBY!$D$82:$D$103,0))</f>
        <v>9.1726233509550532</v>
      </c>
      <c r="K9" s="48">
        <f>INDEX(ElecBY!$O$82:$O$103,MATCH(B9,ElecBY!$D$82:$D$103,0))</f>
        <v>382.23410486132724</v>
      </c>
      <c r="L9" s="48">
        <f>INDEX(ElecBY!$K$82:$K$103,MATCH(B9,ElecBY!$D$82:$D$103,0))</f>
        <v>7331.1230131582843</v>
      </c>
      <c r="M9" s="59">
        <v>30</v>
      </c>
      <c r="N9" s="39">
        <v>31.536000000000001</v>
      </c>
      <c r="O9" s="39">
        <v>1</v>
      </c>
      <c r="P9" s="46">
        <v>5</v>
      </c>
      <c r="Q9" s="46">
        <v>0</v>
      </c>
      <c r="R9" s="61">
        <f>INDEX('eskom production 2009-YTD'!$J$100:$AB$115,MATCH($C9,'eskom production 2009-YTD'!$A$100:$A$115,0),MATCH(R$5,'eskom production 2009-YTD'!$J$65:$AB$65,0))</f>
        <v>0.65972201228153049</v>
      </c>
      <c r="S9" s="61">
        <f>INDEX('eskom production 2009-YTD'!$J$100:$AB$115,MATCH($C9,'eskom production 2009-YTD'!$A$100:$A$115,0),MATCH(S$5,'eskom production 2009-YTD'!$J$65:$AB$65,0))</f>
        <v>0.54111740129475128</v>
      </c>
      <c r="T9" s="61">
        <f>S9*HistoricalDispatch!$B$5/HistoricalDispatch!$B$4</f>
        <v>0.5458421750378587</v>
      </c>
      <c r="U9" s="61">
        <f>T9*HistoricalDispatch!$B$6/HistoricalDispatch!$B$5</f>
        <v>0.52298965046383672</v>
      </c>
      <c r="V9" s="61">
        <f>INDEX('eskom production 2009-YTD'!$J$100:$AB$115,MATCH($C9,'eskom production 2009-YTD'!$A$100:$A$115,0),MATCH(V$5,'eskom production 2009-YTD'!$J$65:$AB$65,0))</f>
        <v>0.6</v>
      </c>
      <c r="W9" s="61">
        <f>INDEX('eskom production 2009-YTD'!$J$100:$AB$115,MATCH($C9,'eskom production 2009-YTD'!$A$100:$A$115,0),MATCH(W$5,'eskom production 2009-YTD'!$J$65:$AB$65,0))</f>
        <v>0.55810000000000004</v>
      </c>
      <c r="X9" s="61">
        <f>INDEX('eskom production 2009-YTD'!$J$100:$AB$115,MATCH($C9,'eskom production 2009-YTD'!$A$100:$A$115,0),MATCH(X$5,'eskom production 2009-YTD'!$J$65:$AB$65,0))</f>
        <v>0.61240000000000006</v>
      </c>
      <c r="Y9" s="61">
        <f>INDEX('eskom production 2009-YTD'!$J$100:$AB$115,MATCH($C9,'eskom production 2009-YTD'!$A$100:$A$115,0),MATCH(Y$5,'eskom production 2009-YTD'!$J$65:$AB$65,0))</f>
        <v>0.64670000000000005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0.63060000000000005</v>
      </c>
      <c r="AE9" s="61">
        <f>INDEX('eskom production 2009-YTD'!$J$100:$AB$115,MATCH($C9,'eskom production 2009-YTD'!$A$100:$A$115,0),MATCH(AE$5,'eskom production 2009-YTD'!$J$65:$AB$65,0))</f>
        <v>0</v>
      </c>
      <c r="AF9" s="61">
        <f>INDEX('eskom production 2009-YTD'!$J$100:$AB$115,MATCH($C9,'eskom production 2009-YTD'!$A$100:$A$115,0),MATCH(AF$5,'eskom production 2009-YTD'!$J$65:$AB$65,0))</f>
        <v>0</v>
      </c>
      <c r="AG9" s="61">
        <f t="shared" ref="AG9:AG22" si="6">R9</f>
        <v>0.65972201228153049</v>
      </c>
      <c r="AH9" s="61">
        <f>S9*0.999</f>
        <v>0.54057628389345658</v>
      </c>
      <c r="AI9" s="61">
        <f>T9*0.999</f>
        <v>0.54529633286282087</v>
      </c>
      <c r="AJ9" s="61">
        <f t="shared" ref="AJ9:AJ22" si="7">U9*0.99</f>
        <v>0.51775975395919838</v>
      </c>
      <c r="AK9" s="427">
        <v>0.05</v>
      </c>
      <c r="AL9" s="61"/>
      <c r="AM9" s="46">
        <v>277.77800000000002</v>
      </c>
      <c r="AN9" s="61">
        <v>96.25</v>
      </c>
      <c r="AO9" s="46">
        <v>1E-3</v>
      </c>
      <c r="AP9" s="46">
        <v>1.5E-3</v>
      </c>
      <c r="AQ9" s="64">
        <f>HistoricalDispatch!U71</f>
        <v>0.8675671912423536</v>
      </c>
      <c r="AR9" s="64">
        <f>HistoricalDispatch!U72</f>
        <v>0.41576701555456169</v>
      </c>
      <c r="AS9" s="46">
        <v>0.02</v>
      </c>
      <c r="AT9" s="46">
        <v>5.0000000000000001E-3</v>
      </c>
      <c r="AU9" s="64">
        <f>HistoricalDispatch!U73</f>
        <v>4.5769644752755773E-2</v>
      </c>
      <c r="AV9" s="64">
        <f>INDEX('eskom production 2009-YTD'!$J$66:$AB$80,MATCH($C9,'eskom production 2009-YTD'!$A$66:$A$80,0),MATCH(AV$5,'eskom production 2009-YTD'!$J$65:$Q$65,0))/1000</f>
        <v>1.45</v>
      </c>
      <c r="AW9" s="64">
        <f>INDEX('eskom production 2009-YTD'!$J$66:$AB$80,MATCH($C9,'eskom production 2009-YTD'!$A$66:$A$80,0),MATCH(AW$5,'eskom production 2009-YTD'!$J$65:$Q$65,0))/1000</f>
        <v>1.4810000000000001</v>
      </c>
      <c r="AX9" s="64">
        <f>INDEX('eskom production 2009-YTD'!$J$66:$AB$80,MATCH($C9,'eskom production 2009-YTD'!$A$66:$A$80,0),MATCH(AX$5,'eskom production 2009-YTD'!$J$65:$Q$65,0))/1000</f>
        <v>1.4810000000000001</v>
      </c>
      <c r="AY9" s="64">
        <f>DecomSchedule!P4</f>
        <v>1.4810000000000001</v>
      </c>
      <c r="AZ9" s="64">
        <f>DecomSchedule!Q4</f>
        <v>1.4810000000000001</v>
      </c>
      <c r="BA9" s="64">
        <f>DecomSchedule!R4</f>
        <v>1.4810000000000001</v>
      </c>
      <c r="BB9" s="64">
        <f>DecomSchedule!S4</f>
        <v>1.1107500000000001</v>
      </c>
      <c r="BC9" s="64">
        <f>DecomSchedule!T4</f>
        <v>0.55537500000000006</v>
      </c>
      <c r="BD9" s="64">
        <f>DecomSchedule!U4</f>
        <v>0</v>
      </c>
      <c r="BE9" s="64">
        <f>DecomSchedule!V4</f>
        <v>0</v>
      </c>
      <c r="BF9" s="64">
        <f>DecomSchedule!W4</f>
        <v>0</v>
      </c>
      <c r="BG9" s="64">
        <f>DecomSchedule!X4</f>
        <v>0</v>
      </c>
      <c r="BH9" s="64">
        <f>DecomSchedule!Y4</f>
        <v>0</v>
      </c>
      <c r="BI9" s="64">
        <f>DecomSchedule!Z4</f>
        <v>0</v>
      </c>
      <c r="BJ9" s="64">
        <f>DecomSchedule!AA4</f>
        <v>0</v>
      </c>
      <c r="BK9" s="64">
        <f>DecomSchedule!AB4</f>
        <v>0</v>
      </c>
      <c r="BL9" s="64">
        <f>DecomSchedule!AC4</f>
        <v>0</v>
      </c>
      <c r="BM9" s="64">
        <f>DecomSchedule!AD4</f>
        <v>0</v>
      </c>
      <c r="BN9" s="64">
        <f>DecomSchedule!AE4</f>
        <v>0</v>
      </c>
      <c r="BO9" s="64">
        <f>DecomSchedule!AF4</f>
        <v>0</v>
      </c>
      <c r="BP9" s="64">
        <f>DecomSchedule!AG4</f>
        <v>0</v>
      </c>
      <c r="BQ9" s="64">
        <f>DecomSchedule!AH4</f>
        <v>0</v>
      </c>
      <c r="BR9" s="64">
        <f>DecomSchedule!AI4</f>
        <v>0</v>
      </c>
      <c r="BS9" s="64">
        <f>DecomSchedule!AJ4</f>
        <v>0</v>
      </c>
      <c r="BT9" s="64">
        <f>INDEX(DecomSchedule!$AK4:$AT4,1,MATCH(BT$5,DecomSchedule!$AK$3:$AT$3,0))</f>
        <v>0</v>
      </c>
      <c r="BU9" s="64">
        <f>INDEX(DecomSchedule!$AK4:$AT4,1,MATCH(BU$5,DecomSchedule!$AK$3:$AT$3,0))</f>
        <v>0</v>
      </c>
      <c r="BV9" s="64">
        <v>0</v>
      </c>
      <c r="BW9" s="64">
        <v>0</v>
      </c>
    </row>
    <row r="10" spans="1:75" s="46" customFormat="1" ht="11.25" customHeight="1" x14ac:dyDescent="0.2">
      <c r="A10" s="39"/>
      <c r="B10" s="39" t="str">
        <f>Processes!B10</f>
        <v>ETCLEGROO-E</v>
      </c>
      <c r="C10" s="39" t="str">
        <f>Processes!C10</f>
        <v>GROOTVLEI</v>
      </c>
      <c r="D10" s="52" t="str">
        <f t="shared" si="5"/>
        <v>PWRCLEGROO</v>
      </c>
      <c r="E10" s="39" t="s">
        <v>132</v>
      </c>
      <c r="F10" s="46" t="str">
        <f t="shared" ref="F10:F26" si="8">D10</f>
        <v>PWRCLEGROO</v>
      </c>
      <c r="G10" s="48"/>
      <c r="H10" s="48">
        <f>INDEX('eskom production 2009-YTD'!$Q$35:$Q$62,MATCH(C10,'eskom production 2009-YTD'!$A$35:$A$62,0))</f>
        <v>0.25956842465744412</v>
      </c>
      <c r="I10" s="48"/>
      <c r="J10" s="48">
        <f>INDEX(ElecBY!$S$82:$S$103,MATCH(B10,ElecBY!$D$82:$D$103,0))</f>
        <v>9.1726233509550532</v>
      </c>
      <c r="K10" s="48">
        <f>INDEX(ElecBY!$O$82:$O$103,MATCH(B10,ElecBY!$D$82:$D$103,0))</f>
        <v>382.23410486132718</v>
      </c>
      <c r="L10" s="48">
        <f>INDEX(ElecBY!$K$82:$K$103,MATCH(B10,ElecBY!$D$82:$D$103,0))</f>
        <v>7331.1230131582843</v>
      </c>
      <c r="M10" s="59">
        <v>30</v>
      </c>
      <c r="N10" s="39">
        <v>31.536000000000001</v>
      </c>
      <c r="O10" s="39">
        <v>1</v>
      </c>
      <c r="P10" s="46">
        <v>5</v>
      </c>
      <c r="Q10" s="46">
        <v>0</v>
      </c>
      <c r="R10" s="61">
        <f>INDEX('eskom production 2009-YTD'!$J$100:$AB$115,MATCH($C10,'eskom production 2009-YTD'!$A$100:$A$115,0),MATCH(R$5,'eskom production 2009-YTD'!$J$65:$AB$65,0))</f>
        <v>0.57508902014997276</v>
      </c>
      <c r="S10" s="61">
        <f>INDEX('eskom production 2009-YTD'!$J$100:$AB$115,MATCH($C10,'eskom production 2009-YTD'!$A$100:$A$115,0),MATCH(S$5,'eskom production 2009-YTD'!$J$65:$AB$65,0))</f>
        <v>0.36749690039180255</v>
      </c>
      <c r="T10" s="61">
        <f>S10*HistoricalDispatch!$B$5/HistoricalDispatch!$B$4</f>
        <v>0.37070570443597112</v>
      </c>
      <c r="U10" s="61">
        <f>T10*HistoricalDispatch!$B$6/HistoricalDispatch!$B$5</f>
        <v>0.35518553833710637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0.89150000000000007</v>
      </c>
      <c r="Y10" s="61">
        <f>INDEX('eskom production 2009-YTD'!$J$100:$AB$115,MATCH($C10,'eskom production 2009-YTD'!$A$100:$A$115,0),MATCH(Y$5,'eskom production 2009-YTD'!$J$65:$AB$65,0))</f>
        <v>0</v>
      </c>
      <c r="Z10" s="61">
        <f>INDEX('eskom production 2009-YTD'!$J$100:$AB$115,MATCH($C10,'eskom production 2009-YTD'!$A$100:$A$115,0),MATCH(Z$5,'eskom production 2009-YTD'!$J$65:$AB$65,0))</f>
        <v>0</v>
      </c>
      <c r="AA10" s="61">
        <f>INDEX('eskom production 2009-YTD'!$J$100:$AB$115,MATCH($C10,'eskom production 2009-YTD'!$A$100:$A$115,0),MATCH(AA$5,'eskom production 2009-YTD'!$J$65:$AB$65,0))</f>
        <v>0</v>
      </c>
      <c r="AB10" s="61">
        <f>INDEX('eskom production 2009-YTD'!$J$100:$AB$115,MATCH($C10,'eskom production 2009-YTD'!$A$100:$A$115,0),MATCH(AB$5,'eskom production 2009-YTD'!$J$65:$AB$65,0))</f>
        <v>0</v>
      </c>
      <c r="AC10" s="61">
        <f>INDEX('eskom production 2009-YTD'!$J$100:$AB$115,MATCH($C10,'eskom production 2009-YTD'!$A$100:$A$115,0),MATCH(AC$5,'eskom production 2009-YTD'!$J$65:$AB$65,0))</f>
        <v>0</v>
      </c>
      <c r="AD10" s="61">
        <f>INDEX('eskom production 2009-YTD'!$J$100:$AB$115,MATCH($C10,'eskom production 2009-YTD'!$A$100:$A$115,0),MATCH(AD$5,'eskom production 2009-YTD'!$J$65:$AB$65,0))</f>
        <v>0</v>
      </c>
      <c r="AE10" s="61">
        <f>INDEX('eskom production 2009-YTD'!$J$100:$AB$115,MATCH($C10,'eskom production 2009-YTD'!$A$100:$A$115,0),MATCH(AE$5,'eskom production 2009-YTD'!$J$65:$AB$65,0))</f>
        <v>0</v>
      </c>
      <c r="AF10" s="61">
        <f>INDEX('eskom production 2009-YTD'!$J$100:$AB$115,MATCH($C10,'eskom production 2009-YTD'!$A$100:$A$115,0),MATCH(AF$5,'eskom production 2009-YTD'!$J$65:$AB$65,0))</f>
        <v>0</v>
      </c>
      <c r="AG10" s="61">
        <f t="shared" si="6"/>
        <v>0.57508902014997276</v>
      </c>
      <c r="AH10" s="61">
        <f t="shared" ref="AH10:AI22" si="9">S10*0.999</f>
        <v>0.36712940349141077</v>
      </c>
      <c r="AI10" s="61">
        <f t="shared" si="9"/>
        <v>0.37033499873153514</v>
      </c>
      <c r="AJ10" s="61">
        <f t="shared" si="7"/>
        <v>0.35163368295373532</v>
      </c>
      <c r="AK10" s="427">
        <v>0.05</v>
      </c>
      <c r="AL10" s="61"/>
      <c r="AM10" s="46">
        <v>277.77800000000002</v>
      </c>
      <c r="AN10" s="61">
        <f t="shared" ref="AN10:AN22" si="10">AN9</f>
        <v>96.25</v>
      </c>
      <c r="AO10" s="61">
        <f t="shared" ref="AO10:AO22" si="11">AO9</f>
        <v>1E-3</v>
      </c>
      <c r="AP10" s="63">
        <f t="shared" ref="AP10:AP22" si="12">AP9</f>
        <v>1.5E-3</v>
      </c>
      <c r="AQ10" s="64">
        <f t="shared" ref="AQ10:AQ22" si="13">AQ9</f>
        <v>0.8675671912423536</v>
      </c>
      <c r="AR10" s="64">
        <f t="shared" ref="AR10:AR22" si="14">AR9</f>
        <v>0.41576701555456169</v>
      </c>
      <c r="AS10" s="61">
        <f t="shared" ref="AS10:AS22" si="15">AS9</f>
        <v>0.02</v>
      </c>
      <c r="AT10" s="61">
        <f t="shared" ref="AT10:AU22" si="16">AT9</f>
        <v>5.0000000000000001E-3</v>
      </c>
      <c r="AU10" s="61">
        <f t="shared" si="16"/>
        <v>4.5769644752755773E-2</v>
      </c>
      <c r="AV10" s="64">
        <f>INDEX('eskom production 2009-YTD'!$J$66:$AB$80,MATCH($C10,'eskom production 2009-YTD'!$A$66:$A$80,0),MATCH(AV$5,'eskom production 2009-YTD'!$J$65:$Q$65,0))/1000</f>
        <v>1.0900000000000001</v>
      </c>
      <c r="AW10" s="64">
        <f>INDEX('eskom production 2009-YTD'!$J$66:$AB$80,MATCH($C10,'eskom production 2009-YTD'!$A$66:$A$80,0),MATCH(AW$5,'eskom production 2009-YTD'!$J$65:$Q$65,0))/1000</f>
        <v>1.1200000000000001</v>
      </c>
      <c r="AX10" s="64">
        <f>INDEX('eskom production 2009-YTD'!$J$66:$AB$80,MATCH($C10,'eskom production 2009-YTD'!$A$66:$A$80,0),MATCH(AX$5,'eskom production 2009-YTD'!$J$65:$Q$65,0))/1000</f>
        <v>0.56999999999999995</v>
      </c>
      <c r="AY10" s="64">
        <f>DecomSchedule!P5</f>
        <v>0.56999999999999995</v>
      </c>
      <c r="AZ10" s="64">
        <f>DecomSchedule!Q5</f>
        <v>0.56999999999999995</v>
      </c>
      <c r="BA10" s="64">
        <f>DecomSchedule!R5</f>
        <v>0.56999999999999995</v>
      </c>
      <c r="BB10" s="64">
        <f>DecomSchedule!S5</f>
        <v>0.56999999999999995</v>
      </c>
      <c r="BC10" s="64">
        <f>DecomSchedule!T5</f>
        <v>0.56999999999999995</v>
      </c>
      <c r="BD10" s="64">
        <f>DecomSchedule!U5</f>
        <v>0.56999999999999995</v>
      </c>
      <c r="BE10" s="64">
        <f>DecomSchedule!V5</f>
        <v>0.19</v>
      </c>
      <c r="BF10" s="64">
        <f>DecomSchedule!W5</f>
        <v>0</v>
      </c>
      <c r="BG10" s="64">
        <f>DecomSchedule!X5</f>
        <v>0</v>
      </c>
      <c r="BH10" s="64">
        <f>DecomSchedule!Y5</f>
        <v>0</v>
      </c>
      <c r="BI10" s="64">
        <f>DecomSchedule!Z5</f>
        <v>0</v>
      </c>
      <c r="BJ10" s="64">
        <f>DecomSchedule!AA5</f>
        <v>0</v>
      </c>
      <c r="BK10" s="64">
        <f>DecomSchedule!AB5</f>
        <v>0</v>
      </c>
      <c r="BL10" s="64">
        <f>DecomSchedule!AC5</f>
        <v>0</v>
      </c>
      <c r="BM10" s="64">
        <f>DecomSchedule!AD5</f>
        <v>0</v>
      </c>
      <c r="BN10" s="64">
        <f>DecomSchedule!AE5</f>
        <v>0</v>
      </c>
      <c r="BO10" s="64">
        <f>DecomSchedule!AF5</f>
        <v>0</v>
      </c>
      <c r="BP10" s="64">
        <f>DecomSchedule!AG5</f>
        <v>0</v>
      </c>
      <c r="BQ10" s="64">
        <f>DecomSchedule!AH5</f>
        <v>0</v>
      </c>
      <c r="BR10" s="64">
        <f>DecomSchedule!AI5</f>
        <v>0</v>
      </c>
      <c r="BS10" s="64">
        <f>DecomSchedule!AJ5</f>
        <v>0</v>
      </c>
      <c r="BT10" s="64">
        <f>INDEX(DecomSchedule!$AK5:$AT5,1,MATCH(BT$5,DecomSchedule!$AK$3:$AT$3,0))</f>
        <v>0</v>
      </c>
      <c r="BU10" s="64">
        <f>INDEX(DecomSchedule!$AK5:$AT5,1,MATCH(BU$5,DecomSchedule!$AK$3:$AT$3,0))</f>
        <v>0</v>
      </c>
      <c r="BV10" s="64">
        <v>0</v>
      </c>
      <c r="BW10" s="64">
        <v>0</v>
      </c>
    </row>
    <row r="11" spans="1:75" s="46" customFormat="1" ht="11.25" customHeight="1" x14ac:dyDescent="0.2">
      <c r="A11" s="39"/>
      <c r="B11" s="39" t="str">
        <f>Processes!B11</f>
        <v>ETCLEKOMA-E</v>
      </c>
      <c r="C11" s="39" t="str">
        <f>Processes!C11</f>
        <v>KOMATI</v>
      </c>
      <c r="D11" s="52" t="str">
        <f t="shared" si="5"/>
        <v>PWRCLEKOMA</v>
      </c>
      <c r="E11" s="39" t="s">
        <v>132</v>
      </c>
      <c r="F11" s="46" t="str">
        <f t="shared" si="8"/>
        <v>PWRCLEKOMA</v>
      </c>
      <c r="G11" s="48"/>
      <c r="H11" s="48">
        <f>INDEX('eskom production 2009-YTD'!$Q$35:$Q$62,MATCH(C11,'eskom production 2009-YTD'!$A$35:$A$62,0))</f>
        <v>0.24202040664976729</v>
      </c>
      <c r="I11" s="48"/>
      <c r="J11" s="48">
        <f>INDEX(ElecBY!$S$82:$S$103,MATCH(B11,ElecBY!$D$82:$D$103,0))</f>
        <v>9.1726233509550532</v>
      </c>
      <c r="K11" s="48">
        <f>INDEX(ElecBY!$O$82:$O$103,MATCH(B11,ElecBY!$D$82:$D$103,0))</f>
        <v>382.23410486132718</v>
      </c>
      <c r="L11" s="48">
        <f>INDEX(ElecBY!$K$82:$K$103,MATCH(B11,ElecBY!$D$82:$D$103,0))</f>
        <v>7331.1230131582843</v>
      </c>
      <c r="M11" s="59">
        <v>30</v>
      </c>
      <c r="N11" s="39">
        <v>31.536000000000001</v>
      </c>
      <c r="O11" s="39">
        <v>1</v>
      </c>
      <c r="P11" s="46">
        <v>5</v>
      </c>
      <c r="Q11" s="46">
        <v>0</v>
      </c>
      <c r="R11" s="61">
        <f>INDEX('eskom production 2009-YTD'!$J$100:$AB$115,MATCH($C11,'eskom production 2009-YTD'!$A$100:$A$115,0),MATCH(R$5,'eskom production 2009-YTD'!$J$65:$AB$65,0))</f>
        <v>0.59229473702440127</v>
      </c>
      <c r="S11" s="61">
        <f>INDEX('eskom production 2009-YTD'!$J$100:$AB$115,MATCH($C11,'eskom production 2009-YTD'!$A$100:$A$115,0),MATCH(S$5,'eskom production 2009-YTD'!$J$65:$AB$65,0))</f>
        <v>0.33923410885870708</v>
      </c>
      <c r="T11" s="61">
        <f>S11*HistoricalDispatch!$B$5/HistoricalDispatch!$B$4</f>
        <v>0.34219613596496345</v>
      </c>
      <c r="U11" s="61">
        <f>T11*HistoricalDispatch!$B$6/HistoricalDispatch!$B$5</f>
        <v>0.32786956692377073</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0.87390000000000001</v>
      </c>
      <c r="Y11" s="61">
        <f>INDEX('eskom production 2009-YTD'!$J$100:$AB$115,MATCH($C11,'eskom production 2009-YTD'!$A$100:$A$115,0),MATCH(Y$5,'eskom production 2009-YTD'!$J$65:$AB$65,0))</f>
        <v>0</v>
      </c>
      <c r="Z11" s="61">
        <f>INDEX('eskom production 2009-YTD'!$J$100:$AB$115,MATCH($C11,'eskom production 2009-YTD'!$A$100:$A$115,0),MATCH(Z$5,'eskom production 2009-YTD'!$J$65:$AB$65,0))</f>
        <v>0</v>
      </c>
      <c r="AA11" s="61">
        <f>INDEX('eskom production 2009-YTD'!$J$100:$AB$115,MATCH($C11,'eskom production 2009-YTD'!$A$100:$A$115,0),MATCH(AA$5,'eskom production 2009-YTD'!$J$65:$AB$65,0))</f>
        <v>0</v>
      </c>
      <c r="AB11" s="61">
        <f>INDEX('eskom production 2009-YTD'!$J$100:$AB$115,MATCH($C11,'eskom production 2009-YTD'!$A$100:$A$115,0),MATCH(AB$5,'eskom production 2009-YTD'!$J$65:$AB$65,0))</f>
        <v>0</v>
      </c>
      <c r="AC11" s="61">
        <f>INDEX('eskom production 2009-YTD'!$J$100:$AB$115,MATCH($C11,'eskom production 2009-YTD'!$A$100:$A$115,0),MATCH(AC$5,'eskom production 2009-YTD'!$J$65:$AB$65,0))</f>
        <v>0</v>
      </c>
      <c r="AD11" s="61">
        <f>INDEX('eskom production 2009-YTD'!$J$100:$AB$115,MATCH($C11,'eskom production 2009-YTD'!$A$100:$A$115,0),MATCH(AD$5,'eskom production 2009-YTD'!$J$65:$AB$65,0))</f>
        <v>0</v>
      </c>
      <c r="AE11" s="61">
        <f>INDEX('eskom production 2009-YTD'!$J$100:$AB$115,MATCH($C11,'eskom production 2009-YTD'!$A$100:$A$115,0),MATCH(AE$5,'eskom production 2009-YTD'!$J$65:$AB$65,0))</f>
        <v>0</v>
      </c>
      <c r="AF11" s="61">
        <f>INDEX('eskom production 2009-YTD'!$J$100:$AB$115,MATCH($C11,'eskom production 2009-YTD'!$A$100:$A$115,0),MATCH(AF$5,'eskom production 2009-YTD'!$J$65:$AB$65,0))</f>
        <v>0</v>
      </c>
      <c r="AG11" s="61">
        <f t="shared" si="6"/>
        <v>0.59229473702440127</v>
      </c>
      <c r="AH11" s="61">
        <f t="shared" si="9"/>
        <v>0.33889487474984836</v>
      </c>
      <c r="AI11" s="61">
        <f t="shared" si="9"/>
        <v>0.34185393982899848</v>
      </c>
      <c r="AJ11" s="61">
        <f t="shared" si="7"/>
        <v>0.32459087125453301</v>
      </c>
      <c r="AK11" s="427">
        <v>0.05</v>
      </c>
      <c r="AL11" s="61"/>
      <c r="AM11" s="46">
        <v>277.77800000000002</v>
      </c>
      <c r="AN11" s="61">
        <f t="shared" si="10"/>
        <v>96.25</v>
      </c>
      <c r="AO11" s="61">
        <f t="shared" si="11"/>
        <v>1E-3</v>
      </c>
      <c r="AP11" s="63">
        <f t="shared" si="12"/>
        <v>1.5E-3</v>
      </c>
      <c r="AQ11" s="64">
        <f t="shared" si="13"/>
        <v>0.8675671912423536</v>
      </c>
      <c r="AR11" s="64">
        <f t="shared" si="14"/>
        <v>0.41576701555456169</v>
      </c>
      <c r="AS11" s="61">
        <f t="shared" si="15"/>
        <v>0.02</v>
      </c>
      <c r="AT11" s="61">
        <f t="shared" si="16"/>
        <v>5.0000000000000001E-3</v>
      </c>
      <c r="AU11" s="61">
        <f t="shared" si="16"/>
        <v>4.5769644752755773E-2</v>
      </c>
      <c r="AV11" s="64">
        <f>INDEX('eskom production 2009-YTD'!$J$66:$AB$80,MATCH($C11,'eskom production 2009-YTD'!$A$66:$A$80,0),MATCH(AV$5,'eskom production 2009-YTD'!$J$65:$Q$65,0))/1000</f>
        <v>0.79100000000000004</v>
      </c>
      <c r="AW11" s="64">
        <f>INDEX('eskom production 2009-YTD'!$J$66:$AB$80,MATCH($C11,'eskom production 2009-YTD'!$A$66:$A$80,0),MATCH(AW$5,'eskom production 2009-YTD'!$J$65:$Q$65,0))/1000</f>
        <v>0.90400000000000003</v>
      </c>
      <c r="AX11" s="64">
        <f>INDEX('eskom production 2009-YTD'!$J$66:$AB$80,MATCH($C11,'eskom production 2009-YTD'!$A$66:$A$80,0),MATCH(AX$5,'eskom production 2009-YTD'!$J$65:$Q$65,0))/1000</f>
        <v>0.41</v>
      </c>
      <c r="AY11" s="64">
        <f>DecomSchedule!P6</f>
        <v>0.20499999999999999</v>
      </c>
      <c r="AZ11" s="64">
        <f>DecomSchedule!Q6</f>
        <v>0.10249999999999999</v>
      </c>
      <c r="BA11" s="64">
        <f>DecomSchedule!R6</f>
        <v>0</v>
      </c>
      <c r="BB11" s="64">
        <f>DecomSchedule!S6</f>
        <v>0</v>
      </c>
      <c r="BC11" s="64">
        <f>DecomSchedule!T6</f>
        <v>0</v>
      </c>
      <c r="BD11" s="64">
        <f>DecomSchedule!U6</f>
        <v>0</v>
      </c>
      <c r="BE11" s="64">
        <f>DecomSchedule!V6</f>
        <v>0</v>
      </c>
      <c r="BF11" s="64">
        <f>DecomSchedule!W6</f>
        <v>0</v>
      </c>
      <c r="BG11" s="64">
        <f>DecomSchedule!X6</f>
        <v>0</v>
      </c>
      <c r="BH11" s="64">
        <f>DecomSchedule!Y6</f>
        <v>0</v>
      </c>
      <c r="BI11" s="64">
        <f>DecomSchedule!Z6</f>
        <v>0</v>
      </c>
      <c r="BJ11" s="64">
        <f>DecomSchedule!AA6</f>
        <v>0</v>
      </c>
      <c r="BK11" s="64">
        <f>DecomSchedule!AB6</f>
        <v>0</v>
      </c>
      <c r="BL11" s="64">
        <f>DecomSchedule!AC6</f>
        <v>0</v>
      </c>
      <c r="BM11" s="64">
        <f>DecomSchedule!AD6</f>
        <v>0</v>
      </c>
      <c r="BN11" s="64">
        <f>DecomSchedule!AE6</f>
        <v>0</v>
      </c>
      <c r="BO11" s="64">
        <f>DecomSchedule!AF6</f>
        <v>0</v>
      </c>
      <c r="BP11" s="64">
        <f>DecomSchedule!AG6</f>
        <v>0</v>
      </c>
      <c r="BQ11" s="64">
        <f>DecomSchedule!AH6</f>
        <v>0</v>
      </c>
      <c r="BR11" s="64">
        <f>DecomSchedule!AI6</f>
        <v>0</v>
      </c>
      <c r="BS11" s="64">
        <f>DecomSchedule!AJ6</f>
        <v>0</v>
      </c>
      <c r="BT11" s="64">
        <f>INDEX(DecomSchedule!$AK6:$AT6,1,MATCH(BT$5,DecomSchedule!$AK$3:$AT$3,0))</f>
        <v>0</v>
      </c>
      <c r="BU11" s="64">
        <f>INDEX(DecomSchedule!$AK6:$AT6,1,MATCH(BU$5,DecomSchedule!$AK$3:$AT$3,0))</f>
        <v>0</v>
      </c>
      <c r="BV11" s="64">
        <v>0</v>
      </c>
      <c r="BW11" s="64">
        <v>0</v>
      </c>
    </row>
    <row r="12" spans="1:75" ht="11.25" customHeight="1" x14ac:dyDescent="0.2">
      <c r="B12" s="39" t="str">
        <f>Processes!B12</f>
        <v>ETCLEARNO-E</v>
      </c>
      <c r="C12" s="39" t="str">
        <f>Processes!C12</f>
        <v>ARNOT</v>
      </c>
      <c r="D12" s="52" t="str">
        <f t="shared" si="5"/>
        <v>PWRCLEARNO</v>
      </c>
      <c r="E12" s="39" t="s">
        <v>132</v>
      </c>
      <c r="F12" s="46" t="str">
        <f t="shared" si="8"/>
        <v>PWRCLEARNO</v>
      </c>
      <c r="G12" s="48"/>
      <c r="H12" s="48">
        <f>INDEX('eskom production 2009-YTD'!$Q$35:$Q$62,MATCH(C12,'eskom production 2009-YTD'!$A$35:$A$62,0))</f>
        <v>0.31</v>
      </c>
      <c r="I12" s="48"/>
      <c r="J12" s="48">
        <f>INDEX(ElecBY!$S$82:$S$103,MATCH(B12,ElecBY!$D$82:$D$103,0))</f>
        <v>9.1726233509550532</v>
      </c>
      <c r="K12" s="48">
        <f>INDEX(ElecBY!$O$82:$O$103,MATCH(B12,ElecBY!$D$82:$D$103,0))</f>
        <v>382.23410486132724</v>
      </c>
      <c r="L12" s="48">
        <f>INDEX(ElecBY!$K$82:$K$103,MATCH(B12,ElecBY!$D$82:$D$103,0))</f>
        <v>7331.1230131582843</v>
      </c>
      <c r="M12" s="59">
        <v>30</v>
      </c>
      <c r="N12" s="39">
        <v>31.536000000000001</v>
      </c>
      <c r="O12" s="39">
        <v>1</v>
      </c>
      <c r="P12" s="46">
        <v>5</v>
      </c>
      <c r="Q12" s="46">
        <v>0</v>
      </c>
      <c r="R12" s="61">
        <f>INDEX('eskom production 2009-YTD'!$J$100:$AB$115,MATCH($C12,'eskom production 2009-YTD'!$A$100:$A$115,0),MATCH(R$5,'eskom production 2009-YTD'!$J$65:$AB$65,0))</f>
        <v>0.61122143050031918</v>
      </c>
      <c r="S12" s="61">
        <f>INDEX('eskom production 2009-YTD'!$J$100:$AB$115,MATCH($C12,'eskom production 2009-YTD'!$A$100:$A$115,0),MATCH(S$5,'eskom production 2009-YTD'!$J$65:$AB$65,0))</f>
        <v>0.52901509650216993</v>
      </c>
      <c r="T12" s="61">
        <f>S12*HistoricalDispatch!$B$5/HistoricalDispatch!$B$4</f>
        <v>0.53363419881098562</v>
      </c>
      <c r="U12" s="61">
        <f>T12*HistoricalDispatch!$B$6/HistoricalDispatch!$B$5</f>
        <v>0.51129277999148759</v>
      </c>
      <c r="V12" s="61">
        <f>INDEX('eskom production 2009-YTD'!$J$100:$AB$115,MATCH($C12,'eskom production 2009-YTD'!$A$100:$A$115,0),MATCH(V$5,'eskom production 2009-YTD'!$J$65:$AB$65,0))</f>
        <v>0.65060000000000007</v>
      </c>
      <c r="W12" s="61">
        <f>INDEX('eskom production 2009-YTD'!$J$100:$AB$115,MATCH($C12,'eskom production 2009-YTD'!$A$100:$A$115,0),MATCH(W$5,'eskom production 2009-YTD'!$J$65:$AB$65,0))</f>
        <v>0.62439999999999996</v>
      </c>
      <c r="X12" s="61">
        <f>INDEX('eskom production 2009-YTD'!$J$100:$AB$115,MATCH($C12,'eskom production 2009-YTD'!$A$100:$A$115,0),MATCH(X$5,'eskom production 2009-YTD'!$J$65:$AB$65,0))</f>
        <v>0.65359999999999996</v>
      </c>
      <c r="Y12" s="61">
        <f>INDEX('eskom production 2009-YTD'!$J$100:$AB$115,MATCH($C12,'eskom production 2009-YTD'!$A$100:$A$115,0),MATCH(Y$5,'eskom production 2009-YTD'!$J$65:$AB$65,0))</f>
        <v>0.62270000000000003</v>
      </c>
      <c r="Z12" s="61">
        <f>INDEX('eskom production 2009-YTD'!$J$100:$AB$115,MATCH($C12,'eskom production 2009-YTD'!$A$100:$A$115,0),MATCH(Z$5,'eskom production 2009-YTD'!$J$65:$AB$65,0))</f>
        <v>0.62819999999999998</v>
      </c>
      <c r="AA12" s="61">
        <f>INDEX('eskom production 2009-YTD'!$J$100:$AB$115,MATCH($C12,'eskom production 2009-YTD'!$A$100:$A$115,0),MATCH(AA$5,'eskom production 2009-YTD'!$J$65:$AB$65,0))</f>
        <v>0.65480000000000005</v>
      </c>
      <c r="AB12" s="61">
        <f>INDEX('eskom production 2009-YTD'!$J$100:$AB$115,MATCH($C12,'eskom production 2009-YTD'!$A$100:$A$115,0),MATCH(AB$5,'eskom production 2009-YTD'!$J$65:$AB$65,0))</f>
        <v>0.69370000000000009</v>
      </c>
      <c r="AC12" s="61">
        <f>INDEX('eskom production 2009-YTD'!$J$100:$AB$115,MATCH($C12,'eskom production 2009-YTD'!$A$100:$A$115,0),MATCH(AC$5,'eskom production 2009-YTD'!$J$65:$AB$65,0))</f>
        <v>0.67420000000000002</v>
      </c>
      <c r="AD12" s="61">
        <f>INDEX('eskom production 2009-YTD'!$J$100:$AB$115,MATCH($C12,'eskom production 2009-YTD'!$A$100:$A$115,0),MATCH(AD$5,'eskom production 2009-YTD'!$J$65:$AB$65,0))</f>
        <v>0.60799999999999998</v>
      </c>
      <c r="AE12" s="61">
        <f>INDEX('eskom production 2009-YTD'!$J$100:$AB$115,MATCH($C12,'eskom production 2009-YTD'!$A$100:$A$115,0),MATCH(AE$5,'eskom production 2009-YTD'!$J$65:$AB$65,0))</f>
        <v>0.5454</v>
      </c>
      <c r="AF12" s="61">
        <f>INDEX('eskom production 2009-YTD'!$J$100:$AB$115,MATCH($C12,'eskom production 2009-YTD'!$A$100:$A$115,0),MATCH(AF$5,'eskom production 2009-YTD'!$J$65:$AB$65,0))</f>
        <v>0.54579999999999995</v>
      </c>
      <c r="AG12" s="61">
        <f t="shared" si="6"/>
        <v>0.61122143050031918</v>
      </c>
      <c r="AH12" s="61">
        <f t="shared" si="9"/>
        <v>0.52848608140566777</v>
      </c>
      <c r="AI12" s="61">
        <f t="shared" si="9"/>
        <v>0.53310056461217459</v>
      </c>
      <c r="AJ12" s="61">
        <f t="shared" si="7"/>
        <v>0.50617985219157269</v>
      </c>
      <c r="AK12" s="427">
        <v>0.05</v>
      </c>
      <c r="AL12" s="61"/>
      <c r="AM12" s="46">
        <v>277.77800000000002</v>
      </c>
      <c r="AN12" s="61">
        <f t="shared" si="10"/>
        <v>96.25</v>
      </c>
      <c r="AO12" s="61">
        <f t="shared" si="11"/>
        <v>1E-3</v>
      </c>
      <c r="AP12" s="63">
        <f t="shared" si="12"/>
        <v>1.5E-3</v>
      </c>
      <c r="AQ12" s="64">
        <f t="shared" si="13"/>
        <v>0.8675671912423536</v>
      </c>
      <c r="AR12" s="64">
        <f t="shared" si="14"/>
        <v>0.41576701555456169</v>
      </c>
      <c r="AS12" s="61">
        <f t="shared" si="15"/>
        <v>0.02</v>
      </c>
      <c r="AT12" s="61">
        <f t="shared" si="16"/>
        <v>5.0000000000000001E-3</v>
      </c>
      <c r="AU12" s="61">
        <f t="shared" si="16"/>
        <v>4.5769644752755773E-2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INDEX('eskom production 2009-YTD'!$J$66:$AB$80,MATCH($C12,'eskom production 2009-YTD'!$A$66:$A$80,0),MATCH(AX$5,'eskom production 2009-YTD'!$J$65:$Q$65,0))/1000</f>
        <v>2.2320000000000002</v>
      </c>
      <c r="AY12" s="64">
        <f>DecomSchedule!P7</f>
        <v>2.2320000000000002</v>
      </c>
      <c r="AZ12" s="64">
        <f>DecomSchedule!Q7</f>
        <v>2.2320000000000002</v>
      </c>
      <c r="BA12" s="64">
        <f>DecomSchedule!R7</f>
        <v>2.2320000000000002</v>
      </c>
      <c r="BB12" s="64">
        <f>DecomSchedule!S7</f>
        <v>2.2320000000000002</v>
      </c>
      <c r="BC12" s="64">
        <f>DecomSchedule!T7</f>
        <v>2.2320000000000002</v>
      </c>
      <c r="BD12" s="64">
        <f>DecomSchedule!U7</f>
        <v>2.2320000000000002</v>
      </c>
      <c r="BE12" s="64">
        <f>DecomSchedule!V7</f>
        <v>1.488</v>
      </c>
      <c r="BF12" s="64">
        <f>DecomSchedule!W7</f>
        <v>0.74399999999999988</v>
      </c>
      <c r="BG12" s="64">
        <f>DecomSchedule!X7</f>
        <v>0.74399999999999988</v>
      </c>
      <c r="BH12" s="64">
        <f>DecomSchedule!Y7</f>
        <v>0</v>
      </c>
      <c r="BI12" s="64">
        <f>DecomSchedule!Z7</f>
        <v>0</v>
      </c>
      <c r="BJ12" s="64">
        <f>DecomSchedule!AA7</f>
        <v>0</v>
      </c>
      <c r="BK12" s="64">
        <f>DecomSchedule!AB7</f>
        <v>0</v>
      </c>
      <c r="BL12" s="64">
        <f>DecomSchedule!AC7</f>
        <v>0</v>
      </c>
      <c r="BM12" s="64">
        <f>DecomSchedule!AD7</f>
        <v>0</v>
      </c>
      <c r="BN12" s="64">
        <f>DecomSchedule!AE7</f>
        <v>0</v>
      </c>
      <c r="BO12" s="64">
        <f>DecomSchedule!AF7</f>
        <v>0</v>
      </c>
      <c r="BP12" s="64">
        <f>DecomSchedule!AG7</f>
        <v>0</v>
      </c>
      <c r="BQ12" s="64">
        <f>DecomSchedule!AH7</f>
        <v>0</v>
      </c>
      <c r="BR12" s="64">
        <f>DecomSchedule!AI7</f>
        <v>0</v>
      </c>
      <c r="BS12" s="64">
        <f>DecomSchedule!AJ7</f>
        <v>0</v>
      </c>
      <c r="BT12" s="64">
        <f>INDEX(DecomSchedule!$AK7:$AT7,1,MATCH(BT$5,DecomSchedule!$AK$3:$AT$3,0))</f>
        <v>0</v>
      </c>
      <c r="BU12" s="64">
        <f>INDEX(DecomSchedule!$AK7:$AT7,1,MATCH(BU$5,DecomSchedule!$AK$3:$AT$3,0))</f>
        <v>0</v>
      </c>
      <c r="BV12" s="64">
        <v>0</v>
      </c>
      <c r="BW12" s="64">
        <v>0</v>
      </c>
    </row>
    <row r="13" spans="1:75" ht="11.25" customHeight="1" x14ac:dyDescent="0.2">
      <c r="B13" s="39" t="str">
        <f>Processes!B13</f>
        <v>ETCLEDUVH-E</v>
      </c>
      <c r="C13" s="39" t="str">
        <f>Processes!C13</f>
        <v>DUVHA</v>
      </c>
      <c r="D13" s="52" t="str">
        <f t="shared" si="5"/>
        <v>PWRCLEDUVH</v>
      </c>
      <c r="E13" s="39" t="s">
        <v>132</v>
      </c>
      <c r="F13" s="46" t="str">
        <f t="shared" si="8"/>
        <v>PWRCLEDUVH</v>
      </c>
      <c r="G13" s="48"/>
      <c r="H13" s="48">
        <f>INDEX('eskom production 2009-YTD'!$Q$35:$Q$62,MATCH(C13,'eskom production 2009-YTD'!$A$35:$A$62,0))</f>
        <v>0.33058235797930735</v>
      </c>
      <c r="I13" s="48"/>
      <c r="J13" s="48">
        <f>INDEX(ElecBY!$S$82:$S$103,MATCH(B13,ElecBY!$D$82:$D$103,0))</f>
        <v>9.1726233509550532</v>
      </c>
      <c r="K13" s="48">
        <f>INDEX(ElecBY!$O$82:$O$103,MATCH(B13,ElecBY!$D$82:$D$103,0))</f>
        <v>382.23410486132718</v>
      </c>
      <c r="L13" s="48">
        <f>INDEX(ElecBY!$K$82:$K$103,MATCH(B13,ElecBY!$D$82:$D$103,0))</f>
        <v>7331.1230131582852</v>
      </c>
      <c r="M13" s="59">
        <v>30</v>
      </c>
      <c r="N13" s="39">
        <v>31.536000000000001</v>
      </c>
      <c r="O13" s="39">
        <v>1</v>
      </c>
      <c r="P13" s="46">
        <v>5</v>
      </c>
      <c r="Q13" s="46">
        <v>0</v>
      </c>
      <c r="R13" s="61">
        <f>INDEX('eskom production 2009-YTD'!$J$100:$AB$115,MATCH($C13,'eskom production 2009-YTD'!$A$100:$A$115,0),MATCH(R$5,'eskom production 2009-YTD'!$J$65:$AB$65,0))</f>
        <v>0.57620157501158098</v>
      </c>
      <c r="S13" s="61">
        <f>INDEX('eskom production 2009-YTD'!$J$100:$AB$115,MATCH($C13,'eskom production 2009-YTD'!$A$100:$A$115,0),MATCH(S$5,'eskom production 2009-YTD'!$J$65:$AB$65,0))</f>
        <v>0.5492283190063032</v>
      </c>
      <c r="T13" s="61">
        <f>S13*HistoricalDispatch!$B$5/HistoricalDispatch!$B$4</f>
        <v>0.55402391333463741</v>
      </c>
      <c r="U13" s="61">
        <f>T13*HistoricalDispatch!$B$6/HistoricalDispatch!$B$5</f>
        <v>0.53082884766717142</v>
      </c>
      <c r="V13" s="61">
        <f>INDEX('eskom production 2009-YTD'!$J$100:$AB$115,MATCH($C13,'eskom production 2009-YTD'!$A$100:$A$115,0),MATCH(V$5,'eskom production 2009-YTD'!$J$65:$AB$65,0))</f>
        <v>0.54479999999999995</v>
      </c>
      <c r="W13" s="61">
        <f>INDEX('eskom production 2009-YTD'!$J$100:$AB$115,MATCH($C13,'eskom production 2009-YTD'!$A$100:$A$115,0),MATCH(W$5,'eskom production 2009-YTD'!$J$65:$AB$65,0))</f>
        <v>0.49670000000000003</v>
      </c>
      <c r="X13" s="61">
        <f>INDEX('eskom production 2009-YTD'!$J$100:$AB$115,MATCH($C13,'eskom production 2009-YTD'!$A$100:$A$115,0),MATCH(X$5,'eskom production 2009-YTD'!$J$65:$AB$65,0))</f>
        <v>0.60159999999999991</v>
      </c>
      <c r="Y13" s="61">
        <f>INDEX('eskom production 2009-YTD'!$J$100:$AB$115,MATCH($C13,'eskom production 2009-YTD'!$A$100:$A$115,0),MATCH(Y$5,'eskom production 2009-YTD'!$J$65:$AB$65,0))</f>
        <v>0.56920000000000004</v>
      </c>
      <c r="Z13" s="61">
        <f>INDEX('eskom production 2009-YTD'!$J$100:$AB$115,MATCH($C13,'eskom production 2009-YTD'!$A$100:$A$115,0),MATCH(Z$5,'eskom production 2009-YTD'!$J$65:$AB$65,0))</f>
        <v>0.62819999999999998</v>
      </c>
      <c r="AA13" s="61">
        <f>INDEX('eskom production 2009-YTD'!$J$100:$AB$115,MATCH($C13,'eskom production 2009-YTD'!$A$100:$A$115,0),MATCH(AA$5,'eskom production 2009-YTD'!$J$65:$AB$65,0))</f>
        <v>0.61119999999999997</v>
      </c>
      <c r="AB13" s="61">
        <f>INDEX('eskom production 2009-YTD'!$J$100:$AB$115,MATCH($C13,'eskom production 2009-YTD'!$A$100:$A$115,0),MATCH(AB$5,'eskom production 2009-YTD'!$J$65:$AB$65,0))</f>
        <v>0.67220000000000002</v>
      </c>
      <c r="AC13" s="61">
        <f>INDEX('eskom production 2009-YTD'!$J$100:$AB$115,MATCH($C13,'eskom production 2009-YTD'!$A$100:$A$115,0),MATCH(AC$5,'eskom production 2009-YTD'!$J$65:$AB$65,0))</f>
        <v>0.63649999999999995</v>
      </c>
      <c r="AD13" s="61">
        <f>INDEX('eskom production 2009-YTD'!$J$100:$AB$115,MATCH($C13,'eskom production 2009-YTD'!$A$100:$A$115,0),MATCH(AD$5,'eskom production 2009-YTD'!$J$65:$AB$65,0))</f>
        <v>0.59439999999999993</v>
      </c>
      <c r="AE13" s="61">
        <f>INDEX('eskom production 2009-YTD'!$J$100:$AB$115,MATCH($C13,'eskom production 2009-YTD'!$A$100:$A$115,0),MATCH(AE$5,'eskom production 2009-YTD'!$J$65:$AB$65,0))</f>
        <v>0.60909999999999997</v>
      </c>
      <c r="AF13" s="61">
        <f>INDEX('eskom production 2009-YTD'!$J$100:$AB$115,MATCH($C13,'eskom production 2009-YTD'!$A$100:$A$115,0),MATCH(AF$5,'eskom production 2009-YTD'!$J$65:$AB$65,0))</f>
        <v>0.60209999999999997</v>
      </c>
      <c r="AG13" s="61">
        <f t="shared" si="6"/>
        <v>0.57620157501158098</v>
      </c>
      <c r="AH13" s="61">
        <f t="shared" si="9"/>
        <v>0.54867909068729692</v>
      </c>
      <c r="AI13" s="61">
        <f t="shared" si="9"/>
        <v>0.55346988942130282</v>
      </c>
      <c r="AJ13" s="61">
        <f t="shared" si="7"/>
        <v>0.52552055919049967</v>
      </c>
      <c r="AK13" s="427">
        <v>0.05</v>
      </c>
      <c r="AL13" s="61"/>
      <c r="AM13" s="46">
        <v>277.77800000000002</v>
      </c>
      <c r="AN13" s="61">
        <f t="shared" si="10"/>
        <v>96.25</v>
      </c>
      <c r="AO13" s="61">
        <f t="shared" si="11"/>
        <v>1E-3</v>
      </c>
      <c r="AP13" s="63">
        <f t="shared" si="12"/>
        <v>1.5E-3</v>
      </c>
      <c r="AQ13" s="64">
        <f t="shared" si="13"/>
        <v>0.8675671912423536</v>
      </c>
      <c r="AR13" s="64">
        <f t="shared" si="14"/>
        <v>0.41576701555456169</v>
      </c>
      <c r="AS13" s="61">
        <f t="shared" si="15"/>
        <v>0.02</v>
      </c>
      <c r="AT13" s="61">
        <f t="shared" si="16"/>
        <v>5.0000000000000001E-3</v>
      </c>
      <c r="AU13" s="61">
        <f t="shared" si="16"/>
        <v>4.5769644752755773E-2</v>
      </c>
      <c r="AV13" s="64">
        <f>INDEX('eskom production 2009-YTD'!$J$66:$AB$80,MATCH($C13,'eskom production 2009-YTD'!$A$66:$A$80,0),MATCH(AV$5,'eskom production 2009-YTD'!$J$65:$Q$65,0))/1000</f>
        <v>3.45</v>
      </c>
      <c r="AW13" s="64">
        <f>INDEX('eskom production 2009-YTD'!$J$66:$AB$80,MATCH($C13,'eskom production 2009-YTD'!$A$66:$A$80,0),MATCH(AW$5,'eskom production 2009-YTD'!$J$65:$Q$65,0))/1000</f>
        <v>2.875</v>
      </c>
      <c r="AX13" s="64">
        <f>INDEX('eskom production 2009-YTD'!$J$66:$AB$80,MATCH($C13,'eskom production 2009-YTD'!$A$66:$A$80,0),MATCH(AX$5,'eskom production 2009-YTD'!$J$65:$Q$65,0))/1000</f>
        <v>2.875</v>
      </c>
      <c r="AY13" s="64">
        <f>DecomSchedule!P8</f>
        <v>2.875</v>
      </c>
      <c r="AZ13" s="64">
        <f>DecomSchedule!Q8</f>
        <v>2.875</v>
      </c>
      <c r="BA13" s="64">
        <f>DecomSchedule!R8</f>
        <v>2.875</v>
      </c>
      <c r="BB13" s="64">
        <f>DecomSchedule!S8</f>
        <v>2.875</v>
      </c>
      <c r="BC13" s="64">
        <f>DecomSchedule!T8</f>
        <v>2.875</v>
      </c>
      <c r="BD13" s="64">
        <f>DecomSchedule!U8</f>
        <v>2.875</v>
      </c>
      <c r="BE13" s="64">
        <f>DecomSchedule!V8</f>
        <v>2.875</v>
      </c>
      <c r="BF13" s="64">
        <f>DecomSchedule!W8</f>
        <v>2.875</v>
      </c>
      <c r="BG13" s="64">
        <f>DecomSchedule!X8</f>
        <v>2.875</v>
      </c>
      <c r="BH13" s="64">
        <f>DecomSchedule!Y8</f>
        <v>2.875</v>
      </c>
      <c r="BI13" s="64">
        <f>DecomSchedule!Z8</f>
        <v>2.875</v>
      </c>
      <c r="BJ13" s="64">
        <f>DecomSchedule!AA8</f>
        <v>1.7250000000000001</v>
      </c>
      <c r="BK13" s="64">
        <f>DecomSchedule!AB8</f>
        <v>1.7250000000000001</v>
      </c>
      <c r="BL13" s="64">
        <f>DecomSchedule!AC8</f>
        <v>0.57500000000000018</v>
      </c>
      <c r="BM13" s="64">
        <f>DecomSchedule!AD8</f>
        <v>0</v>
      </c>
      <c r="BN13" s="64">
        <f>DecomSchedule!AE8</f>
        <v>0</v>
      </c>
      <c r="BO13" s="64">
        <f>DecomSchedule!AF8</f>
        <v>0</v>
      </c>
      <c r="BP13" s="64">
        <f>DecomSchedule!AG8</f>
        <v>0</v>
      </c>
      <c r="BQ13" s="64">
        <f>DecomSchedule!AH8</f>
        <v>0</v>
      </c>
      <c r="BR13" s="64">
        <f>DecomSchedule!AI8</f>
        <v>0</v>
      </c>
      <c r="BS13" s="64">
        <f>DecomSchedule!AJ8</f>
        <v>0</v>
      </c>
      <c r="BT13" s="64">
        <f>INDEX(DecomSchedule!$AK8:$AT8,1,MATCH(BT$5,DecomSchedule!$AK$3:$AT$3,0))</f>
        <v>0</v>
      </c>
      <c r="BU13" s="64">
        <f>INDEX(DecomSchedule!$AK8:$AT8,1,MATCH(BU$5,DecomSchedule!$AK$3:$AT$3,0))</f>
        <v>0</v>
      </c>
      <c r="BV13" s="64">
        <v>0</v>
      </c>
      <c r="BW13" s="64">
        <v>0</v>
      </c>
    </row>
    <row r="14" spans="1:75" ht="11.25" customHeight="1" x14ac:dyDescent="0.2">
      <c r="B14" s="39" t="str">
        <f>Processes!B14</f>
        <v>ETCLEHEND-E</v>
      </c>
      <c r="C14" s="39" t="str">
        <f>Processes!C14</f>
        <v>HENDRINA</v>
      </c>
      <c r="D14" s="52" t="str">
        <f t="shared" si="5"/>
        <v>PWRCLEHEND</v>
      </c>
      <c r="E14" s="39" t="s">
        <v>132</v>
      </c>
      <c r="F14" s="46" t="str">
        <f t="shared" si="8"/>
        <v>PWRCLEHEND</v>
      </c>
      <c r="G14" s="48"/>
      <c r="H14" s="48">
        <f>INDEX('eskom production 2009-YTD'!$Q$35:$Q$62,MATCH(C14,'eskom production 2009-YTD'!$A$35:$A$62,0))</f>
        <v>0.26887733443497819</v>
      </c>
      <c r="I14" s="48"/>
      <c r="J14" s="48">
        <f>INDEX(ElecBY!$S$82:$S$103,MATCH(B14,ElecBY!$D$82:$D$103,0))</f>
        <v>9.1726233509550532</v>
      </c>
      <c r="K14" s="48">
        <f>INDEX(ElecBY!$O$82:$O$103,MATCH(B14,ElecBY!$D$82:$D$103,0))</f>
        <v>382.23410486132724</v>
      </c>
      <c r="L14" s="48">
        <f>INDEX(ElecBY!$K$82:$K$103,MATCH(B14,ElecBY!$D$82:$D$103,0))</f>
        <v>7331.1230131582852</v>
      </c>
      <c r="M14" s="59">
        <v>30</v>
      </c>
      <c r="N14" s="39">
        <v>31.536000000000001</v>
      </c>
      <c r="O14" s="39">
        <v>1</v>
      </c>
      <c r="P14" s="46">
        <v>5</v>
      </c>
      <c r="Q14" s="46">
        <v>0</v>
      </c>
      <c r="R14" s="61">
        <f>INDEX('eskom production 2009-YTD'!$J$100:$AB$115,MATCH($C14,'eskom production 2009-YTD'!$A$100:$A$115,0),MATCH(R$5,'eskom production 2009-YTD'!$J$65:$AB$65,0))</f>
        <v>0.58083642440045535</v>
      </c>
      <c r="S14" s="61">
        <f>INDEX('eskom production 2009-YTD'!$J$100:$AB$115,MATCH($C14,'eskom production 2009-YTD'!$A$100:$A$115,0),MATCH(S$5,'eskom production 2009-YTD'!$J$65:$AB$65,0))</f>
        <v>0.55583709036115203</v>
      </c>
      <c r="T14" s="61">
        <f>S14*HistoricalDispatch!$B$5/HistoricalDispatch!$B$4</f>
        <v>0.56069038926394066</v>
      </c>
      <c r="U14" s="61">
        <f>T14*HistoricalDispatch!$B$6/HistoricalDispatch!$B$5</f>
        <v>0.53721622129921087</v>
      </c>
      <c r="V14" s="61">
        <f>INDEX('eskom production 2009-YTD'!$J$100:$AB$115,MATCH($C14,'eskom production 2009-YTD'!$A$100:$A$115,0),MATCH(V$5,'eskom production 2009-YTD'!$J$65:$AB$65,0))</f>
        <v>0.60929999999999995</v>
      </c>
      <c r="W14" s="61">
        <f>INDEX('eskom production 2009-YTD'!$J$100:$AB$115,MATCH($C14,'eskom production 2009-YTD'!$A$100:$A$115,0),MATCH(W$5,'eskom production 2009-YTD'!$J$65:$AB$65,0))</f>
        <v>0.55959999999999999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0.69349999999999989</v>
      </c>
      <c r="AB14" s="61">
        <f>INDEX('eskom production 2009-YTD'!$J$100:$AB$115,MATCH($C14,'eskom production 2009-YTD'!$A$100:$A$115,0),MATCH(AB$5,'eskom production 2009-YTD'!$J$65:$AB$65,0))</f>
        <v>0</v>
      </c>
      <c r="AC14" s="61">
        <f>INDEX('eskom production 2009-YTD'!$J$100:$AB$115,MATCH($C14,'eskom production 2009-YTD'!$A$100:$A$115,0),MATCH(AC$5,'eskom production 2009-YTD'!$J$65:$AB$65,0))</f>
        <v>0</v>
      </c>
      <c r="AD14" s="61">
        <f>INDEX('eskom production 2009-YTD'!$J$100:$AB$115,MATCH($C14,'eskom production 2009-YTD'!$A$100:$A$115,0),MATCH(AD$5,'eskom production 2009-YTD'!$J$65:$AB$65,0))</f>
        <v>0</v>
      </c>
      <c r="AE14" s="61">
        <f>INDEX('eskom production 2009-YTD'!$J$100:$AB$115,MATCH($C14,'eskom production 2009-YTD'!$A$100:$A$115,0),MATCH(AE$5,'eskom production 2009-YTD'!$J$65:$AB$65,0))</f>
        <v>0</v>
      </c>
      <c r="AF14" s="61">
        <f>INDEX('eskom production 2009-YTD'!$J$100:$AB$115,MATCH($C14,'eskom production 2009-YTD'!$A$100:$A$115,0),MATCH(AF$5,'eskom production 2009-YTD'!$J$65:$AB$65,0))</f>
        <v>0</v>
      </c>
      <c r="AG14" s="61">
        <f t="shared" si="6"/>
        <v>0.58083642440045535</v>
      </c>
      <c r="AH14" s="61">
        <f t="shared" si="9"/>
        <v>0.55528125327079092</v>
      </c>
      <c r="AI14" s="61">
        <f t="shared" si="9"/>
        <v>0.56012969887467667</v>
      </c>
      <c r="AJ14" s="61">
        <f t="shared" si="7"/>
        <v>0.53184405908621879</v>
      </c>
      <c r="AK14" s="427">
        <v>0.05</v>
      </c>
      <c r="AL14" s="61"/>
      <c r="AM14" s="46">
        <v>277.77800000000002</v>
      </c>
      <c r="AN14" s="61">
        <f t="shared" si="10"/>
        <v>96.25</v>
      </c>
      <c r="AO14" s="61">
        <f t="shared" si="11"/>
        <v>1E-3</v>
      </c>
      <c r="AP14" s="63">
        <f t="shared" si="12"/>
        <v>1.5E-3</v>
      </c>
      <c r="AQ14" s="64">
        <f t="shared" si="13"/>
        <v>0.8675671912423536</v>
      </c>
      <c r="AR14" s="64">
        <f t="shared" si="14"/>
        <v>0.41576701555456169</v>
      </c>
      <c r="AS14" s="61">
        <f t="shared" si="15"/>
        <v>0.02</v>
      </c>
      <c r="AT14" s="61">
        <f t="shared" si="16"/>
        <v>5.0000000000000001E-3</v>
      </c>
      <c r="AU14" s="61">
        <f t="shared" si="16"/>
        <v>4.5769644752755773E-2</v>
      </c>
      <c r="AV14" s="64">
        <f>INDEX('eskom production 2009-YTD'!$J$66:$AB$80,MATCH($C14,'eskom production 2009-YTD'!$A$66:$A$80,0),MATCH(AV$5,'eskom production 2009-YTD'!$J$65:$Q$65,0))/1000</f>
        <v>1.865</v>
      </c>
      <c r="AW14" s="64">
        <f>INDEX('eskom production 2009-YTD'!$J$66:$AB$80,MATCH($C14,'eskom production 2009-YTD'!$A$66:$A$80,0),MATCH(AW$5,'eskom production 2009-YTD'!$J$65:$Q$65,0))/1000</f>
        <v>1.6379999999999999</v>
      </c>
      <c r="AX14" s="64">
        <f>INDEX('eskom production 2009-YTD'!$J$66:$AB$80,MATCH($C14,'eskom production 2009-YTD'!$A$66:$A$80,0),MATCH(AX$5,'eskom production 2009-YTD'!$J$65:$Q$65,0))/1000</f>
        <v>1.2929999999999999</v>
      </c>
      <c r="AY14" s="64">
        <f>DecomSchedule!P9</f>
        <v>1.2929999999999999</v>
      </c>
      <c r="AZ14" s="64">
        <f>DecomSchedule!Q9</f>
        <v>1.1082857142857143</v>
      </c>
      <c r="BA14" s="64">
        <f>DecomSchedule!R9</f>
        <v>1.1082857142857143</v>
      </c>
      <c r="BB14" s="64">
        <f>DecomSchedule!S9</f>
        <v>0.9235714285714286</v>
      </c>
      <c r="BC14" s="64">
        <f>DecomSchedule!T9</f>
        <v>0.73885714285714288</v>
      </c>
      <c r="BD14" s="64">
        <f>DecomSchedule!U9</f>
        <v>0</v>
      </c>
      <c r="BE14" s="64">
        <f>DecomSchedule!V9</f>
        <v>0</v>
      </c>
      <c r="BF14" s="64">
        <f>DecomSchedule!W9</f>
        <v>0</v>
      </c>
      <c r="BG14" s="64">
        <f>DecomSchedule!X9</f>
        <v>0</v>
      </c>
      <c r="BH14" s="64">
        <f>DecomSchedule!Y9</f>
        <v>0</v>
      </c>
      <c r="BI14" s="64">
        <f>DecomSchedule!Z9</f>
        <v>0</v>
      </c>
      <c r="BJ14" s="64">
        <f>DecomSchedule!AA9</f>
        <v>0</v>
      </c>
      <c r="BK14" s="64">
        <f>DecomSchedule!AB9</f>
        <v>0</v>
      </c>
      <c r="BL14" s="64">
        <f>DecomSchedule!AC9</f>
        <v>0</v>
      </c>
      <c r="BM14" s="64">
        <f>DecomSchedule!AD9</f>
        <v>0</v>
      </c>
      <c r="BN14" s="64">
        <f>DecomSchedule!AE9</f>
        <v>0</v>
      </c>
      <c r="BO14" s="64">
        <f>DecomSchedule!AF9</f>
        <v>0</v>
      </c>
      <c r="BP14" s="64">
        <f>DecomSchedule!AG9</f>
        <v>0</v>
      </c>
      <c r="BQ14" s="64">
        <f>DecomSchedule!AH9</f>
        <v>0</v>
      </c>
      <c r="BR14" s="64">
        <f>DecomSchedule!AI9</f>
        <v>0</v>
      </c>
      <c r="BS14" s="64">
        <f>DecomSchedule!AJ9</f>
        <v>0</v>
      </c>
      <c r="BT14" s="64">
        <f>INDEX(DecomSchedule!$AK9:$AT9,1,MATCH(BT$5,DecomSchedule!$AK$3:$AT$3,0))</f>
        <v>0</v>
      </c>
      <c r="BU14" s="64">
        <f>INDEX(DecomSchedule!$AK9:$AT9,1,MATCH(BU$5,DecomSchedule!$AK$3:$AT$3,0))</f>
        <v>0</v>
      </c>
      <c r="BV14" s="64">
        <v>0</v>
      </c>
      <c r="BW14" s="64">
        <v>0</v>
      </c>
    </row>
    <row r="15" spans="1:75" ht="11.25" customHeight="1" x14ac:dyDescent="0.2">
      <c r="B15" s="39" t="str">
        <f>Processes!B15</f>
        <v>ETCLEKEND-E</v>
      </c>
      <c r="C15" s="39" t="str">
        <f>Processes!C15</f>
        <v>KENDAL</v>
      </c>
      <c r="D15" s="52" t="str">
        <f t="shared" si="5"/>
        <v>PWRCLEKEND</v>
      </c>
      <c r="E15" s="39" t="s">
        <v>132</v>
      </c>
      <c r="F15" s="46" t="str">
        <f t="shared" si="8"/>
        <v>PWRCLEKEND</v>
      </c>
      <c r="G15" s="48"/>
      <c r="H15" s="48">
        <f>INDEX('eskom production 2009-YTD'!$Q$35:$Q$62,MATCH(C15,'eskom production 2009-YTD'!$A$35:$A$62,0))</f>
        <v>0.32453714221152569</v>
      </c>
      <c r="I15" s="48"/>
      <c r="J15" s="48">
        <f>INDEX(ElecBY!$S$82:$S$103,MATCH(B15,ElecBY!$D$82:$D$103,0))</f>
        <v>9.1726233509550532</v>
      </c>
      <c r="K15" s="48">
        <f>INDEX(ElecBY!$O$82:$O$103,MATCH(B15,ElecBY!$D$82:$D$103,0))</f>
        <v>382.23410486132724</v>
      </c>
      <c r="L15" s="48">
        <f>INDEX(ElecBY!$K$82:$K$103,MATCH(B15,ElecBY!$D$82:$D$103,0))</f>
        <v>7331.1230131582834</v>
      </c>
      <c r="M15" s="59">
        <v>30</v>
      </c>
      <c r="N15" s="39">
        <v>31.536000000000001</v>
      </c>
      <c r="O15" s="39">
        <v>1</v>
      </c>
      <c r="P15" s="46">
        <v>5</v>
      </c>
      <c r="Q15" s="46">
        <v>0</v>
      </c>
      <c r="R15" s="61">
        <f>INDEX('eskom production 2009-YTD'!$J$100:$AB$115,MATCH($C15,'eskom production 2009-YTD'!$A$100:$A$115,0),MATCH(R$5,'eskom production 2009-YTD'!$J$65:$AB$65,0))</f>
        <v>0.7788275601693303</v>
      </c>
      <c r="S15" s="61">
        <f>INDEX('eskom production 2009-YTD'!$J$100:$AB$115,MATCH($C15,'eskom production 2009-YTD'!$A$100:$A$115,0),MATCH(S$5,'eskom production 2009-YTD'!$J$65:$AB$65,0))</f>
        <v>0.7392028286823541</v>
      </c>
      <c r="T15" s="61">
        <f>S15*HistoricalDispatch!$B$5/HistoricalDispatch!$B$4</f>
        <v>0.7456571879534335</v>
      </c>
      <c r="U15" s="61">
        <f>T15*HistoricalDispatch!$B$6/HistoricalDispatch!$B$5</f>
        <v>0.71443909966569696</v>
      </c>
      <c r="V15" s="61">
        <f>INDEX('eskom production 2009-YTD'!$J$100:$AB$115,MATCH($C15,'eskom production 2009-YTD'!$A$100:$A$115,0),MATCH(V$5,'eskom production 2009-YTD'!$J$65:$AB$65,0))</f>
        <v>0.69099999999999995</v>
      </c>
      <c r="W15" s="61">
        <f>INDEX('eskom production 2009-YTD'!$J$100:$AB$115,MATCH($C15,'eskom production 2009-YTD'!$A$100:$A$115,0),MATCH(W$5,'eskom production 2009-YTD'!$J$65:$AB$65,0))</f>
        <v>0.71340000000000003</v>
      </c>
      <c r="X15" s="61">
        <f>INDEX('eskom production 2009-YTD'!$J$100:$AB$115,MATCH($C15,'eskom production 2009-YTD'!$A$100:$A$115,0),MATCH(X$5,'eskom production 2009-YTD'!$J$65:$AB$65,0))</f>
        <v>0.65469999999999995</v>
      </c>
      <c r="Y15" s="61">
        <f>INDEX('eskom production 2009-YTD'!$J$100:$AB$115,MATCH($C15,'eskom production 2009-YTD'!$A$100:$A$115,0),MATCH(Y$5,'eskom production 2009-YTD'!$J$65:$AB$65,0))</f>
        <v>0.73170000000000002</v>
      </c>
      <c r="Z15" s="61">
        <f>INDEX('eskom production 2009-YTD'!$J$100:$AB$115,MATCH($C15,'eskom production 2009-YTD'!$A$100:$A$115,0),MATCH(Z$5,'eskom production 2009-YTD'!$J$65:$AB$65,0))</f>
        <v>0.69030000000000002</v>
      </c>
      <c r="AA15" s="61">
        <f>INDEX('eskom production 2009-YTD'!$J$100:$AB$115,MATCH($C15,'eskom production 2009-YTD'!$A$100:$A$115,0),MATCH(AA$5,'eskom production 2009-YTD'!$J$65:$AB$65,0))</f>
        <v>0.74140000000000006</v>
      </c>
      <c r="AB15" s="61">
        <f>INDEX('eskom production 2009-YTD'!$J$100:$AB$115,MATCH($C15,'eskom production 2009-YTD'!$A$100:$A$115,0),MATCH(AB$5,'eskom production 2009-YTD'!$J$65:$AB$65,0))</f>
        <v>0.75360000000000005</v>
      </c>
      <c r="AC15" s="61">
        <f>INDEX('eskom production 2009-YTD'!$J$100:$AB$115,MATCH($C15,'eskom production 2009-YTD'!$A$100:$A$115,0),MATCH(AC$5,'eskom production 2009-YTD'!$J$65:$AB$65,0))</f>
        <v>0.69409999999999994</v>
      </c>
      <c r="AD15" s="61">
        <f>INDEX('eskom production 2009-YTD'!$J$100:$AB$115,MATCH($C15,'eskom production 2009-YTD'!$A$100:$A$115,0),MATCH(AD$5,'eskom production 2009-YTD'!$J$65:$AB$65,0))</f>
        <v>0.79330000000000001</v>
      </c>
      <c r="AE15" s="61">
        <f>INDEX('eskom production 2009-YTD'!$J$100:$AB$115,MATCH($C15,'eskom production 2009-YTD'!$A$100:$A$115,0),MATCH(AE$5,'eskom production 2009-YTD'!$J$65:$AB$65,0))</f>
        <v>0.73640000000000005</v>
      </c>
      <c r="AF15" s="61">
        <f>INDEX('eskom production 2009-YTD'!$J$100:$AB$115,MATCH($C15,'eskom production 2009-YTD'!$A$100:$A$115,0),MATCH(AF$5,'eskom production 2009-YTD'!$J$65:$AB$65,0))</f>
        <v>0.72939999999999994</v>
      </c>
      <c r="AG15" s="61">
        <f t="shared" si="6"/>
        <v>0.7788275601693303</v>
      </c>
      <c r="AH15" s="61">
        <f t="shared" si="9"/>
        <v>0.73846362585367176</v>
      </c>
      <c r="AI15" s="61">
        <f t="shared" si="9"/>
        <v>0.74491153076548011</v>
      </c>
      <c r="AJ15" s="61">
        <f t="shared" si="7"/>
        <v>0.70729470866903998</v>
      </c>
      <c r="AK15" s="427">
        <v>0.05</v>
      </c>
      <c r="AL15" s="61"/>
      <c r="AM15" s="46">
        <v>277.77800000000002</v>
      </c>
      <c r="AN15" s="61">
        <f t="shared" si="10"/>
        <v>96.25</v>
      </c>
      <c r="AO15" s="61">
        <f t="shared" si="11"/>
        <v>1E-3</v>
      </c>
      <c r="AP15" s="63">
        <f t="shared" si="12"/>
        <v>1.5E-3</v>
      </c>
      <c r="AQ15" s="64">
        <f t="shared" si="13"/>
        <v>0.8675671912423536</v>
      </c>
      <c r="AR15" s="64">
        <f t="shared" si="14"/>
        <v>0.41576701555456169</v>
      </c>
      <c r="AS15" s="61">
        <f t="shared" si="15"/>
        <v>0.02</v>
      </c>
      <c r="AT15" s="61">
        <f t="shared" si="16"/>
        <v>5.0000000000000001E-3</v>
      </c>
      <c r="AU15" s="61">
        <f t="shared" si="16"/>
        <v>4.5769644752755773E-2</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INDEX('eskom production 2009-YTD'!$J$66:$AB$80,MATCH($C15,'eskom production 2009-YTD'!$A$66:$A$80,0),MATCH(AX$5,'eskom production 2009-YTD'!$J$65:$Q$65,0))/1000</f>
        <v>3.84</v>
      </c>
      <c r="AY15" s="64">
        <f>DecomSchedule!P10</f>
        <v>3.84</v>
      </c>
      <c r="AZ15" s="64">
        <f>DecomSchedule!Q10</f>
        <v>3.84</v>
      </c>
      <c r="BA15" s="64">
        <f>DecomSchedule!R10</f>
        <v>3.84</v>
      </c>
      <c r="BB15" s="64">
        <f>DecomSchedule!S10</f>
        <v>3.84</v>
      </c>
      <c r="BC15" s="64">
        <f>DecomSchedule!T10</f>
        <v>3.84</v>
      </c>
      <c r="BD15" s="64">
        <f>DecomSchedule!U10</f>
        <v>3.84</v>
      </c>
      <c r="BE15" s="64">
        <f>DecomSchedule!V10</f>
        <v>3.84</v>
      </c>
      <c r="BF15" s="64">
        <f>DecomSchedule!W10</f>
        <v>3.84</v>
      </c>
      <c r="BG15" s="64">
        <f>DecomSchedule!X10</f>
        <v>3.84</v>
      </c>
      <c r="BH15" s="64">
        <f>DecomSchedule!Y10</f>
        <v>3.84</v>
      </c>
      <c r="BI15" s="64">
        <f>DecomSchedule!Z10</f>
        <v>3.84</v>
      </c>
      <c r="BJ15" s="64">
        <f>DecomSchedule!AA10</f>
        <v>3.84</v>
      </c>
      <c r="BK15" s="64">
        <f>DecomSchedule!AB10</f>
        <v>3.84</v>
      </c>
      <c r="BL15" s="64">
        <f>DecomSchedule!AC10</f>
        <v>3.84</v>
      </c>
      <c r="BM15" s="64">
        <f>DecomSchedule!AD10</f>
        <v>3.84</v>
      </c>
      <c r="BN15" s="64">
        <f>DecomSchedule!AE10</f>
        <v>3.84</v>
      </c>
      <c r="BO15" s="64">
        <f>DecomSchedule!AF10</f>
        <v>3.84</v>
      </c>
      <c r="BP15" s="64">
        <f>DecomSchedule!AG10</f>
        <v>3.84</v>
      </c>
      <c r="BQ15" s="64">
        <f>DecomSchedule!AH10</f>
        <v>3.84</v>
      </c>
      <c r="BR15" s="64">
        <f>DecomSchedule!AI10</f>
        <v>3.1999999999999997</v>
      </c>
      <c r="BS15" s="64">
        <f>DecomSchedule!AJ10</f>
        <v>3.1999999999999997</v>
      </c>
      <c r="BT15" s="64">
        <f>INDEX(DecomSchedule!$AK10:$AT10,1,MATCH(BT$5,DecomSchedule!$AK$3:$AT$3,0))</f>
        <v>0</v>
      </c>
      <c r="BU15" s="64">
        <f>INDEX(DecomSchedule!$AK10:$AT10,1,MATCH(BU$5,DecomSchedule!$AK$3:$AT$3,0))</f>
        <v>0</v>
      </c>
      <c r="BV15" s="64">
        <v>0</v>
      </c>
      <c r="BW15" s="64">
        <v>0</v>
      </c>
    </row>
    <row r="16" spans="1:75" ht="11.25" customHeight="1" x14ac:dyDescent="0.2">
      <c r="B16" s="39" t="str">
        <f>Processes!B16</f>
        <v>ETCLEKRIE-E</v>
      </c>
      <c r="C16" s="39" t="str">
        <f>Processes!C16</f>
        <v>KRIEL</v>
      </c>
      <c r="D16" s="52" t="str">
        <f t="shared" si="5"/>
        <v>PWRCLEKRIE</v>
      </c>
      <c r="E16" s="39" t="s">
        <v>132</v>
      </c>
      <c r="F16" s="46" t="str">
        <f t="shared" si="8"/>
        <v>PWRCLEKRIE</v>
      </c>
      <c r="G16" s="48"/>
      <c r="H16" s="48">
        <f>INDEX('eskom production 2009-YTD'!$Q$35:$Q$62,MATCH(C16,'eskom production 2009-YTD'!$A$35:$A$62,0))</f>
        <v>0.31292646716362432</v>
      </c>
      <c r="I16" s="48"/>
      <c r="J16" s="48">
        <f>INDEX(ElecBY!$S$82:$S$103,MATCH(B16,ElecBY!$D$82:$D$103,0))</f>
        <v>9.1726233509550532</v>
      </c>
      <c r="K16" s="48">
        <f>INDEX(ElecBY!$O$82:$O$103,MATCH(B16,ElecBY!$D$82:$D$103,0))</f>
        <v>382.23410486132724</v>
      </c>
      <c r="L16" s="48">
        <f>INDEX(ElecBY!$K$82:$K$103,MATCH(B16,ElecBY!$D$82:$D$103,0))</f>
        <v>7331.1230131582852</v>
      </c>
      <c r="M16" s="59">
        <v>30</v>
      </c>
      <c r="N16" s="39">
        <v>31.536000000000001</v>
      </c>
      <c r="O16" s="39">
        <v>1</v>
      </c>
      <c r="P16" s="46">
        <v>5</v>
      </c>
      <c r="Q16" s="46">
        <v>0</v>
      </c>
      <c r="R16" s="61">
        <f>INDEX('eskom production 2009-YTD'!$J$100:$AB$115,MATCH($C16,'eskom production 2009-YTD'!$A$100:$A$115,0),MATCH(R$5,'eskom production 2009-YTD'!$J$65:$AB$65,0))</f>
        <v>0.66373023311703916</v>
      </c>
      <c r="S16" s="61">
        <f>INDEX('eskom production 2009-YTD'!$J$100:$AB$115,MATCH($C16,'eskom production 2009-YTD'!$A$100:$A$115,0),MATCH(S$5,'eskom production 2009-YTD'!$J$65:$AB$65,0))</f>
        <v>0.51428303219089555</v>
      </c>
      <c r="T16" s="61">
        <f>S16*HistoricalDispatch!$B$5/HistoricalDispatch!$B$4</f>
        <v>0.51877350128541588</v>
      </c>
      <c r="U16" s="61">
        <f>T16*HistoricalDispatch!$B$6/HistoricalDispatch!$B$5</f>
        <v>0.4970542484892132</v>
      </c>
      <c r="V16" s="61">
        <f>INDEX('eskom production 2009-YTD'!$J$100:$AB$115,MATCH($C16,'eskom production 2009-YTD'!$A$100:$A$115,0),MATCH(V$5,'eskom production 2009-YTD'!$J$65:$AB$65,0))</f>
        <v>0.54100000000000004</v>
      </c>
      <c r="W16" s="61">
        <f>INDEX('eskom production 2009-YTD'!$J$100:$AB$115,MATCH($C16,'eskom production 2009-YTD'!$A$100:$A$115,0),MATCH(W$5,'eskom production 2009-YTD'!$J$65:$AB$65,0))</f>
        <v>0.63419999999999999</v>
      </c>
      <c r="X16" s="61">
        <f>INDEX('eskom production 2009-YTD'!$J$100:$AB$115,MATCH($C16,'eskom production 2009-YTD'!$A$100:$A$115,0),MATCH(X$5,'eskom production 2009-YTD'!$J$65:$AB$65,0))</f>
        <v>0.54630000000000001</v>
      </c>
      <c r="Y16" s="61">
        <f>INDEX('eskom production 2009-YTD'!$J$100:$AB$115,MATCH($C16,'eskom production 2009-YTD'!$A$100:$A$115,0),MATCH(Y$5,'eskom production 2009-YTD'!$J$65:$AB$65,0))</f>
        <v>0.51390000000000002</v>
      </c>
      <c r="Z16" s="61">
        <f>INDEX('eskom production 2009-YTD'!$J$100:$AB$115,MATCH($C16,'eskom production 2009-YTD'!$A$100:$A$115,0),MATCH(Z$5,'eskom production 2009-YTD'!$J$65:$AB$65,0))</f>
        <v>0.65200000000000002</v>
      </c>
      <c r="AA16" s="61">
        <f>INDEX('eskom production 2009-YTD'!$J$100:$AB$115,MATCH($C16,'eskom production 2009-YTD'!$A$100:$A$115,0),MATCH(AA$5,'eskom production 2009-YTD'!$J$65:$AB$65,0))</f>
        <v>0.64439999999999997</v>
      </c>
      <c r="AB16" s="61">
        <f>INDEX('eskom production 2009-YTD'!$J$100:$AB$115,MATCH($C16,'eskom production 2009-YTD'!$A$100:$A$115,0),MATCH(AB$5,'eskom production 2009-YTD'!$J$65:$AB$65,0))</f>
        <v>0.65390000000000004</v>
      </c>
      <c r="AC16" s="61">
        <f>INDEX('eskom production 2009-YTD'!$J$100:$AB$115,MATCH($C16,'eskom production 2009-YTD'!$A$100:$A$115,0),MATCH(AC$5,'eskom production 2009-YTD'!$J$65:$AB$65,0))</f>
        <v>0.68889999999999996</v>
      </c>
      <c r="AD16" s="61">
        <f>INDEX('eskom production 2009-YTD'!$J$100:$AB$115,MATCH($C16,'eskom production 2009-YTD'!$A$100:$A$115,0),MATCH(AD$5,'eskom production 2009-YTD'!$J$65:$AB$65,0))</f>
        <v>0.51119999999999999</v>
      </c>
      <c r="AE16" s="61">
        <f>INDEX('eskom production 2009-YTD'!$J$100:$AB$115,MATCH($C16,'eskom production 2009-YTD'!$A$100:$A$115,0),MATCH(AE$5,'eskom production 2009-YTD'!$J$65:$AB$65,0))</f>
        <v>0.60539999999999994</v>
      </c>
      <c r="AF16" s="61">
        <f>INDEX('eskom production 2009-YTD'!$J$100:$AB$115,MATCH($C16,'eskom production 2009-YTD'!$A$100:$A$115,0),MATCH(AF$5,'eskom production 2009-YTD'!$J$65:$AB$65,0))</f>
        <v>0.64150000000000007</v>
      </c>
      <c r="AG16" s="61">
        <f t="shared" si="6"/>
        <v>0.66373023311703916</v>
      </c>
      <c r="AH16" s="61">
        <f t="shared" si="9"/>
        <v>0.51376874915870463</v>
      </c>
      <c r="AI16" s="61">
        <f t="shared" si="9"/>
        <v>0.51825472778413051</v>
      </c>
      <c r="AJ16" s="61">
        <f t="shared" si="7"/>
        <v>0.49208370600432105</v>
      </c>
      <c r="AK16" s="427">
        <v>0.05</v>
      </c>
      <c r="AL16" s="61"/>
      <c r="AM16" s="46">
        <v>277.77800000000002</v>
      </c>
      <c r="AN16" s="61">
        <f t="shared" si="10"/>
        <v>96.25</v>
      </c>
      <c r="AO16" s="61">
        <f t="shared" si="11"/>
        <v>1E-3</v>
      </c>
      <c r="AP16" s="63">
        <f t="shared" si="12"/>
        <v>1.5E-3</v>
      </c>
      <c r="AQ16" s="64">
        <f t="shared" si="13"/>
        <v>0.8675671912423536</v>
      </c>
      <c r="AR16" s="64">
        <f t="shared" si="14"/>
        <v>0.41576701555456169</v>
      </c>
      <c r="AS16" s="61">
        <f t="shared" si="15"/>
        <v>0.02</v>
      </c>
      <c r="AT16" s="61">
        <f t="shared" si="16"/>
        <v>5.0000000000000001E-3</v>
      </c>
      <c r="AU16" s="61">
        <f t="shared" si="16"/>
        <v>4.5769644752755773E-2</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INDEX('eskom production 2009-YTD'!$J$66:$AB$80,MATCH($C16,'eskom production 2009-YTD'!$A$66:$A$80,0),MATCH(AX$5,'eskom production 2009-YTD'!$J$65:$Q$65,0))/1000</f>
        <v>2.85</v>
      </c>
      <c r="AY16" s="64">
        <f>DecomSchedule!P11</f>
        <v>2.85</v>
      </c>
      <c r="AZ16" s="64">
        <f>DecomSchedule!Q11</f>
        <v>2.85</v>
      </c>
      <c r="BA16" s="64">
        <f>DecomSchedule!R11</f>
        <v>2.85</v>
      </c>
      <c r="BB16" s="64">
        <f>DecomSchedule!S11</f>
        <v>2.85</v>
      </c>
      <c r="BC16" s="64">
        <f>DecomSchedule!T11</f>
        <v>2.85</v>
      </c>
      <c r="BD16" s="64">
        <f>DecomSchedule!U11</f>
        <v>2.85</v>
      </c>
      <c r="BE16" s="64">
        <f>DecomSchedule!V11</f>
        <v>2.375</v>
      </c>
      <c r="BF16" s="64">
        <f>DecomSchedule!W11</f>
        <v>1.9</v>
      </c>
      <c r="BG16" s="64">
        <f>DecomSchedule!X11</f>
        <v>1.4249999999999998</v>
      </c>
      <c r="BH16" s="64">
        <f>DecomSchedule!Y11</f>
        <v>0.47499999999999976</v>
      </c>
      <c r="BI16" s="64">
        <f>DecomSchedule!Z11</f>
        <v>0</v>
      </c>
      <c r="BJ16" s="64">
        <f>DecomSchedule!AA11</f>
        <v>0</v>
      </c>
      <c r="BK16" s="64">
        <f>DecomSchedule!AB11</f>
        <v>0</v>
      </c>
      <c r="BL16" s="64">
        <f>DecomSchedule!AC11</f>
        <v>0</v>
      </c>
      <c r="BM16" s="64">
        <f>DecomSchedule!AD11</f>
        <v>0</v>
      </c>
      <c r="BN16" s="64">
        <f>DecomSchedule!AE11</f>
        <v>0</v>
      </c>
      <c r="BO16" s="64">
        <f>DecomSchedule!AF11</f>
        <v>0</v>
      </c>
      <c r="BP16" s="64">
        <f>DecomSchedule!AG11</f>
        <v>0</v>
      </c>
      <c r="BQ16" s="64">
        <f>DecomSchedule!AH11</f>
        <v>0</v>
      </c>
      <c r="BR16" s="64">
        <f>DecomSchedule!AI11</f>
        <v>0</v>
      </c>
      <c r="BS16" s="64">
        <f>DecomSchedule!AJ11</f>
        <v>0</v>
      </c>
      <c r="BT16" s="64">
        <f>INDEX(DecomSchedule!$AK11:$AT11,1,MATCH(BT$5,DecomSchedule!$AK$3:$AT$3,0))</f>
        <v>0</v>
      </c>
      <c r="BU16" s="64">
        <f>INDEX(DecomSchedule!$AK11:$AT11,1,MATCH(BU$5,DecomSchedule!$AK$3:$AT$3,0))</f>
        <v>0</v>
      </c>
      <c r="BV16" s="64">
        <v>0</v>
      </c>
      <c r="BW16" s="64">
        <v>0</v>
      </c>
    </row>
    <row r="17" spans="1:75" ht="11.25" customHeight="1" x14ac:dyDescent="0.2">
      <c r="B17" s="39" t="str">
        <f>Processes!B17</f>
        <v>ETCLELETH-E</v>
      </c>
      <c r="C17" s="39" t="str">
        <f>Processes!C17</f>
        <v>LETHABO</v>
      </c>
      <c r="D17" s="52" t="str">
        <f t="shared" si="5"/>
        <v>PWRCLELETH</v>
      </c>
      <c r="E17" s="39" t="s">
        <v>132</v>
      </c>
      <c r="F17" s="46" t="str">
        <f t="shared" si="8"/>
        <v>PWRCLELETH</v>
      </c>
      <c r="G17" s="48"/>
      <c r="H17" s="48">
        <f>INDEX('eskom production 2009-YTD'!$Q$35:$Q$62,MATCH(C17,'eskom production 2009-YTD'!$A$35:$A$62,0))</f>
        <v>0.34</v>
      </c>
      <c r="I17" s="48"/>
      <c r="J17" s="48">
        <f>INDEX(ElecBY!$S$82:$S$103,MATCH(B17,ElecBY!$D$82:$D$103,0))</f>
        <v>9.1726233509550532</v>
      </c>
      <c r="K17" s="48">
        <f>INDEX(ElecBY!$O$82:$O$103,MATCH(B17,ElecBY!$D$82:$D$103,0))</f>
        <v>382.23410486132718</v>
      </c>
      <c r="L17" s="48">
        <f>INDEX(ElecBY!$K$82:$K$103,MATCH(B17,ElecBY!$D$82:$D$103,0))</f>
        <v>7331.1230131582861</v>
      </c>
      <c r="M17" s="59">
        <v>30</v>
      </c>
      <c r="N17" s="39">
        <v>31.536000000000001</v>
      </c>
      <c r="O17" s="39">
        <v>1</v>
      </c>
      <c r="P17" s="46">
        <v>5</v>
      </c>
      <c r="Q17" s="46">
        <v>0</v>
      </c>
      <c r="R17" s="61">
        <f>INDEX('eskom production 2009-YTD'!$J$100:$AB$115,MATCH($C17,'eskom production 2009-YTD'!$A$100:$A$115,0),MATCH(R$5,'eskom production 2009-YTD'!$J$65:$AB$65,0))</f>
        <v>0.72125732480152771</v>
      </c>
      <c r="S17" s="61">
        <f>INDEX('eskom production 2009-YTD'!$J$100:$AB$115,MATCH($C17,'eskom production 2009-YTD'!$A$100:$A$115,0),MATCH(S$5,'eskom production 2009-YTD'!$J$65:$AB$65,0))</f>
        <v>0.61629073285527491</v>
      </c>
      <c r="T17" s="61">
        <f>S17*HistoricalDispatch!$B$5/HistoricalDispatch!$B$4</f>
        <v>0.62167188353671265</v>
      </c>
      <c r="U17" s="61">
        <f>T17*HistoricalDispatch!$B$6/HistoricalDispatch!$B$5</f>
        <v>0.59564463125538081</v>
      </c>
      <c r="V17" s="61">
        <f>INDEX('eskom production 2009-YTD'!$J$100:$AB$115,MATCH($C17,'eskom production 2009-YTD'!$A$100:$A$115,0),MATCH(V$5,'eskom production 2009-YTD'!$J$65:$AB$65,0))</f>
        <v>0.73980000000000001</v>
      </c>
      <c r="W17" s="61">
        <f>INDEX('eskom production 2009-YTD'!$J$100:$AB$115,MATCH($C17,'eskom production 2009-YTD'!$A$100:$A$115,0),MATCH(W$5,'eskom production 2009-YTD'!$J$65:$AB$65,0))</f>
        <v>0.7238</v>
      </c>
      <c r="X17" s="61">
        <f>INDEX('eskom production 2009-YTD'!$J$100:$AB$115,MATCH($C17,'eskom production 2009-YTD'!$A$100:$A$115,0),MATCH(X$5,'eskom production 2009-YTD'!$J$65:$AB$65,0))</f>
        <v>0.75609999999999999</v>
      </c>
      <c r="Y17" s="61">
        <f>INDEX('eskom production 2009-YTD'!$J$100:$AB$115,MATCH($C17,'eskom production 2009-YTD'!$A$100:$A$115,0),MATCH(Y$5,'eskom production 2009-YTD'!$J$65:$AB$65,0))</f>
        <v>0.71</v>
      </c>
      <c r="Z17" s="61">
        <f>INDEX('eskom production 2009-YTD'!$J$100:$AB$115,MATCH($C17,'eskom production 2009-YTD'!$A$100:$A$115,0),MATCH(Z$5,'eskom production 2009-YTD'!$J$65:$AB$65,0))</f>
        <v>0.70409999999999995</v>
      </c>
      <c r="AA17" s="61">
        <f>INDEX('eskom production 2009-YTD'!$J$100:$AB$115,MATCH($C17,'eskom production 2009-YTD'!$A$100:$A$115,0),MATCH(AA$5,'eskom production 2009-YTD'!$J$65:$AB$65,0))</f>
        <v>0.74879999999999991</v>
      </c>
      <c r="AB17" s="61">
        <f>INDEX('eskom production 2009-YTD'!$J$100:$AB$115,MATCH($C17,'eskom production 2009-YTD'!$A$100:$A$115,0),MATCH(AB$5,'eskom production 2009-YTD'!$J$65:$AB$65,0))</f>
        <v>0.68469999999999998</v>
      </c>
      <c r="AC17" s="61">
        <f>INDEX('eskom production 2009-YTD'!$J$100:$AB$115,MATCH($C17,'eskom production 2009-YTD'!$A$100:$A$115,0),MATCH(AC$5,'eskom production 2009-YTD'!$J$65:$AB$65,0))</f>
        <v>0.67909999999999993</v>
      </c>
      <c r="AD17" s="61">
        <f>INDEX('eskom production 2009-YTD'!$J$100:$AB$115,MATCH($C17,'eskom production 2009-YTD'!$A$100:$A$115,0),MATCH(AD$5,'eskom production 2009-YTD'!$J$65:$AB$65,0))</f>
        <v>0.68819999999999992</v>
      </c>
      <c r="AE17" s="61">
        <f>INDEX('eskom production 2009-YTD'!$J$100:$AB$115,MATCH($C17,'eskom production 2009-YTD'!$A$100:$A$115,0),MATCH(AE$5,'eskom production 2009-YTD'!$J$65:$AB$65,0))</f>
        <v>0.74060000000000004</v>
      </c>
      <c r="AF17" s="61">
        <f>INDEX('eskom production 2009-YTD'!$J$100:$AB$115,MATCH($C17,'eskom production 2009-YTD'!$A$100:$A$115,0),MATCH(AF$5,'eskom production 2009-YTD'!$J$65:$AB$65,0))</f>
        <v>0.73360000000000003</v>
      </c>
      <c r="AG17" s="61">
        <f t="shared" si="6"/>
        <v>0.72125732480152771</v>
      </c>
      <c r="AH17" s="61">
        <f t="shared" si="9"/>
        <v>0.61567444212241962</v>
      </c>
      <c r="AI17" s="61">
        <f t="shared" si="9"/>
        <v>0.62105021165317598</v>
      </c>
      <c r="AJ17" s="61">
        <f t="shared" si="7"/>
        <v>0.58968818494282704</v>
      </c>
      <c r="AK17" s="427">
        <v>0.05</v>
      </c>
      <c r="AL17" s="61"/>
      <c r="AM17" s="46">
        <v>277.77800000000002</v>
      </c>
      <c r="AN17" s="61">
        <f t="shared" si="10"/>
        <v>96.25</v>
      </c>
      <c r="AO17" s="61">
        <f t="shared" si="11"/>
        <v>1E-3</v>
      </c>
      <c r="AP17" s="63">
        <f t="shared" si="12"/>
        <v>1.5E-3</v>
      </c>
      <c r="AQ17" s="64">
        <f t="shared" si="13"/>
        <v>0.8675671912423536</v>
      </c>
      <c r="AR17" s="64">
        <f t="shared" si="14"/>
        <v>0.41576701555456169</v>
      </c>
      <c r="AS17" s="61">
        <f t="shared" si="15"/>
        <v>0.02</v>
      </c>
      <c r="AT17" s="61">
        <f t="shared" si="16"/>
        <v>5.0000000000000001E-3</v>
      </c>
      <c r="AU17" s="61">
        <f t="shared" si="16"/>
        <v>4.5769644752755773E-2</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INDEX('eskom production 2009-YTD'!$J$66:$AB$80,MATCH($C17,'eskom production 2009-YTD'!$A$66:$A$80,0),MATCH(AX$5,'eskom production 2009-YTD'!$J$65:$Q$65,0))/1000</f>
        <v>3.5579999999999998</v>
      </c>
      <c r="AY17" s="64">
        <f>DecomSchedule!P12</f>
        <v>3.5579999999999998</v>
      </c>
      <c r="AZ17" s="64">
        <f>DecomSchedule!Q12</f>
        <v>3.5579999999999998</v>
      </c>
      <c r="BA17" s="64">
        <f>DecomSchedule!R12</f>
        <v>3.5579999999999998</v>
      </c>
      <c r="BB17" s="64">
        <f>DecomSchedule!S12</f>
        <v>3.5579999999999998</v>
      </c>
      <c r="BC17" s="64">
        <f>DecomSchedule!T12</f>
        <v>3.5579999999999998</v>
      </c>
      <c r="BD17" s="64">
        <f>DecomSchedule!U12</f>
        <v>3.5579999999999998</v>
      </c>
      <c r="BE17" s="64">
        <f>DecomSchedule!V12</f>
        <v>3.5579999999999998</v>
      </c>
      <c r="BF17" s="64">
        <f>DecomSchedule!W12</f>
        <v>3.5579999999999998</v>
      </c>
      <c r="BG17" s="64">
        <f>DecomSchedule!X12</f>
        <v>3.5579999999999998</v>
      </c>
      <c r="BH17" s="64">
        <f>DecomSchedule!Y12</f>
        <v>3.5579999999999998</v>
      </c>
      <c r="BI17" s="64">
        <f>DecomSchedule!Z12</f>
        <v>3.5579999999999998</v>
      </c>
      <c r="BJ17" s="64">
        <f>DecomSchedule!AA12</f>
        <v>3.5579999999999998</v>
      </c>
      <c r="BK17" s="64">
        <f>DecomSchedule!AB12</f>
        <v>3.5579999999999998</v>
      </c>
      <c r="BL17" s="64">
        <f>DecomSchedule!AC12</f>
        <v>3.5579999999999998</v>
      </c>
      <c r="BM17" s="64">
        <f>DecomSchedule!AD12</f>
        <v>3.5579999999999998</v>
      </c>
      <c r="BN17" s="64">
        <f>DecomSchedule!AE12</f>
        <v>3.5579999999999998</v>
      </c>
      <c r="BO17" s="64">
        <f>DecomSchedule!AF12</f>
        <v>2.9649999999999999</v>
      </c>
      <c r="BP17" s="64">
        <f>DecomSchedule!AG12</f>
        <v>1.7789999999999999</v>
      </c>
      <c r="BQ17" s="64">
        <f>DecomSchedule!AH12</f>
        <v>1.1859999999999999</v>
      </c>
      <c r="BR17" s="64">
        <f>DecomSchedule!AI12</f>
        <v>1.1859999999999999</v>
      </c>
      <c r="BS17" s="64">
        <f>DecomSchedule!AJ12</f>
        <v>0.59299999999999997</v>
      </c>
      <c r="BT17" s="64">
        <f>INDEX(DecomSchedule!$AK12:$AT12,1,MATCH(BT$5,DecomSchedule!$AK$3:$AT$3,0))</f>
        <v>0</v>
      </c>
      <c r="BU17" s="64">
        <f>INDEX(DecomSchedule!$AK12:$AT12,1,MATCH(BU$5,DecomSchedule!$AK$3:$AT$3,0))</f>
        <v>0</v>
      </c>
      <c r="BV17" s="64">
        <v>0</v>
      </c>
      <c r="BW17" s="64">
        <v>0</v>
      </c>
    </row>
    <row r="18" spans="1:75" ht="11.25" customHeight="1" x14ac:dyDescent="0.2">
      <c r="B18" s="39" t="str">
        <f>Processes!B18</f>
        <v>ETCLEMAJD-E</v>
      </c>
      <c r="C18" s="39" t="str">
        <f>Processes!C18</f>
        <v>MAJUBA DRY</v>
      </c>
      <c r="D18" s="52" t="s">
        <v>347</v>
      </c>
      <c r="E18" s="39" t="s">
        <v>132</v>
      </c>
      <c r="F18" s="46" t="str">
        <f t="shared" si="8"/>
        <v>PWRCLEMAJU</v>
      </c>
      <c r="G18" s="48"/>
      <c r="H18" s="48">
        <v>0.3</v>
      </c>
      <c r="I18" s="48"/>
      <c r="J18" s="48">
        <f>INDEX(ElecBY!$S$82:$S$103,MATCH(B18,ElecBY!$D$82:$D$103,0))</f>
        <v>9.1726233509550532</v>
      </c>
      <c r="K18" s="48">
        <f>INDEX(ElecBY!$O$82:$O$103,MATCH(B18,ElecBY!$D$82:$D$103,0))</f>
        <v>382.23410486132718</v>
      </c>
      <c r="L18" s="48">
        <f>INDEX(ElecBY!$K$82:$K$103,MATCH(B18,ElecBY!$D$82:$D$103,0))</f>
        <v>7331.1230131582843</v>
      </c>
      <c r="M18" s="59">
        <v>30</v>
      </c>
      <c r="N18" s="39">
        <v>31.536000000000001</v>
      </c>
      <c r="O18" s="39">
        <v>1</v>
      </c>
      <c r="P18" s="46">
        <v>5</v>
      </c>
      <c r="Q18" s="46">
        <v>0</v>
      </c>
      <c r="R18" s="61">
        <f>INDEX('eskom production 2009-YTD'!$J$100:$AB$115,MATCH("majuba",'eskom production 2009-YTD'!$A$100:$A$115,0),MATCH(R$5,'eskom production 2009-YTD'!$J$65:$AB$65,0))</f>
        <v>0.73613454813769208</v>
      </c>
      <c r="S18" s="61">
        <f>INDEX('eskom production 2009-YTD'!$J$100:$AB$115,MATCH("majuba",'eskom production 2009-YTD'!$A$100:$A$115,0),MATCH(S$5,'eskom production 2009-YTD'!$J$65:$AB$65,0))</f>
        <v>0.69869089871477885</v>
      </c>
      <c r="T18" s="61">
        <f>S18*HistoricalDispatch!$B$5/HistoricalDispatch!$B$4</f>
        <v>0.70479152753376895</v>
      </c>
      <c r="U18" s="61">
        <f>T18*HistoricalDispatch!$B$6/HistoricalDispatch!$B$5</f>
        <v>0.67528434315137709</v>
      </c>
      <c r="V18" s="61">
        <f>INDEX('eskom production 2009-YTD'!$J$100:$AB$115,MATCH("majuba",'eskom production 2009-YTD'!$A$100:$A$115,0),MATCH(V$5,'eskom production 2009-YTD'!$J$65:$AB$65,0))</f>
        <v>0.73049999999999993</v>
      </c>
      <c r="W18" s="61">
        <f>INDEX('eskom production 2009-YTD'!$J$100:$AB$115,MATCH("majuba",'eskom production 2009-YTD'!$A$100:$A$115,0),MATCH(W$5,'eskom production 2009-YTD'!$J$65:$AB$65,0))</f>
        <v>0.74620000000000009</v>
      </c>
      <c r="X18" s="61">
        <f>INDEX('eskom production 2009-YTD'!$J$100:$AB$115,MATCH("majuba",'eskom production 2009-YTD'!$A$100:$A$115,0),MATCH(X$5,'eskom production 2009-YTD'!$J$65:$AB$65,0))</f>
        <v>0.75319999999999998</v>
      </c>
      <c r="Y18" s="61">
        <f>INDEX('eskom production 2009-YTD'!$J$100:$AB$115,MATCH("majuba",'eskom production 2009-YTD'!$A$100:$A$115,0),MATCH(Y$5,'eskom production 2009-YTD'!$J$65:$AB$65,0))</f>
        <v>0.72620000000000007</v>
      </c>
      <c r="Z18" s="61">
        <f>INDEX('eskom production 2009-YTD'!$J$100:$AB$115,MATCH("majuba",'eskom production 2009-YTD'!$A$100:$A$115,0),MATCH(Z$5,'eskom production 2009-YTD'!$J$65:$AB$65,0))</f>
        <v>0.745</v>
      </c>
      <c r="AA18" s="61">
        <f>INDEX('eskom production 2009-YTD'!$J$100:$AB$115,MATCH("majuba",'eskom production 2009-YTD'!$A$100:$A$115,0),MATCH(AA$5,'eskom production 2009-YTD'!$J$65:$AB$65,0))</f>
        <v>0.77040000000000008</v>
      </c>
      <c r="AB18" s="61">
        <f>INDEX('eskom production 2009-YTD'!$J$100:$AB$115,MATCH("majuba",'eskom production 2009-YTD'!$A$100:$A$115,0),MATCH(AB$5,'eskom production 2009-YTD'!$J$65:$AB$65,0))</f>
        <v>0.70129999999999992</v>
      </c>
      <c r="AC18" s="61">
        <f>INDEX('eskom production 2009-YTD'!$J$100:$AB$115,MATCH("majuba",'eskom production 2009-YTD'!$A$100:$A$115,0),MATCH(AC$5,'eskom production 2009-YTD'!$J$65:$AB$65,0))</f>
        <v>0.72180000000000011</v>
      </c>
      <c r="AD18" s="61">
        <f>INDEX('eskom production 2009-YTD'!$J$100:$AB$115,MATCH("majuba",'eskom production 2009-YTD'!$A$100:$A$115,0),MATCH(AD$5,'eskom production 2009-YTD'!$J$65:$AB$65,0))</f>
        <v>0.71930000000000005</v>
      </c>
      <c r="AE18" s="61">
        <f>INDEX('eskom production 2009-YTD'!$J$100:$AB$115,MATCH("majuba",'eskom production 2009-YTD'!$A$100:$A$115,0),MATCH(AE$5,'eskom production 2009-YTD'!$J$65:$AB$65,0))</f>
        <v>0.71629999999999994</v>
      </c>
      <c r="AF18" s="61">
        <f>INDEX('eskom production 2009-YTD'!$J$100:$AB$115,MATCH("majuba",'eskom production 2009-YTD'!$A$100:$A$115,0),MATCH(AF$5,'eskom production 2009-YTD'!$J$65:$AB$65,0))</f>
        <v>0.70930000000000004</v>
      </c>
      <c r="AG18" s="61">
        <f t="shared" si="6"/>
        <v>0.73613454813769208</v>
      </c>
      <c r="AH18" s="61">
        <f t="shared" si="9"/>
        <v>0.69799220781606408</v>
      </c>
      <c r="AI18" s="61">
        <f t="shared" si="9"/>
        <v>0.70408673600623517</v>
      </c>
      <c r="AJ18" s="61">
        <f t="shared" si="7"/>
        <v>0.66853149971986336</v>
      </c>
      <c r="AK18" s="427">
        <v>0.05</v>
      </c>
      <c r="AL18" s="61"/>
      <c r="AM18" s="46">
        <v>277.77800000000002</v>
      </c>
      <c r="AN18" s="61">
        <f t="shared" si="10"/>
        <v>96.25</v>
      </c>
      <c r="AO18" s="61">
        <f t="shared" si="11"/>
        <v>1E-3</v>
      </c>
      <c r="AP18" s="63">
        <f t="shared" si="12"/>
        <v>1.5E-3</v>
      </c>
      <c r="AQ18" s="64">
        <f t="shared" si="13"/>
        <v>0.8675671912423536</v>
      </c>
      <c r="AR18" s="64">
        <f t="shared" si="14"/>
        <v>0.41576701555456169</v>
      </c>
      <c r="AS18" s="61">
        <f t="shared" si="15"/>
        <v>0.02</v>
      </c>
      <c r="AT18" s="61">
        <f t="shared" si="16"/>
        <v>5.0000000000000001E-3</v>
      </c>
      <c r="AU18" s="61">
        <f t="shared" si="16"/>
        <v>4.5769644752755773E-2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INDEX('eskom production 2009-YTD'!$J$66:$AB$80,MATCH("majuba",'eskom production 2009-YTD'!$A$66:$A$80,0),MATCH(AX$5,'eskom production 2009-YTD'!$J$65:$Q$65,0))/1000-AX19</f>
        <v>1.8330000000000002</v>
      </c>
      <c r="AY18" s="64">
        <f>DecomSchedule!P13</f>
        <v>1.8330000000000002</v>
      </c>
      <c r="AZ18" s="64">
        <f>DecomSchedule!Q13</f>
        <v>1.8330000000000002</v>
      </c>
      <c r="BA18" s="64">
        <f>DecomSchedule!R13</f>
        <v>1.8330000000000002</v>
      </c>
      <c r="BB18" s="64">
        <f>DecomSchedule!S13</f>
        <v>1.8330000000000002</v>
      </c>
      <c r="BC18" s="64">
        <f>DecomSchedule!T13</f>
        <v>1.8330000000000002</v>
      </c>
      <c r="BD18" s="64">
        <f>DecomSchedule!U13</f>
        <v>1.8330000000000002</v>
      </c>
      <c r="BE18" s="64">
        <f>DecomSchedule!V13</f>
        <v>1.8330000000000002</v>
      </c>
      <c r="BF18" s="64">
        <f>DecomSchedule!W13</f>
        <v>1.8330000000000002</v>
      </c>
      <c r="BG18" s="64">
        <f>DecomSchedule!X13</f>
        <v>1.8330000000000002</v>
      </c>
      <c r="BH18" s="64">
        <f>DecomSchedule!Y13</f>
        <v>1.8330000000000002</v>
      </c>
      <c r="BI18" s="64">
        <f>DecomSchedule!Z13</f>
        <v>1.8330000000000002</v>
      </c>
      <c r="BJ18" s="64">
        <f>DecomSchedule!AA13</f>
        <v>1.8330000000000002</v>
      </c>
      <c r="BK18" s="64">
        <f>DecomSchedule!AB13</f>
        <v>1.8330000000000002</v>
      </c>
      <c r="BL18" s="64">
        <f>DecomSchedule!AC13</f>
        <v>1.8330000000000002</v>
      </c>
      <c r="BM18" s="64">
        <f>DecomSchedule!AD13</f>
        <v>1.8330000000000002</v>
      </c>
      <c r="BN18" s="64">
        <f>DecomSchedule!AE13</f>
        <v>1.8330000000000002</v>
      </c>
      <c r="BO18" s="64">
        <f>DecomSchedule!AF13</f>
        <v>1.8330000000000002</v>
      </c>
      <c r="BP18" s="64">
        <f>DecomSchedule!AG13</f>
        <v>1.8330000000000002</v>
      </c>
      <c r="BQ18" s="64">
        <f>DecomSchedule!AH13</f>
        <v>1.8330000000000002</v>
      </c>
      <c r="BR18" s="64">
        <f>DecomSchedule!AI13</f>
        <v>1.8330000000000002</v>
      </c>
      <c r="BS18" s="64">
        <f>DecomSchedule!AJ13</f>
        <v>1.8330000000000002</v>
      </c>
      <c r="BT18" s="64">
        <f>INDEX(DecomSchedule!$AK13:$AT13,1,MATCH(BT$5,DecomSchedule!$AK$3:$AT$3,0))</f>
        <v>1.8330000000000002</v>
      </c>
      <c r="BU18" s="64">
        <f>INDEX(DecomSchedule!$AK13:$AT13,1,MATCH(BU$5,DecomSchedule!$AK$3:$AT$3,0))</f>
        <v>0</v>
      </c>
      <c r="BV18" s="64">
        <v>0</v>
      </c>
      <c r="BW18" s="64">
        <v>0</v>
      </c>
    </row>
    <row r="19" spans="1:75" ht="11.25" customHeight="1" x14ac:dyDescent="0.2">
      <c r="B19" s="39" t="str">
        <f>Processes!B19</f>
        <v>ETCLEMAJW-E</v>
      </c>
      <c r="C19" s="39" t="str">
        <f>Processes!C19</f>
        <v>MAJUBA WET</v>
      </c>
      <c r="D19" s="52" t="s">
        <v>347</v>
      </c>
      <c r="E19" s="39" t="s">
        <v>132</v>
      </c>
      <c r="F19" s="46" t="str">
        <f t="shared" si="8"/>
        <v>PWRCLEMAJU</v>
      </c>
      <c r="G19" s="48"/>
      <c r="H19" s="48">
        <v>0.31</v>
      </c>
      <c r="I19" s="48"/>
      <c r="J19" s="48">
        <f>INDEX(ElecBY!$S$82:$S$103,MATCH(B19,ElecBY!$D$82:$D$103,0))</f>
        <v>9.1726233509550532</v>
      </c>
      <c r="K19" s="48">
        <f>INDEX(ElecBY!$O$82:$O$103,MATCH(B19,ElecBY!$D$82:$D$103,0))</f>
        <v>382.23410486132718</v>
      </c>
      <c r="L19" s="48">
        <f>INDEX(ElecBY!$K$82:$K$103,MATCH(B19,ElecBY!$D$82:$D$103,0))</f>
        <v>7331.1230131582852</v>
      </c>
      <c r="M19" s="59">
        <v>30</v>
      </c>
      <c r="N19" s="39">
        <v>31.536000000000001</v>
      </c>
      <c r="O19" s="39">
        <v>1</v>
      </c>
      <c r="P19" s="46">
        <v>5</v>
      </c>
      <c r="Q19" s="46">
        <v>0</v>
      </c>
      <c r="R19" s="61">
        <f>R18</f>
        <v>0.73613454813769208</v>
      </c>
      <c r="S19" s="61">
        <f>S18</f>
        <v>0.69869089871477885</v>
      </c>
      <c r="T19" s="61">
        <f>S19*HistoricalDispatch!$B$5/HistoricalDispatch!$B$4</f>
        <v>0.70479152753376895</v>
      </c>
      <c r="U19" s="61">
        <f>T19*HistoricalDispatch!$B$6/HistoricalDispatch!$B$5</f>
        <v>0.67528434315137709</v>
      </c>
      <c r="V19" s="61">
        <f t="shared" ref="V19:AF19" si="17">V18</f>
        <v>0.73049999999999993</v>
      </c>
      <c r="W19" s="61">
        <f t="shared" si="17"/>
        <v>0.74620000000000009</v>
      </c>
      <c r="X19" s="61">
        <f t="shared" si="17"/>
        <v>0.75319999999999998</v>
      </c>
      <c r="Y19" s="61">
        <f t="shared" si="17"/>
        <v>0.72620000000000007</v>
      </c>
      <c r="Z19" s="61">
        <f t="shared" si="17"/>
        <v>0.745</v>
      </c>
      <c r="AA19" s="61">
        <f t="shared" si="17"/>
        <v>0.77040000000000008</v>
      </c>
      <c r="AB19" s="61">
        <f t="shared" si="17"/>
        <v>0.70129999999999992</v>
      </c>
      <c r="AC19" s="61">
        <f t="shared" si="17"/>
        <v>0.72180000000000011</v>
      </c>
      <c r="AD19" s="61">
        <f t="shared" si="17"/>
        <v>0.71930000000000005</v>
      </c>
      <c r="AE19" s="61">
        <f t="shared" si="17"/>
        <v>0.71629999999999994</v>
      </c>
      <c r="AF19" s="61">
        <f t="shared" si="17"/>
        <v>0.70930000000000004</v>
      </c>
      <c r="AG19" s="61">
        <f t="shared" si="6"/>
        <v>0.73613454813769208</v>
      </c>
      <c r="AH19" s="61">
        <f t="shared" si="9"/>
        <v>0.69799220781606408</v>
      </c>
      <c r="AI19" s="61">
        <f t="shared" si="9"/>
        <v>0.70408673600623517</v>
      </c>
      <c r="AJ19" s="61">
        <f t="shared" si="7"/>
        <v>0.66853149971986336</v>
      </c>
      <c r="AK19" s="427">
        <v>0.05</v>
      </c>
      <c r="AL19" s="61"/>
      <c r="AM19" s="46">
        <v>277.77800000000002</v>
      </c>
      <c r="AN19" s="61">
        <f t="shared" si="10"/>
        <v>96.25</v>
      </c>
      <c r="AO19" s="61">
        <f t="shared" si="11"/>
        <v>1E-3</v>
      </c>
      <c r="AP19" s="63">
        <f t="shared" si="12"/>
        <v>1.5E-3</v>
      </c>
      <c r="AQ19" s="64">
        <f t="shared" si="13"/>
        <v>0.8675671912423536</v>
      </c>
      <c r="AR19" s="64">
        <f t="shared" si="14"/>
        <v>0.41576701555456169</v>
      </c>
      <c r="AS19" s="61">
        <f t="shared" si="15"/>
        <v>0.02</v>
      </c>
      <c r="AT19" s="61">
        <f t="shared" si="16"/>
        <v>5.0000000000000001E-3</v>
      </c>
      <c r="AU19" s="61">
        <f t="shared" si="16"/>
        <v>4.5769644752755773E-2</v>
      </c>
      <c r="AV19" s="64">
        <v>2.0099999999999998</v>
      </c>
      <c r="AW19" s="64">
        <v>2.0099999999999998</v>
      </c>
      <c r="AX19" s="64">
        <v>2.0099999999999998</v>
      </c>
      <c r="AY19" s="64">
        <f>DecomSchedule!P14</f>
        <v>2.0099999999999998</v>
      </c>
      <c r="AZ19" s="64">
        <f>DecomSchedule!Q14</f>
        <v>2.0099999999999998</v>
      </c>
      <c r="BA19" s="64">
        <f>DecomSchedule!R14</f>
        <v>2.0099999999999998</v>
      </c>
      <c r="BB19" s="64">
        <f>DecomSchedule!S14</f>
        <v>2.0099999999999998</v>
      </c>
      <c r="BC19" s="64">
        <f>DecomSchedule!T14</f>
        <v>2.0099999999999998</v>
      </c>
      <c r="BD19" s="64">
        <f>DecomSchedule!U14</f>
        <v>2.0099999999999998</v>
      </c>
      <c r="BE19" s="64">
        <f>DecomSchedule!V14</f>
        <v>2.0099999999999998</v>
      </c>
      <c r="BF19" s="64">
        <f>DecomSchedule!W14</f>
        <v>2.0099999999999998</v>
      </c>
      <c r="BG19" s="64">
        <f>DecomSchedule!X14</f>
        <v>2.0099999999999998</v>
      </c>
      <c r="BH19" s="64">
        <f>DecomSchedule!Y14</f>
        <v>2.0099999999999998</v>
      </c>
      <c r="BI19" s="64">
        <f>DecomSchedule!Z14</f>
        <v>2.0099999999999998</v>
      </c>
      <c r="BJ19" s="64">
        <f>DecomSchedule!AA14</f>
        <v>2.0099999999999998</v>
      </c>
      <c r="BK19" s="64">
        <f>DecomSchedule!AB14</f>
        <v>2.0099999999999998</v>
      </c>
      <c r="BL19" s="64">
        <f>DecomSchedule!AC14</f>
        <v>2.0099999999999998</v>
      </c>
      <c r="BM19" s="64">
        <f>DecomSchedule!AD14</f>
        <v>2.0099999999999998</v>
      </c>
      <c r="BN19" s="64">
        <f>DecomSchedule!AE14</f>
        <v>2.0099999999999998</v>
      </c>
      <c r="BO19" s="64">
        <f>DecomSchedule!AF14</f>
        <v>2.0099999999999998</v>
      </c>
      <c r="BP19" s="64">
        <f>DecomSchedule!AG14</f>
        <v>2.0099999999999998</v>
      </c>
      <c r="BQ19" s="64">
        <f>DecomSchedule!AH14</f>
        <v>2.0099999999999998</v>
      </c>
      <c r="BR19" s="64">
        <f>DecomSchedule!AI14</f>
        <v>2.0099999999999998</v>
      </c>
      <c r="BS19" s="64">
        <f>DecomSchedule!AJ14</f>
        <v>2.0099999999999998</v>
      </c>
      <c r="BT19" s="64">
        <f>INDEX(DecomSchedule!$AK14:$AT14,1,MATCH(BT$5,DecomSchedule!$AK$3:$AT$3,0))</f>
        <v>2.0099999999999998</v>
      </c>
      <c r="BU19" s="64">
        <f>INDEX(DecomSchedule!$AK14:$AT14,1,MATCH(BU$5,DecomSchedule!$AK$3:$AT$3,0))</f>
        <v>0.66999999999999993</v>
      </c>
      <c r="BV19" s="64">
        <v>0</v>
      </c>
      <c r="BW19" s="64">
        <v>0</v>
      </c>
    </row>
    <row r="20" spans="1:75" ht="11.25" customHeight="1" x14ac:dyDescent="0.2">
      <c r="B20" s="39" t="str">
        <f>Processes!B20</f>
        <v>ETCLEMATI-E</v>
      </c>
      <c r="C20" s="39" t="str">
        <f>Processes!C20</f>
        <v>MATIMBA</v>
      </c>
      <c r="D20" s="52" t="str">
        <f>"PWR"&amp;MID(B20,3,7)</f>
        <v>PWRCLEMATI</v>
      </c>
      <c r="E20" s="39" t="s">
        <v>132</v>
      </c>
      <c r="F20" s="46" t="str">
        <f t="shared" si="8"/>
        <v>PWRCLEMATI</v>
      </c>
      <c r="G20" s="48"/>
      <c r="H20" s="48">
        <f>INDEX('eskom production 2009-YTD'!$Q$35:$Q$62,MATCH(C20,'eskom production 2009-YTD'!$A$35:$A$62,0))</f>
        <v>0.34000258749678802</v>
      </c>
      <c r="I20" s="48"/>
      <c r="J20" s="48">
        <f>INDEX(ElecBY!$S$82:$S$103,MATCH(B20,ElecBY!$D$82:$D$103,0))</f>
        <v>9.1726233509550532</v>
      </c>
      <c r="K20" s="48">
        <f>INDEX(ElecBY!$O$82:$O$103,MATCH(B20,ElecBY!$D$82:$D$103,0))</f>
        <v>382.23410486132718</v>
      </c>
      <c r="L20" s="48">
        <f>INDEX(ElecBY!$K$82:$K$103,MATCH(B20,ElecBY!$D$82:$D$103,0))</f>
        <v>7331.1230131582861</v>
      </c>
      <c r="M20" s="59">
        <v>30</v>
      </c>
      <c r="N20" s="39">
        <v>31.536000000000001</v>
      </c>
      <c r="O20" s="39">
        <v>1</v>
      </c>
      <c r="P20" s="46">
        <v>5</v>
      </c>
      <c r="Q20" s="46">
        <v>0</v>
      </c>
      <c r="R20" s="61">
        <f>INDEX('eskom production 2009-YTD'!$J$100:$AB$115,MATCH($C20,'eskom production 2009-YTD'!$A$100:$A$115,0),MATCH(R$5,'eskom production 2009-YTD'!$J$65:$AB$65,0))</f>
        <v>0.82643832522800109</v>
      </c>
      <c r="S20" s="61">
        <f>INDEX('eskom production 2009-YTD'!$J$100:$AB$115,MATCH($C20,'eskom production 2009-YTD'!$A$100:$A$115,0),MATCH(S$5,'eskom production 2009-YTD'!$J$65:$AB$65,0))</f>
        <v>0.8094138159760893</v>
      </c>
      <c r="T20" s="61">
        <f>S20*HistoricalDispatch!$B$5/HistoricalDispatch!$B$4</f>
        <v>0.8164812234109301</v>
      </c>
      <c r="U20" s="61">
        <f>T20*HistoricalDispatch!$B$6/HistoricalDispatch!$B$5</f>
        <v>0.78229797763859366</v>
      </c>
      <c r="V20" s="61">
        <f>INDEX('eskom production 2009-YTD'!$J$100:$AB$115,MATCH($C20,'eskom production 2009-YTD'!$A$100:$A$115,0),MATCH(V$5,'eskom production 2009-YTD'!$J$65:$AB$65,0))</f>
        <v>0.82750000000000001</v>
      </c>
      <c r="W20" s="61">
        <f>INDEX('eskom production 2009-YTD'!$J$100:$AB$115,MATCH($C20,'eskom production 2009-YTD'!$A$100:$A$115,0),MATCH(W$5,'eskom production 2009-YTD'!$J$65:$AB$65,0))</f>
        <v>0.8014</v>
      </c>
      <c r="X20" s="61">
        <f>INDEX('eskom production 2009-YTD'!$J$100:$AB$115,MATCH($C20,'eskom production 2009-YTD'!$A$100:$A$115,0),MATCH(X$5,'eskom production 2009-YTD'!$J$65:$AB$65,0))</f>
        <v>0.81640000000000001</v>
      </c>
      <c r="Y20" s="61">
        <f>INDEX('eskom production 2009-YTD'!$J$100:$AB$115,MATCH($C20,'eskom production 2009-YTD'!$A$100:$A$115,0),MATCH(Y$5,'eskom production 2009-YTD'!$J$65:$AB$65,0))</f>
        <v>0.81120000000000003</v>
      </c>
      <c r="Z20" s="61">
        <f>INDEX('eskom production 2009-YTD'!$J$100:$AB$115,MATCH($C20,'eskom production 2009-YTD'!$A$100:$A$115,0),MATCH(Z$5,'eskom production 2009-YTD'!$J$65:$AB$65,0))</f>
        <v>0.81200000000000006</v>
      </c>
      <c r="AA20" s="61">
        <f>INDEX('eskom production 2009-YTD'!$J$100:$AB$115,MATCH($C20,'eskom production 2009-YTD'!$A$100:$A$115,0),MATCH(AA$5,'eskom production 2009-YTD'!$J$65:$AB$65,0))</f>
        <v>0.78370000000000006</v>
      </c>
      <c r="AB20" s="61">
        <f>INDEX('eskom production 2009-YTD'!$J$100:$AB$115,MATCH($C20,'eskom production 2009-YTD'!$A$100:$A$115,0),MATCH(AB$5,'eskom production 2009-YTD'!$J$65:$AB$65,0))</f>
        <v>0.79349999999999998</v>
      </c>
      <c r="AC20" s="61">
        <f>INDEX('eskom production 2009-YTD'!$J$100:$AB$115,MATCH($C20,'eskom production 2009-YTD'!$A$100:$A$115,0),MATCH(AC$5,'eskom production 2009-YTD'!$J$65:$AB$65,0))</f>
        <v>0.78790000000000004</v>
      </c>
      <c r="AD20" s="61">
        <f>INDEX('eskom production 2009-YTD'!$J$100:$AB$115,MATCH($C20,'eskom production 2009-YTD'!$A$100:$A$115,0),MATCH(AD$5,'eskom production 2009-YTD'!$J$65:$AB$65,0))</f>
        <v>0.76450000000000007</v>
      </c>
      <c r="AE20" s="61">
        <f>INDEX('eskom production 2009-YTD'!$J$100:$AB$115,MATCH($C20,'eskom production 2009-YTD'!$A$100:$A$115,0),MATCH(AE$5,'eskom production 2009-YTD'!$J$65:$AB$65,0))</f>
        <v>0.80110000000000003</v>
      </c>
      <c r="AF20" s="61">
        <f>INDEX('eskom production 2009-YTD'!$J$100:$AB$115,MATCH($C20,'eskom production 2009-YTD'!$A$100:$A$115,0),MATCH(AF$5,'eskom production 2009-YTD'!$J$65:$AB$65,0))</f>
        <v>0.79409999999999992</v>
      </c>
      <c r="AG20" s="61">
        <f t="shared" si="6"/>
        <v>0.82643832522800109</v>
      </c>
      <c r="AH20" s="61">
        <f t="shared" si="9"/>
        <v>0.8086044021601132</v>
      </c>
      <c r="AI20" s="61">
        <f t="shared" si="9"/>
        <v>0.81566474218751917</v>
      </c>
      <c r="AJ20" s="61">
        <f t="shared" si="7"/>
        <v>0.77447499786220775</v>
      </c>
      <c r="AK20" s="427">
        <v>0.05</v>
      </c>
      <c r="AL20" s="61"/>
      <c r="AM20" s="46">
        <v>277.77800000000002</v>
      </c>
      <c r="AN20" s="61">
        <f t="shared" si="10"/>
        <v>96.25</v>
      </c>
      <c r="AO20" s="61">
        <f t="shared" si="11"/>
        <v>1E-3</v>
      </c>
      <c r="AP20" s="63">
        <f t="shared" si="12"/>
        <v>1.5E-3</v>
      </c>
      <c r="AQ20" s="64">
        <f t="shared" si="13"/>
        <v>0.8675671912423536</v>
      </c>
      <c r="AR20" s="64">
        <f t="shared" si="14"/>
        <v>0.41576701555456169</v>
      </c>
      <c r="AS20" s="61">
        <f t="shared" si="15"/>
        <v>0.02</v>
      </c>
      <c r="AT20" s="61">
        <f t="shared" si="16"/>
        <v>5.0000000000000001E-3</v>
      </c>
      <c r="AU20" s="61">
        <f t="shared" si="16"/>
        <v>4.5769644752755773E-2</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INDEX('eskom production 2009-YTD'!$J$66:$AB$80,MATCH($C20,'eskom production 2009-YTD'!$A$66:$A$80,0),MATCH(AX$5,'eskom production 2009-YTD'!$J$65:$Q$65,0))/1000</f>
        <v>3.69</v>
      </c>
      <c r="AY20" s="64">
        <f>DecomSchedule!P15</f>
        <v>3.69</v>
      </c>
      <c r="AZ20" s="64">
        <f>DecomSchedule!Q15</f>
        <v>3.69</v>
      </c>
      <c r="BA20" s="64">
        <f>DecomSchedule!R15</f>
        <v>3.69</v>
      </c>
      <c r="BB20" s="64">
        <f>DecomSchedule!S15</f>
        <v>3.69</v>
      </c>
      <c r="BC20" s="64">
        <f>DecomSchedule!T15</f>
        <v>3.69</v>
      </c>
      <c r="BD20" s="64">
        <f>DecomSchedule!U15</f>
        <v>3.69</v>
      </c>
      <c r="BE20" s="64">
        <f>DecomSchedule!V15</f>
        <v>3.69</v>
      </c>
      <c r="BF20" s="64">
        <f>DecomSchedule!W15</f>
        <v>3.69</v>
      </c>
      <c r="BG20" s="64">
        <f>DecomSchedule!X15</f>
        <v>3.69</v>
      </c>
      <c r="BH20" s="64">
        <f>DecomSchedule!Y15</f>
        <v>3.69</v>
      </c>
      <c r="BI20" s="64">
        <f>DecomSchedule!Z15</f>
        <v>3.69</v>
      </c>
      <c r="BJ20" s="64">
        <f>DecomSchedule!AA15</f>
        <v>3.69</v>
      </c>
      <c r="BK20" s="64">
        <f>DecomSchedule!AB15</f>
        <v>3.69</v>
      </c>
      <c r="BL20" s="64">
        <f>DecomSchedule!AC15</f>
        <v>3.69</v>
      </c>
      <c r="BM20" s="64">
        <f>DecomSchedule!AD15</f>
        <v>3.69</v>
      </c>
      <c r="BN20" s="64">
        <f>DecomSchedule!AE15</f>
        <v>3.69</v>
      </c>
      <c r="BO20" s="64">
        <f>DecomSchedule!AF15</f>
        <v>3.69</v>
      </c>
      <c r="BP20" s="64">
        <f>DecomSchedule!AG15</f>
        <v>3.69</v>
      </c>
      <c r="BQ20" s="64">
        <f>DecomSchedule!AH15</f>
        <v>2.46</v>
      </c>
      <c r="BR20" s="64">
        <f>DecomSchedule!AI15</f>
        <v>1.845</v>
      </c>
      <c r="BS20" s="64">
        <f>DecomSchedule!AJ15</f>
        <v>1.23</v>
      </c>
      <c r="BT20" s="64">
        <f>INDEX(DecomSchedule!$AK15:$AT15,1,MATCH(BT$5,DecomSchedule!$AK$3:$AT$3,0))</f>
        <v>0</v>
      </c>
      <c r="BU20" s="64">
        <f>INDEX(DecomSchedule!$AK15:$AT15,1,MATCH(BU$5,DecomSchedule!$AK$3:$AT$3,0))</f>
        <v>0</v>
      </c>
      <c r="BV20" s="64">
        <v>0</v>
      </c>
      <c r="BW20" s="64">
        <v>0</v>
      </c>
    </row>
    <row r="21" spans="1:75" ht="11.25" customHeight="1" x14ac:dyDescent="0.2">
      <c r="B21" s="39" t="str">
        <f>Processes!B21</f>
        <v>ETCLEMATL-E</v>
      </c>
      <c r="C21" s="39" t="str">
        <f>Processes!C21</f>
        <v>MATLA</v>
      </c>
      <c r="D21" s="52" t="str">
        <f>"PWR"&amp;MID(B21,3,7)</f>
        <v>PWRCLEMATL</v>
      </c>
      <c r="E21" s="39" t="s">
        <v>132</v>
      </c>
      <c r="F21" s="46" t="str">
        <f t="shared" si="8"/>
        <v>PWRCLEMATL</v>
      </c>
      <c r="G21" s="48"/>
      <c r="H21" s="48">
        <f>INDEX('eskom production 2009-YTD'!$Q$35:$Q$62,MATCH(C21,'eskom production 2009-YTD'!$A$35:$A$62,0))</f>
        <v>0.33160382650844367</v>
      </c>
      <c r="I21" s="48"/>
      <c r="J21" s="48">
        <f>INDEX(ElecBY!$S$82:$S$103,MATCH(B21,ElecBY!$D$82:$D$103,0))</f>
        <v>9.1726233509550532</v>
      </c>
      <c r="K21" s="48">
        <f>INDEX(ElecBY!$O$82:$O$103,MATCH(B21,ElecBY!$D$82:$D$103,0))</f>
        <v>382.23410486132718</v>
      </c>
      <c r="L21" s="48">
        <f>INDEX(ElecBY!$K$82:$K$103,MATCH(B21,ElecBY!$D$82:$D$103,0))</f>
        <v>7331.1230131582852</v>
      </c>
      <c r="M21" s="59">
        <v>30</v>
      </c>
      <c r="N21" s="39">
        <v>31.536000000000001</v>
      </c>
      <c r="O21" s="39">
        <v>1</v>
      </c>
      <c r="P21" s="46">
        <v>5</v>
      </c>
      <c r="Q21" s="46">
        <v>0</v>
      </c>
      <c r="R21" s="61">
        <f>INDEX('eskom production 2009-YTD'!$J$100:$AB$115,MATCH($C21,'eskom production 2009-YTD'!$A$100:$A$115,0),MATCH(R$5,'eskom production 2009-YTD'!$J$65:$AB$65,0))</f>
        <v>0.72595096287472705</v>
      </c>
      <c r="S21" s="61">
        <f>INDEX('eskom production 2009-YTD'!$J$100:$AB$115,MATCH($C21,'eskom production 2009-YTD'!$A$100:$A$115,0),MATCH(S$5,'eskom production 2009-YTD'!$J$65:$AB$65,0))</f>
        <v>0.64697127709025493</v>
      </c>
      <c r="T21" s="61">
        <f>S21*HistoricalDispatch!$B$5/HistoricalDispatch!$B$4</f>
        <v>0.65262031534928455</v>
      </c>
      <c r="U21" s="61">
        <f>T21*HistoricalDispatch!$B$6/HistoricalDispatch!$B$5</f>
        <v>0.62529735923474272</v>
      </c>
      <c r="V21" s="61">
        <f>INDEX('eskom production 2009-YTD'!$J$100:$AB$115,MATCH($C21,'eskom production 2009-YTD'!$A$100:$A$115,0),MATCH(V$5,'eskom production 2009-YTD'!$J$65:$AB$65,0))</f>
        <v>0.67299999999999993</v>
      </c>
      <c r="W21" s="61">
        <f>INDEX('eskom production 2009-YTD'!$J$100:$AB$115,MATCH($C21,'eskom production 2009-YTD'!$A$100:$A$115,0),MATCH(W$5,'eskom production 2009-YTD'!$J$65:$AB$65,0))</f>
        <v>0.6876000000000001</v>
      </c>
      <c r="X21" s="61">
        <f>INDEX('eskom production 2009-YTD'!$J$100:$AB$115,MATCH($C21,'eskom production 2009-YTD'!$A$100:$A$115,0),MATCH(X$5,'eskom production 2009-YTD'!$J$65:$AB$65,0))</f>
        <v>0.70739999999999992</v>
      </c>
      <c r="Y21" s="61">
        <f>INDEX('eskom production 2009-YTD'!$J$100:$AB$115,MATCH($C21,'eskom production 2009-YTD'!$A$100:$A$115,0),MATCH(Y$5,'eskom production 2009-YTD'!$J$65:$AB$65,0))</f>
        <v>0.7097</v>
      </c>
      <c r="Z21" s="61">
        <f>INDEX('eskom production 2009-YTD'!$J$100:$AB$115,MATCH($C21,'eskom production 2009-YTD'!$A$100:$A$115,0),MATCH(Z$5,'eskom production 2009-YTD'!$J$65:$AB$65,0))</f>
        <v>0.69489999999999996</v>
      </c>
      <c r="AA21" s="61">
        <f>INDEX('eskom production 2009-YTD'!$J$100:$AB$115,MATCH($C21,'eskom production 2009-YTD'!$A$100:$A$115,0),MATCH(AA$5,'eskom production 2009-YTD'!$J$65:$AB$65,0))</f>
        <v>0.70530000000000004</v>
      </c>
      <c r="AB21" s="61">
        <f>INDEX('eskom production 2009-YTD'!$J$100:$AB$115,MATCH($C21,'eskom production 2009-YTD'!$A$100:$A$115,0),MATCH(AB$5,'eskom production 2009-YTD'!$J$65:$AB$65,0))</f>
        <v>0.6966</v>
      </c>
      <c r="AC21" s="61">
        <f>INDEX('eskom production 2009-YTD'!$J$100:$AB$115,MATCH($C21,'eskom production 2009-YTD'!$A$100:$A$115,0),MATCH(AC$5,'eskom production 2009-YTD'!$J$65:$AB$65,0))</f>
        <v>0.69099999999999995</v>
      </c>
      <c r="AD21" s="61">
        <f>INDEX('eskom production 2009-YTD'!$J$100:$AB$115,MATCH($C21,'eskom production 2009-YTD'!$A$100:$A$115,0),MATCH(AD$5,'eskom production 2009-YTD'!$J$65:$AB$65,0))</f>
        <v>0.75959999999999994</v>
      </c>
      <c r="AE21" s="61">
        <f>INDEX('eskom production 2009-YTD'!$J$100:$AB$115,MATCH($C21,'eskom production 2009-YTD'!$A$100:$A$115,0),MATCH(AE$5,'eskom production 2009-YTD'!$J$65:$AB$65,0))</f>
        <v>0.70369999999999999</v>
      </c>
      <c r="AF21" s="61">
        <f>INDEX('eskom production 2009-YTD'!$J$100:$AB$115,MATCH($C21,'eskom production 2009-YTD'!$A$100:$A$115,0),MATCH(AF$5,'eskom production 2009-YTD'!$J$65:$AB$65,0))</f>
        <v>0.69669999999999999</v>
      </c>
      <c r="AG21" s="61">
        <f t="shared" si="6"/>
        <v>0.72595096287472705</v>
      </c>
      <c r="AH21" s="61">
        <f t="shared" si="9"/>
        <v>0.64632430581316469</v>
      </c>
      <c r="AI21" s="61">
        <f t="shared" si="9"/>
        <v>0.65196769503393526</v>
      </c>
      <c r="AJ21" s="61">
        <f t="shared" si="7"/>
        <v>0.61904438564239528</v>
      </c>
      <c r="AK21" s="427">
        <v>0.05</v>
      </c>
      <c r="AL21" s="61"/>
      <c r="AM21" s="46">
        <v>277.77800000000002</v>
      </c>
      <c r="AN21" s="61">
        <f t="shared" si="10"/>
        <v>96.25</v>
      </c>
      <c r="AO21" s="61">
        <f t="shared" si="11"/>
        <v>1E-3</v>
      </c>
      <c r="AP21" s="63">
        <f t="shared" si="12"/>
        <v>1.5E-3</v>
      </c>
      <c r="AQ21" s="64">
        <f t="shared" si="13"/>
        <v>0.8675671912423536</v>
      </c>
      <c r="AR21" s="64">
        <f t="shared" si="14"/>
        <v>0.41576701555456169</v>
      </c>
      <c r="AS21" s="61">
        <f t="shared" si="15"/>
        <v>0.02</v>
      </c>
      <c r="AT21" s="61">
        <f t="shared" si="16"/>
        <v>5.0000000000000001E-3</v>
      </c>
      <c r="AU21" s="61">
        <f t="shared" si="16"/>
        <v>4.5769644752755773E-2</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INDEX('eskom production 2009-YTD'!$J$66:$AB$80,MATCH($C21,'eskom production 2009-YTD'!$A$66:$A$80,0),MATCH(AX$5,'eskom production 2009-YTD'!$J$65:$Q$65,0))/1000</f>
        <v>3.45</v>
      </c>
      <c r="AY21" s="64">
        <f>DecomSchedule!P16</f>
        <v>3.45</v>
      </c>
      <c r="AZ21" s="64">
        <f>DecomSchedule!Q16</f>
        <v>3.45</v>
      </c>
      <c r="BA21" s="64">
        <f>DecomSchedule!R16</f>
        <v>3.45</v>
      </c>
      <c r="BB21" s="64">
        <f>DecomSchedule!S16</f>
        <v>3.45</v>
      </c>
      <c r="BC21" s="64">
        <f>DecomSchedule!T16</f>
        <v>3.45</v>
      </c>
      <c r="BD21" s="64">
        <f>DecomSchedule!U16</f>
        <v>3.45</v>
      </c>
      <c r="BE21" s="64">
        <f>DecomSchedule!V16</f>
        <v>3.45</v>
      </c>
      <c r="BF21" s="64">
        <f>DecomSchedule!W16</f>
        <v>3.45</v>
      </c>
      <c r="BG21" s="64">
        <f>DecomSchedule!X16</f>
        <v>3.45</v>
      </c>
      <c r="BH21" s="64">
        <f>DecomSchedule!Y16</f>
        <v>3.45</v>
      </c>
      <c r="BI21" s="64">
        <f>DecomSchedule!Z16</f>
        <v>2.875</v>
      </c>
      <c r="BJ21" s="64">
        <f>DecomSchedule!AA16</f>
        <v>1.7249999999999999</v>
      </c>
      <c r="BK21" s="64">
        <f>DecomSchedule!AB16</f>
        <v>1.1499999999999999</v>
      </c>
      <c r="BL21" s="64">
        <f>DecomSchedule!AC16</f>
        <v>0.57499999999999984</v>
      </c>
      <c r="BM21" s="64">
        <f>DecomSchedule!AD16</f>
        <v>0</v>
      </c>
      <c r="BN21" s="64">
        <f>DecomSchedule!AE16</f>
        <v>0</v>
      </c>
      <c r="BO21" s="64">
        <f>DecomSchedule!AF16</f>
        <v>0</v>
      </c>
      <c r="BP21" s="64">
        <f>DecomSchedule!AG16</f>
        <v>0</v>
      </c>
      <c r="BQ21" s="64">
        <f>DecomSchedule!AH16</f>
        <v>0</v>
      </c>
      <c r="BR21" s="64">
        <f>DecomSchedule!AI16</f>
        <v>0</v>
      </c>
      <c r="BS21" s="64">
        <f>DecomSchedule!AJ16</f>
        <v>0</v>
      </c>
      <c r="BT21" s="64">
        <f>INDEX(DecomSchedule!$AK16:$AT16,1,MATCH(BT$5,DecomSchedule!$AK$3:$AT$3,0))</f>
        <v>0</v>
      </c>
      <c r="BU21" s="64">
        <f>INDEX(DecomSchedule!$AK16:$AT16,1,MATCH(BU$5,DecomSchedule!$AK$3:$AT$3,0))</f>
        <v>0</v>
      </c>
      <c r="BV21" s="64">
        <v>0</v>
      </c>
      <c r="BW21" s="64">
        <v>0</v>
      </c>
    </row>
    <row r="22" spans="1:75" ht="11.25" customHeight="1" x14ac:dyDescent="0.2">
      <c r="B22" s="39" t="str">
        <f>Processes!B22</f>
        <v>ETCLETUTU-E</v>
      </c>
      <c r="C22" s="39" t="str">
        <f>Processes!C22</f>
        <v>TUTUKA</v>
      </c>
      <c r="D22" s="52" t="str">
        <f>"PWR"&amp;MID(B22,3,7)</f>
        <v>PWRCLETUTU</v>
      </c>
      <c r="E22" s="39" t="s">
        <v>132</v>
      </c>
      <c r="F22" s="46" t="str">
        <f t="shared" si="8"/>
        <v>PWRCLETUTU</v>
      </c>
      <c r="G22" s="48"/>
      <c r="H22" s="48">
        <f>INDEX('eskom production 2009-YTD'!$Q$35:$Q$62,MATCH(C22,'eskom production 2009-YTD'!$A$35:$A$62,0))</f>
        <v>0.31090796372879914</v>
      </c>
      <c r="I22" s="48"/>
      <c r="J22" s="48">
        <f>INDEX(ElecBY!$S$82:$S$103,MATCH(B22,ElecBY!$D$82:$D$103,0))</f>
        <v>9.1726233509550532</v>
      </c>
      <c r="K22" s="48">
        <f>INDEX(ElecBY!$O$82:$O$103,MATCH(B22,ElecBY!$D$82:$D$103,0))</f>
        <v>382.23410486132718</v>
      </c>
      <c r="L22" s="48">
        <f>INDEX(ElecBY!$K$82:$K$103,MATCH(B22,ElecBY!$D$82:$D$103,0))</f>
        <v>7331.1230131582834</v>
      </c>
      <c r="M22" s="59">
        <v>30</v>
      </c>
      <c r="N22" s="39">
        <v>31.536000000000001</v>
      </c>
      <c r="O22" s="39">
        <v>1</v>
      </c>
      <c r="P22" s="46">
        <v>5</v>
      </c>
      <c r="Q22" s="46">
        <v>0</v>
      </c>
      <c r="R22" s="61">
        <f>INDEX('eskom production 2009-YTD'!$J$100:$AB$115,MATCH($C22,'eskom production 2009-YTD'!$A$100:$A$115,0),MATCH(R$5,'eskom production 2009-YTD'!$J$65:$AB$65,0))</f>
        <v>0.62790490965148504</v>
      </c>
      <c r="S22" s="61">
        <f>INDEX('eskom production 2009-YTD'!$J$100:$AB$115,MATCH($C22,'eskom production 2009-YTD'!$A$100:$A$115,0),MATCH(S$5,'eskom production 2009-YTD'!$J$65:$AB$65,0))</f>
        <v>0.5381100970535827</v>
      </c>
      <c r="T22" s="61">
        <f>S22*HistoricalDispatch!$B$5/HistoricalDispatch!$B$4</f>
        <v>0.54280861247995105</v>
      </c>
      <c r="U22" s="61">
        <f>T22*HistoricalDispatch!$B$6/HistoricalDispatch!$B$5</f>
        <v>0.52008309268143327</v>
      </c>
      <c r="V22" s="61">
        <f>INDEX('eskom production 2009-YTD'!$J$100:$AB$115,MATCH($C22,'eskom production 2009-YTD'!$A$100:$A$115,0),MATCH(V$5,'eskom production 2009-YTD'!$J$65:$AB$65,0))</f>
        <v>0.56059999999999999</v>
      </c>
      <c r="W22" s="61">
        <f>INDEX('eskom production 2009-YTD'!$J$100:$AB$115,MATCH($C22,'eskom production 2009-YTD'!$A$100:$A$115,0),MATCH(W$5,'eskom production 2009-YTD'!$J$65:$AB$65,0))</f>
        <v>0.56859999999999999</v>
      </c>
      <c r="X22" s="61">
        <f>INDEX('eskom production 2009-YTD'!$J$100:$AB$115,MATCH($C22,'eskom production 2009-YTD'!$A$100:$A$115,0),MATCH(X$5,'eskom production 2009-YTD'!$J$65:$AB$65,0))</f>
        <v>0.54049999999999998</v>
      </c>
      <c r="Y22" s="61">
        <f>INDEX('eskom production 2009-YTD'!$J$100:$AB$115,MATCH($C22,'eskom production 2009-YTD'!$A$100:$A$115,0),MATCH(Y$5,'eskom production 2009-YTD'!$J$65:$AB$65,0))</f>
        <v>0.59150000000000003</v>
      </c>
      <c r="Z22" s="61">
        <f>INDEX('eskom production 2009-YTD'!$J$100:$AB$115,MATCH($C22,'eskom production 2009-YTD'!$A$100:$A$115,0),MATCH(Z$5,'eskom production 2009-YTD'!$J$65:$AB$65,0))</f>
        <v>0.54920000000000002</v>
      </c>
      <c r="AA22" s="61">
        <f>INDEX('eskom production 2009-YTD'!$J$100:$AB$115,MATCH($C22,'eskom production 2009-YTD'!$A$100:$A$115,0),MATCH(AA$5,'eskom production 2009-YTD'!$J$65:$AB$65,0))</f>
        <v>0.61149999999999993</v>
      </c>
      <c r="AB22" s="61">
        <f>INDEX('eskom production 2009-YTD'!$J$100:$AB$115,MATCH($C22,'eskom production 2009-YTD'!$A$100:$A$115,0),MATCH(AB$5,'eskom production 2009-YTD'!$J$65:$AB$65,0))</f>
        <v>0.57840000000000003</v>
      </c>
      <c r="AC22" s="61">
        <f>INDEX('eskom production 2009-YTD'!$J$100:$AB$115,MATCH($C22,'eskom production 2009-YTD'!$A$100:$A$115,0),MATCH(AC$5,'eskom production 2009-YTD'!$J$65:$AB$65,0))</f>
        <v>0.57369999999999999</v>
      </c>
      <c r="AD22" s="61">
        <f>INDEX('eskom production 2009-YTD'!$J$100:$AB$115,MATCH($C22,'eskom production 2009-YTD'!$A$100:$A$115,0),MATCH(AD$5,'eskom production 2009-YTD'!$J$65:$AB$65,0))</f>
        <v>0.62549999999999994</v>
      </c>
      <c r="AE22" s="61">
        <f>INDEX('eskom production 2009-YTD'!$J$100:$AB$115,MATCH($C22,'eskom production 2009-YTD'!$A$100:$A$115,0),MATCH(AE$5,'eskom production 2009-YTD'!$J$65:$AB$65,0))</f>
        <v>0.58779999999999999</v>
      </c>
      <c r="AF22" s="61">
        <f>INDEX('eskom production 2009-YTD'!$J$100:$AB$115,MATCH($C22,'eskom production 2009-YTD'!$A$100:$A$115,0),MATCH(AF$5,'eskom production 2009-YTD'!$J$65:$AB$65,0))</f>
        <v>0.58030000000000004</v>
      </c>
      <c r="AG22" s="61">
        <f t="shared" si="6"/>
        <v>0.62790490965148504</v>
      </c>
      <c r="AH22" s="61">
        <f t="shared" si="9"/>
        <v>0.53757198695652908</v>
      </c>
      <c r="AI22" s="61">
        <f t="shared" si="9"/>
        <v>0.54226580386747114</v>
      </c>
      <c r="AJ22" s="61">
        <f t="shared" si="7"/>
        <v>0.51488226175461893</v>
      </c>
      <c r="AK22" s="427">
        <v>0.05</v>
      </c>
      <c r="AL22" s="61"/>
      <c r="AM22" s="46">
        <v>277.77800000000002</v>
      </c>
      <c r="AN22" s="61">
        <f t="shared" si="10"/>
        <v>96.25</v>
      </c>
      <c r="AO22" s="61">
        <f t="shared" si="11"/>
        <v>1E-3</v>
      </c>
      <c r="AP22" s="63">
        <f t="shared" si="12"/>
        <v>1.5E-3</v>
      </c>
      <c r="AQ22" s="64">
        <f t="shared" si="13"/>
        <v>0.8675671912423536</v>
      </c>
      <c r="AR22" s="64">
        <f t="shared" si="14"/>
        <v>0.41576701555456169</v>
      </c>
      <c r="AS22" s="61">
        <f t="shared" si="15"/>
        <v>0.02</v>
      </c>
      <c r="AT22" s="61">
        <f t="shared" si="16"/>
        <v>5.0000000000000001E-3</v>
      </c>
      <c r="AU22" s="61">
        <f t="shared" si="16"/>
        <v>4.5769644752755773E-2</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INDEX('eskom production 2009-YTD'!$J$66:$AB$80,MATCH($C22,'eskom production 2009-YTD'!$A$66:$A$80,0),MATCH(AX$5,'eskom production 2009-YTD'!$J$65:$Q$65,0))/1000</f>
        <v>3.51</v>
      </c>
      <c r="AY22" s="64">
        <f>DecomSchedule!P17</f>
        <v>3.51</v>
      </c>
      <c r="AZ22" s="64">
        <f>DecomSchedule!Q17</f>
        <v>3.51</v>
      </c>
      <c r="BA22" s="64">
        <f>DecomSchedule!R17</f>
        <v>3.51</v>
      </c>
      <c r="BB22" s="64">
        <f>DecomSchedule!S17</f>
        <v>3.51</v>
      </c>
      <c r="BC22" s="64">
        <f>DecomSchedule!T17</f>
        <v>3.51</v>
      </c>
      <c r="BD22" s="64">
        <f>DecomSchedule!U17</f>
        <v>3.51</v>
      </c>
      <c r="BE22" s="64">
        <f>DecomSchedule!V17</f>
        <v>3.51</v>
      </c>
      <c r="BF22" s="64">
        <f>DecomSchedule!W17</f>
        <v>3.51</v>
      </c>
      <c r="BG22" s="64">
        <f>DecomSchedule!X17</f>
        <v>3.51</v>
      </c>
      <c r="BH22" s="64">
        <f>DecomSchedule!Y17</f>
        <v>3.51</v>
      </c>
      <c r="BI22" s="64">
        <f>DecomSchedule!Z17</f>
        <v>0</v>
      </c>
      <c r="BJ22" s="64">
        <f>DecomSchedule!AA17</f>
        <v>0</v>
      </c>
      <c r="BK22" s="64">
        <f>DecomSchedule!AB17</f>
        <v>0</v>
      </c>
      <c r="BL22" s="64">
        <f>DecomSchedule!AC17</f>
        <v>0</v>
      </c>
      <c r="BM22" s="64">
        <f>DecomSchedule!AD17</f>
        <v>0</v>
      </c>
      <c r="BN22" s="64">
        <f>DecomSchedule!AE17</f>
        <v>0</v>
      </c>
      <c r="BO22" s="64">
        <f>DecomSchedule!AF17</f>
        <v>0</v>
      </c>
      <c r="BP22" s="64">
        <f>DecomSchedule!AG17</f>
        <v>0</v>
      </c>
      <c r="BQ22" s="64">
        <f>DecomSchedule!AH17</f>
        <v>0</v>
      </c>
      <c r="BR22" s="64">
        <f>DecomSchedule!AI17</f>
        <v>0</v>
      </c>
      <c r="BS22" s="64">
        <f>DecomSchedule!AJ17</f>
        <v>0</v>
      </c>
      <c r="BT22" s="64">
        <f>INDEX(DecomSchedule!$AK17:$AT17,1,MATCH(BT$5,DecomSchedule!$AK$3:$AT$3,0))</f>
        <v>0</v>
      </c>
      <c r="BU22" s="64">
        <f>INDEX(DecomSchedule!$AK17:$AT17,1,MATCH(BU$5,DecomSchedule!$AK$3:$AT$3,0))</f>
        <v>0</v>
      </c>
      <c r="BV22" s="64">
        <v>0</v>
      </c>
      <c r="BW22" s="64">
        <v>0</v>
      </c>
    </row>
    <row r="23" spans="1:75" ht="11.25" customHeight="1" x14ac:dyDescent="0.2">
      <c r="B23" s="39" t="str">
        <f>Processes!B23</f>
        <v>ETCLEKELB-E</v>
      </c>
      <c r="C23" s="39" t="str">
        <f>Processes!C23</f>
        <v>KELVIN B</v>
      </c>
      <c r="D23" s="39" t="s">
        <v>133</v>
      </c>
      <c r="E23" s="39" t="s">
        <v>132</v>
      </c>
      <c r="F23" s="46" t="str">
        <f t="shared" si="8"/>
        <v>PWRCLE</v>
      </c>
      <c r="H23" s="39">
        <v>0.249</v>
      </c>
      <c r="J23" s="48">
        <f>INDEX(ElecBY!$S$82:$S$103,MATCH(B23,ElecBY!$D$82:$D$103,0))</f>
        <v>9.1726233509550532</v>
      </c>
      <c r="K23" s="48">
        <f>INDEX(ElecBY!$O$82:$O$103,MATCH(B23,ElecBY!$D$82:$D$103,0))</f>
        <v>382.23410486132724</v>
      </c>
      <c r="L23" s="48">
        <f>INDEX(ElecBY!$K$82:$K$103,MATCH(B23,ElecBY!$D$82:$D$103,0))</f>
        <v>7331.1230131582843</v>
      </c>
      <c r="M23" s="59">
        <v>30</v>
      </c>
      <c r="N23" s="39">
        <v>31.536000000000001</v>
      </c>
      <c r="O23" s="39">
        <v>1</v>
      </c>
      <c r="P23" s="46">
        <v>5</v>
      </c>
      <c r="Q23" s="46">
        <v>0</v>
      </c>
      <c r="S23" s="61">
        <f>NERSA2018!N150</f>
        <v>0.32478976407914761</v>
      </c>
      <c r="T23" s="61"/>
      <c r="U23" s="61"/>
      <c r="AG23" s="61"/>
      <c r="AH23" s="61">
        <f t="shared" ref="AH23:AH29" si="18">S23</f>
        <v>0.32478976407914761</v>
      </c>
      <c r="AI23" s="61"/>
      <c r="AJ23" s="61"/>
      <c r="AM23" s="46">
        <v>277.77800000000002</v>
      </c>
      <c r="AN23" s="61"/>
      <c r="AO23" s="61"/>
      <c r="AP23" s="63"/>
      <c r="AQ23" s="61"/>
      <c r="AR23" s="61"/>
      <c r="AS23" s="61"/>
      <c r="AT23" s="61"/>
      <c r="AU23" s="61"/>
      <c r="AV23" s="39">
        <v>0.6</v>
      </c>
      <c r="AW23" s="39">
        <v>0.6</v>
      </c>
      <c r="AX23" s="39">
        <v>0.6</v>
      </c>
      <c r="AY23" s="39">
        <v>0.6</v>
      </c>
      <c r="AZ23" s="39">
        <v>0.6</v>
      </c>
      <c r="BA23" s="39">
        <v>0.6</v>
      </c>
      <c r="BB23" s="39">
        <v>0.6</v>
      </c>
      <c r="BC23" s="39">
        <v>0.6</v>
      </c>
      <c r="BD23" s="39">
        <v>0.6</v>
      </c>
      <c r="BE23" s="39">
        <v>0.6</v>
      </c>
      <c r="BF23" s="39">
        <v>0</v>
      </c>
    </row>
    <row r="24" spans="1:75" ht="11.25" customHeight="1" x14ac:dyDescent="0.25">
      <c r="A24" s="39" t="s">
        <v>92</v>
      </c>
      <c r="B24" s="39" t="str">
        <f>Processes!B30</f>
        <v>ETCLEPFSS-E</v>
      </c>
      <c r="C24" s="39" t="str">
        <f>Processes!C30</f>
        <v>Sasol SSF Coal Plant</v>
      </c>
      <c r="D24" s="39" t="s">
        <v>361</v>
      </c>
      <c r="E24" s="39" t="str">
        <f>IF(ProcDataTnD!U3="None","ELCC","UPSELC")</f>
        <v>UPSELC</v>
      </c>
      <c r="F24" s="46" t="str">
        <f t="shared" si="8"/>
        <v>UPSCLE</v>
      </c>
      <c r="G24" s="50">
        <v>0.25429035508469455</v>
      </c>
      <c r="H24" s="50"/>
      <c r="I24" s="50"/>
      <c r="J24" s="48">
        <f>INDEX(ElecBY!$S$82:$S$103,MATCH(B24,ElecBY!$D$82:$D$103,0))</f>
        <v>9.1726233509550532</v>
      </c>
      <c r="K24" s="48">
        <f>INDEX(ElecBY!$O$82:$O$103,MATCH(B24,ElecBY!$D$82:$D$103,0))</f>
        <v>382.23410486132724</v>
      </c>
      <c r="L24" s="48">
        <f>INDEX(ElecBY!$K$82:$K$103,MATCH(B24,ElecBY!$D$82:$D$103,0))</f>
        <v>7331.1230131582843</v>
      </c>
      <c r="M24" s="59">
        <v>30</v>
      </c>
      <c r="N24" s="39">
        <v>31.536000000000001</v>
      </c>
      <c r="O24" s="39">
        <v>0</v>
      </c>
      <c r="P24" s="46">
        <v>5</v>
      </c>
      <c r="Q24" s="46">
        <v>0</v>
      </c>
      <c r="R24" s="60"/>
      <c r="S24" s="61">
        <f>NERSA2017!P107</f>
        <v>0.73182243390231716</v>
      </c>
      <c r="T24" s="61"/>
      <c r="U24" s="61"/>
      <c r="AG24" s="61"/>
      <c r="AH24" s="61">
        <f t="shared" si="18"/>
        <v>0.73182243390231716</v>
      </c>
      <c r="AI24" s="61"/>
      <c r="AJ24" s="61"/>
      <c r="AM24" s="46">
        <v>277.77800000000002</v>
      </c>
      <c r="AN24" s="62"/>
      <c r="AO24" s="62"/>
      <c r="AP24" s="62"/>
      <c r="AQ24" s="62"/>
      <c r="AR24" s="62"/>
      <c r="AS24" s="62"/>
      <c r="AT24" s="62"/>
      <c r="AU24" s="62"/>
      <c r="AV24" s="39">
        <v>0.6</v>
      </c>
      <c r="AY24" s="46"/>
      <c r="BI24" s="39">
        <v>0</v>
      </c>
    </row>
    <row r="25" spans="1:75" ht="11.25" customHeight="1" x14ac:dyDescent="0.25">
      <c r="A25" s="39" t="s">
        <v>92</v>
      </c>
      <c r="B25" s="39" t="str">
        <f>Processes!B31</f>
        <v>ETCLEPFSI-E</v>
      </c>
      <c r="C25" s="39" t="str">
        <f>Processes!C31</f>
        <v>Sasol Infrachem Coal Plant</v>
      </c>
      <c r="D25" s="39" t="s">
        <v>360</v>
      </c>
      <c r="E25" s="39" t="str">
        <f>IF(ProcDataTnD!U3="None","ELCC","ICPELC")</f>
        <v>ICPELC</v>
      </c>
      <c r="F25" s="46" t="str">
        <f t="shared" si="8"/>
        <v>INDCLE</v>
      </c>
      <c r="G25" s="50">
        <v>0.25429035508469455</v>
      </c>
      <c r="H25" s="50"/>
      <c r="I25" s="50"/>
      <c r="J25" s="48">
        <f>INDEX(ElecBY!$S$82:$S$103,MATCH(B25,ElecBY!$D$82:$D$103,0))</f>
        <v>9.1726233509550532</v>
      </c>
      <c r="K25" s="48">
        <f>INDEX(ElecBY!$O$82:$O$103,MATCH(B25,ElecBY!$D$82:$D$103,0))</f>
        <v>382.23410486132718</v>
      </c>
      <c r="L25" s="48">
        <f>INDEX(ElecBY!$K$82:$K$103,MATCH(B25,ElecBY!$D$82:$D$103,0))</f>
        <v>7331.1230131582843</v>
      </c>
      <c r="M25" s="59">
        <v>30</v>
      </c>
      <c r="N25" s="39">
        <v>31.536000000000001</v>
      </c>
      <c r="O25" s="39">
        <v>0</v>
      </c>
      <c r="P25" s="46">
        <v>5</v>
      </c>
      <c r="Q25" s="46">
        <v>0</v>
      </c>
      <c r="R25" s="60"/>
      <c r="S25" s="61">
        <f>NERSA2017!P106</f>
        <v>0.55688169145976019</v>
      </c>
      <c r="T25" s="61"/>
      <c r="U25" s="61"/>
      <c r="AG25" s="61"/>
      <c r="AH25" s="61">
        <f t="shared" si="18"/>
        <v>0.55688169145976019</v>
      </c>
      <c r="AI25" s="61"/>
      <c r="AJ25" s="61"/>
      <c r="AM25" s="46">
        <v>277.77800000000002</v>
      </c>
      <c r="AN25" s="62"/>
      <c r="AO25" s="62"/>
      <c r="AP25" s="62"/>
      <c r="AQ25" s="62"/>
      <c r="AR25" s="62"/>
      <c r="AS25" s="62"/>
      <c r="AT25" s="62"/>
      <c r="AU25" s="62"/>
      <c r="AV25" s="39">
        <v>0.128</v>
      </c>
      <c r="AW25" s="39">
        <f>AV25</f>
        <v>0.128</v>
      </c>
      <c r="AX25" s="39">
        <f t="shared" ref="AX25:BS25" si="19">AW25</f>
        <v>0.128</v>
      </c>
      <c r="AY25" s="39">
        <f t="shared" si="19"/>
        <v>0.128</v>
      </c>
      <c r="AZ25" s="39">
        <f t="shared" si="19"/>
        <v>0.128</v>
      </c>
      <c r="BA25" s="39">
        <f t="shared" si="19"/>
        <v>0.128</v>
      </c>
      <c r="BB25" s="39">
        <f t="shared" si="19"/>
        <v>0.128</v>
      </c>
      <c r="BC25" s="39">
        <f t="shared" si="19"/>
        <v>0.128</v>
      </c>
      <c r="BD25" s="39">
        <f t="shared" si="19"/>
        <v>0.128</v>
      </c>
      <c r="BE25" s="39">
        <f t="shared" si="19"/>
        <v>0.128</v>
      </c>
      <c r="BF25" s="39">
        <f t="shared" si="19"/>
        <v>0.128</v>
      </c>
      <c r="BG25" s="39">
        <f t="shared" si="19"/>
        <v>0.128</v>
      </c>
      <c r="BH25" s="39">
        <f t="shared" si="19"/>
        <v>0.128</v>
      </c>
      <c r="BI25" s="39">
        <f t="shared" si="19"/>
        <v>0.128</v>
      </c>
      <c r="BJ25" s="39">
        <f t="shared" si="19"/>
        <v>0.128</v>
      </c>
      <c r="BK25" s="39">
        <f t="shared" si="19"/>
        <v>0.128</v>
      </c>
      <c r="BL25" s="39">
        <f t="shared" si="19"/>
        <v>0.128</v>
      </c>
      <c r="BM25" s="39">
        <f t="shared" si="19"/>
        <v>0.128</v>
      </c>
      <c r="BN25" s="39">
        <f t="shared" si="19"/>
        <v>0.128</v>
      </c>
      <c r="BO25" s="39">
        <f t="shared" si="19"/>
        <v>0.128</v>
      </c>
      <c r="BP25" s="39">
        <f t="shared" si="19"/>
        <v>0.128</v>
      </c>
      <c r="BQ25" s="39">
        <f t="shared" si="19"/>
        <v>0.128</v>
      </c>
      <c r="BR25" s="39">
        <f t="shared" si="19"/>
        <v>0.128</v>
      </c>
      <c r="BS25" s="39">
        <f t="shared" si="19"/>
        <v>0.128</v>
      </c>
      <c r="BT25" s="39">
        <v>0</v>
      </c>
      <c r="BU25" s="39">
        <v>0</v>
      </c>
    </row>
    <row r="26" spans="1:75" ht="11.25" customHeight="1" x14ac:dyDescent="0.25">
      <c r="B26" s="39" t="str">
        <f>Processes!B24</f>
        <v>ETODSGT-E</v>
      </c>
      <c r="C26" s="39" t="str">
        <f>Processes!C24</f>
        <v>OCGT liquid fuels Existing</v>
      </c>
      <c r="D26" s="39" t="s">
        <v>359</v>
      </c>
      <c r="E26" s="39" t="s">
        <v>132</v>
      </c>
      <c r="F26" s="46" t="str">
        <f t="shared" si="8"/>
        <v>PWRODS</v>
      </c>
      <c r="G26" s="50">
        <v>0.32271024591215164</v>
      </c>
      <c r="H26" s="50"/>
      <c r="I26" s="50"/>
      <c r="J26" s="48">
        <f>INDEX(ElecBY!$S$82:$S$103,MATCH(B26,ElecBY!$D$82:$D$103,0))</f>
        <v>0</v>
      </c>
      <c r="K26" s="48">
        <f>INDEX(ElecBY!$O$82:$O$103,MATCH(B26,ElecBY!$D$82:$D$103,0))</f>
        <v>66.495163804278235</v>
      </c>
      <c r="L26" s="48">
        <f>INDEX(ElecBY!$K$82:$K$103,MATCH(B26,ElecBY!$D$82:$D$103,0))</f>
        <v>1548.8372987289372</v>
      </c>
      <c r="M26" s="59">
        <v>30</v>
      </c>
      <c r="N26" s="39">
        <v>31.536000000000001</v>
      </c>
      <c r="O26" s="39">
        <v>1</v>
      </c>
      <c r="P26" s="46">
        <v>5</v>
      </c>
      <c r="Q26" s="46">
        <v>0</v>
      </c>
      <c r="R26" s="60"/>
      <c r="S26" s="39">
        <v>0.95879999999999999</v>
      </c>
      <c r="AG26" s="61"/>
      <c r="AH26" s="63">
        <f>HistoricalDispatch!H22</f>
        <v>2.9606004647677766E-3</v>
      </c>
      <c r="AI26" s="63">
        <f>HistoricalDispatch!H23</f>
        <v>2.8781988551988529E-2</v>
      </c>
      <c r="AJ26" s="63">
        <f>HistoricalDispatch!H24</f>
        <v>7.090683283222167E-2</v>
      </c>
      <c r="AK26" s="39">
        <v>0.01</v>
      </c>
      <c r="AM26" s="46">
        <v>277.77800000000002</v>
      </c>
      <c r="AN26" s="61">
        <v>74.066699999999997</v>
      </c>
      <c r="AO26" s="64">
        <v>3.0000000000000001E-3</v>
      </c>
      <c r="AP26" s="64">
        <v>5.9999999999999995E-4</v>
      </c>
      <c r="AQ26" s="64">
        <v>0.25290000000000001</v>
      </c>
      <c r="AR26" s="64">
        <v>0.2</v>
      </c>
      <c r="AS26" s="64">
        <v>1.4999999999999999E-2</v>
      </c>
      <c r="AT26" s="64">
        <v>5.0000000000000001E-3</v>
      </c>
      <c r="AU26" s="60"/>
      <c r="AV26" s="39">
        <v>2.4</v>
      </c>
      <c r="AW26" s="39">
        <f>AV26</f>
        <v>2.4</v>
      </c>
      <c r="AX26" s="39">
        <f t="shared" ref="AX26:BD26" si="20">AW26</f>
        <v>2.4</v>
      </c>
      <c r="AY26" s="39">
        <f t="shared" si="20"/>
        <v>2.4</v>
      </c>
      <c r="AZ26" s="39">
        <f t="shared" si="20"/>
        <v>2.4</v>
      </c>
      <c r="BA26" s="39">
        <f t="shared" si="20"/>
        <v>2.4</v>
      </c>
      <c r="BB26" s="39">
        <f t="shared" si="20"/>
        <v>2.4</v>
      </c>
      <c r="BC26" s="39">
        <f t="shared" si="20"/>
        <v>2.4</v>
      </c>
      <c r="BD26" s="39">
        <f t="shared" si="20"/>
        <v>2.4</v>
      </c>
      <c r="BE26" s="39">
        <f>AV26</f>
        <v>2.4</v>
      </c>
      <c r="BF26" s="39">
        <v>2.1</v>
      </c>
      <c r="BG26" s="39">
        <f>BF26</f>
        <v>2.1</v>
      </c>
      <c r="BH26" s="39">
        <f t="shared" ref="BH26:BQ26" si="21">BG26</f>
        <v>2.1</v>
      </c>
      <c r="BI26" s="39">
        <f t="shared" si="21"/>
        <v>2.1</v>
      </c>
      <c r="BJ26" s="39">
        <f t="shared" si="21"/>
        <v>2.1</v>
      </c>
      <c r="BK26" s="39">
        <f t="shared" si="21"/>
        <v>2.1</v>
      </c>
      <c r="BL26" s="39">
        <f t="shared" si="21"/>
        <v>2.1</v>
      </c>
      <c r="BM26" s="39">
        <f t="shared" si="21"/>
        <v>2.1</v>
      </c>
      <c r="BN26" s="39">
        <f t="shared" si="21"/>
        <v>2.1</v>
      </c>
      <c r="BO26" s="39">
        <f t="shared" si="21"/>
        <v>2.1</v>
      </c>
      <c r="BP26" s="39">
        <f t="shared" si="21"/>
        <v>2.1</v>
      </c>
      <c r="BQ26" s="39">
        <f t="shared" si="21"/>
        <v>2.1</v>
      </c>
      <c r="BR26" s="39">
        <v>2.1</v>
      </c>
      <c r="BS26" s="39">
        <v>0</v>
      </c>
    </row>
    <row r="27" spans="1:75" ht="11.25" customHeight="1" x14ac:dyDescent="0.25">
      <c r="B27" s="39" t="str">
        <f>Processes!B25</f>
        <v>ERHYD-E</v>
      </c>
      <c r="C27" s="39" t="str">
        <f>Processes!C25</f>
        <v>Hydro Existing South Africa</v>
      </c>
      <c r="D27" s="39" t="s">
        <v>358</v>
      </c>
      <c r="E27" s="39" t="s">
        <v>132</v>
      </c>
      <c r="G27" s="39">
        <v>1</v>
      </c>
      <c r="J27" s="48">
        <f>INDEX(ElecBY!$S$82:$S$103,MATCH(B27,ElecBY!$D$82:$D$103,0))</f>
        <v>0</v>
      </c>
      <c r="K27" s="48">
        <f>INDEX(ElecBY!$O$82:$O$103,MATCH(B27,ElecBY!$D$82:$D$103,0))</f>
        <v>41.361801278473415</v>
      </c>
      <c r="L27" s="48">
        <f>INDEX(ElecBY!$K$82:$K$103,MATCH(B27,ElecBY!$D$82:$D$103,0))</f>
        <v>4292.9627225713666</v>
      </c>
      <c r="M27" s="59">
        <v>50</v>
      </c>
      <c r="N27" s="39">
        <v>31.536000000000001</v>
      </c>
      <c r="O27" s="39">
        <v>1</v>
      </c>
      <c r="P27" s="46">
        <v>5</v>
      </c>
      <c r="Q27" s="46">
        <v>0</v>
      </c>
      <c r="R27" s="60"/>
      <c r="S27" s="49">
        <f>HistoricalDispatch!G4/1000/(ProcDataGenPre2012!AV27*8760)</f>
        <v>0.12001708037216328</v>
      </c>
      <c r="T27" s="49"/>
      <c r="U27" s="49"/>
      <c r="AG27" s="61"/>
      <c r="AH27" s="61">
        <f t="shared" si="18"/>
        <v>0.12001708037216328</v>
      </c>
      <c r="AI27" s="61"/>
      <c r="AJ27" s="61"/>
      <c r="AM27" s="46"/>
      <c r="AN27" s="60"/>
      <c r="AO27" s="60"/>
      <c r="AP27" s="60"/>
      <c r="AQ27" s="60"/>
      <c r="AR27" s="60"/>
      <c r="AS27" s="60"/>
      <c r="AT27" s="60"/>
      <c r="AU27" s="60"/>
      <c r="AV27" s="39">
        <v>0.66500000000000004</v>
      </c>
      <c r="AW27" s="39">
        <f>AV27</f>
        <v>0.66500000000000004</v>
      </c>
      <c r="AX27" s="39">
        <f t="shared" ref="AX27:BU27" si="22">AW27</f>
        <v>0.66500000000000004</v>
      </c>
      <c r="AY27" s="39">
        <f t="shared" si="22"/>
        <v>0.66500000000000004</v>
      </c>
      <c r="AZ27" s="39">
        <f t="shared" si="22"/>
        <v>0.66500000000000004</v>
      </c>
      <c r="BA27" s="39">
        <f t="shared" si="22"/>
        <v>0.66500000000000004</v>
      </c>
      <c r="BB27" s="39">
        <f t="shared" si="22"/>
        <v>0.66500000000000004</v>
      </c>
      <c r="BC27" s="39">
        <f t="shared" si="22"/>
        <v>0.66500000000000004</v>
      </c>
      <c r="BD27" s="39">
        <f t="shared" si="22"/>
        <v>0.66500000000000004</v>
      </c>
      <c r="BE27" s="39">
        <f t="shared" si="22"/>
        <v>0.66500000000000004</v>
      </c>
      <c r="BF27" s="39">
        <f t="shared" si="22"/>
        <v>0.66500000000000004</v>
      </c>
      <c r="BG27" s="39">
        <f t="shared" si="22"/>
        <v>0.66500000000000004</v>
      </c>
      <c r="BH27" s="39">
        <f t="shared" si="22"/>
        <v>0.66500000000000004</v>
      </c>
      <c r="BI27" s="39">
        <f t="shared" si="22"/>
        <v>0.66500000000000004</v>
      </c>
      <c r="BJ27" s="39">
        <f t="shared" si="22"/>
        <v>0.66500000000000004</v>
      </c>
      <c r="BK27" s="39">
        <f t="shared" si="22"/>
        <v>0.66500000000000004</v>
      </c>
      <c r="BL27" s="39">
        <f t="shared" si="22"/>
        <v>0.66500000000000004</v>
      </c>
      <c r="BM27" s="39">
        <f t="shared" si="22"/>
        <v>0.66500000000000004</v>
      </c>
      <c r="BN27" s="39">
        <f t="shared" si="22"/>
        <v>0.66500000000000004</v>
      </c>
      <c r="BO27" s="39">
        <f t="shared" si="22"/>
        <v>0.66500000000000004</v>
      </c>
      <c r="BP27" s="39">
        <f t="shared" si="22"/>
        <v>0.66500000000000004</v>
      </c>
      <c r="BQ27" s="39">
        <f t="shared" si="22"/>
        <v>0.66500000000000004</v>
      </c>
      <c r="BR27" s="39">
        <f t="shared" si="22"/>
        <v>0.66500000000000004</v>
      </c>
      <c r="BS27" s="39">
        <f t="shared" si="22"/>
        <v>0.66500000000000004</v>
      </c>
      <c r="BT27" s="39">
        <f t="shared" si="22"/>
        <v>0.66500000000000004</v>
      </c>
      <c r="BU27" s="39">
        <f t="shared" si="22"/>
        <v>0.66500000000000004</v>
      </c>
    </row>
    <row r="28" spans="1:75" ht="11.25" customHeight="1" x14ac:dyDescent="0.25">
      <c r="B28" s="39" t="str">
        <f>Processes!B26</f>
        <v>ERHYD-I</v>
      </c>
      <c r="C28" s="39" t="str">
        <f>Processes!C26</f>
        <v>Hydro Existing Region</v>
      </c>
      <c r="E28" s="39" t="s">
        <v>132</v>
      </c>
      <c r="J28" s="48">
        <f>0.34*1000/3.6</f>
        <v>94.444444444444443</v>
      </c>
      <c r="K28" s="48">
        <f>INDEX(ElecBY!$O$82:$O$103,MATCH(B28,ElecBY!$D$82:$D$103,0))</f>
        <v>41.361801278473415</v>
      </c>
      <c r="L28" s="48">
        <f>INDEX(ElecBY!$K$82:$K$103,MATCH(B28,ElecBY!$D$82:$D$103,0))</f>
        <v>4292.9627225713657</v>
      </c>
      <c r="M28" s="59">
        <v>50</v>
      </c>
      <c r="N28" s="39">
        <v>31.536000000000001</v>
      </c>
      <c r="O28" s="39">
        <v>1</v>
      </c>
      <c r="P28" s="46">
        <v>5</v>
      </c>
      <c r="Q28" s="46">
        <v>0</v>
      </c>
      <c r="R28" s="60"/>
      <c r="S28" s="49">
        <f>HistoricalDispatch!F4/1000/(ProcDataGenPre2012!AV28*8760)</f>
        <v>0.6898696347031964</v>
      </c>
      <c r="T28" s="49"/>
      <c r="U28" s="49"/>
      <c r="V28" s="49"/>
      <c r="W28" s="49"/>
      <c r="X28" s="49"/>
      <c r="Y28" s="49"/>
      <c r="Z28" s="49"/>
      <c r="AA28" s="49"/>
      <c r="AB28" s="49"/>
      <c r="AC28" s="49"/>
      <c r="AD28" s="49"/>
      <c r="AE28" s="49"/>
      <c r="AG28" s="61"/>
      <c r="AH28" s="61">
        <f t="shared" si="18"/>
        <v>0.6898696347031964</v>
      </c>
      <c r="AI28" s="61"/>
      <c r="AJ28" s="61"/>
      <c r="AK28" s="49"/>
      <c r="AM28" s="46"/>
      <c r="AN28" s="60"/>
      <c r="AO28" s="60"/>
      <c r="AP28" s="60"/>
      <c r="AQ28" s="60"/>
      <c r="AR28" s="60"/>
      <c r="AS28" s="60"/>
      <c r="AT28" s="60"/>
      <c r="AU28" s="60"/>
      <c r="AV28" s="39">
        <v>1.5</v>
      </c>
      <c r="BU28" s="39">
        <v>1.5</v>
      </c>
    </row>
    <row r="29" spans="1:75" ht="11.25" customHeight="1" x14ac:dyDescent="0.25">
      <c r="B29" s="39" t="str">
        <f>Processes!B27</f>
        <v>ETNUC-E</v>
      </c>
      <c r="C29" s="39" t="str">
        <f>Processes!C27</f>
        <v>Nuclear Existing</v>
      </c>
      <c r="D29" s="39" t="s">
        <v>357</v>
      </c>
      <c r="E29" s="39" t="s">
        <v>132</v>
      </c>
      <c r="G29" s="50">
        <v>0.32001521850150205</v>
      </c>
      <c r="H29" s="50"/>
      <c r="I29" s="50"/>
      <c r="J29" s="48">
        <f>INDEX(ElecBY!$S$82:$S$103,MATCH(B29,ElecBY!$D$82:$D$103,0))</f>
        <v>0</v>
      </c>
      <c r="K29" s="48">
        <f>INDEX(ElecBY!$O$82:$O$103,MATCH(B29,ElecBY!$D$82:$D$103,0))</f>
        <v>400.32802698494032</v>
      </c>
      <c r="L29" s="48">
        <f>INDEX(ElecBY!$K$82:$K$103,MATCH(B29,ElecBY!$D$82:$D$103,0))</f>
        <v>13714.823558467177</v>
      </c>
      <c r="M29" s="59">
        <v>50</v>
      </c>
      <c r="N29" s="39">
        <v>31.536000000000001</v>
      </c>
      <c r="O29" s="39">
        <v>1</v>
      </c>
      <c r="P29" s="46">
        <v>5</v>
      </c>
      <c r="Q29" s="46">
        <v>0</v>
      </c>
      <c r="R29" s="60"/>
      <c r="S29" s="49">
        <f>HistoricalDispatch!I4/1000/(AV29*8760)</f>
        <v>0.92601880492954292</v>
      </c>
      <c r="T29" s="49">
        <f>HistoricalDispatch!I5/HistoricalDispatch!I4*S29</f>
        <v>0.64727451269210001</v>
      </c>
      <c r="U29" s="49">
        <f>HistoricalDispatch!I6/HistoricalDispatch!I5*T29</f>
        <v>0.83381609957283842</v>
      </c>
      <c r="V29" s="39">
        <f>'eskom production 2009-YTD'!AD154</f>
        <v>0.84160000000000001</v>
      </c>
      <c r="W29" s="39">
        <f>'eskom production 2009-YTD'!AE154</f>
        <v>0.82959999999999989</v>
      </c>
      <c r="X29" s="39">
        <f>'eskom production 2009-YTD'!AF154</f>
        <v>0.70319999999999994</v>
      </c>
      <c r="Y29" s="39">
        <f>'eskom production 2009-YTD'!AG154</f>
        <v>0.90079999999999993</v>
      </c>
      <c r="Z29" s="39">
        <f>'eskom production 2009-YTD'!AH154</f>
        <v>0.86459999999999992</v>
      </c>
      <c r="AA29" s="39">
        <f>'eskom production 2009-YTD'!AI154</f>
        <v>0.74930000000000008</v>
      </c>
      <c r="AB29" s="39">
        <f>'eskom production 2009-YTD'!AJ154</f>
        <v>0.90040000000000009</v>
      </c>
      <c r="AC29" s="39">
        <f>'eskom production 2009-YTD'!AK154</f>
        <v>0.89500000000000002</v>
      </c>
      <c r="AD29" s="39">
        <f>'eskom production 2009-YTD'!AL154</f>
        <v>0.92110000000000003</v>
      </c>
      <c r="AE29" s="39">
        <f>'eskom production 2009-YTD'!AM154</f>
        <v>0.84499999999999997</v>
      </c>
      <c r="AF29" s="39">
        <f>'eskom production 2009-YTD'!AN154</f>
        <v>0.84540000000000004</v>
      </c>
      <c r="AG29" s="61"/>
      <c r="AH29" s="61">
        <f t="shared" si="18"/>
        <v>0.92601880492954292</v>
      </c>
      <c r="AI29" s="61">
        <f>T29*0.999</f>
        <v>0.64662723817940793</v>
      </c>
      <c r="AJ29" s="61">
        <f>U29*0.999</f>
        <v>0.83298228347326553</v>
      </c>
      <c r="AK29" s="48">
        <f>AI29</f>
        <v>0.64662723817940793</v>
      </c>
      <c r="AM29" s="46">
        <v>277.77800000000002</v>
      </c>
      <c r="AN29" s="60"/>
      <c r="AO29" s="60"/>
      <c r="AP29" s="60"/>
      <c r="AQ29" s="60"/>
      <c r="AR29" s="60"/>
      <c r="AS29" s="60"/>
      <c r="AT29" s="60"/>
      <c r="AU29" s="60"/>
      <c r="AV29" s="39">
        <v>1.86</v>
      </c>
      <c r="AW29" s="39">
        <f>AV29</f>
        <v>1.86</v>
      </c>
      <c r="AX29" s="39">
        <f t="shared" ref="AX29:BR29" si="23">AW29</f>
        <v>1.86</v>
      </c>
      <c r="AY29" s="39">
        <f t="shared" si="23"/>
        <v>1.86</v>
      </c>
      <c r="AZ29" s="39">
        <f t="shared" si="23"/>
        <v>1.86</v>
      </c>
      <c r="BA29" s="39">
        <f t="shared" si="23"/>
        <v>1.86</v>
      </c>
      <c r="BB29" s="39">
        <f t="shared" si="23"/>
        <v>1.86</v>
      </c>
      <c r="BC29" s="39">
        <f t="shared" si="23"/>
        <v>1.86</v>
      </c>
      <c r="BD29" s="39">
        <f t="shared" si="23"/>
        <v>1.86</v>
      </c>
      <c r="BE29" s="39">
        <f t="shared" si="23"/>
        <v>1.86</v>
      </c>
      <c r="BF29" s="39">
        <f t="shared" si="23"/>
        <v>1.86</v>
      </c>
      <c r="BG29" s="39">
        <f t="shared" si="23"/>
        <v>1.86</v>
      </c>
      <c r="BH29" s="39">
        <f t="shared" si="23"/>
        <v>1.86</v>
      </c>
      <c r="BI29" s="39">
        <f t="shared" si="23"/>
        <v>1.86</v>
      </c>
      <c r="BJ29" s="39">
        <f t="shared" si="23"/>
        <v>1.86</v>
      </c>
      <c r="BK29" s="39">
        <f t="shared" si="23"/>
        <v>1.86</v>
      </c>
      <c r="BL29" s="39">
        <f t="shared" si="23"/>
        <v>1.86</v>
      </c>
      <c r="BM29" s="39">
        <f t="shared" si="23"/>
        <v>1.86</v>
      </c>
      <c r="BN29" s="39">
        <f t="shared" si="23"/>
        <v>1.86</v>
      </c>
      <c r="BO29" s="39">
        <f t="shared" si="23"/>
        <v>1.86</v>
      </c>
      <c r="BP29" s="39">
        <f t="shared" si="23"/>
        <v>1.86</v>
      </c>
      <c r="BQ29" s="39">
        <f t="shared" si="23"/>
        <v>1.86</v>
      </c>
      <c r="BR29" s="39">
        <f t="shared" si="23"/>
        <v>1.86</v>
      </c>
      <c r="BS29" s="39">
        <v>1.86</v>
      </c>
      <c r="BT29" s="39">
        <v>0</v>
      </c>
    </row>
    <row r="30" spans="1:75" ht="11.25" customHeight="1" x14ac:dyDescent="0.2">
      <c r="B30" s="39" t="str">
        <f>Processes!B28</f>
        <v>EPTSTO-E</v>
      </c>
      <c r="C30" s="39" t="str">
        <f>Processes!C28</f>
        <v>Pump Storage All Existing - Single Storage Tech</v>
      </c>
      <c r="D30" s="39" t="s">
        <v>132</v>
      </c>
      <c r="E30" s="39" t="s">
        <v>132</v>
      </c>
      <c r="I30" s="39">
        <v>0.73</v>
      </c>
      <c r="J30" s="48">
        <f>INDEX(ElecBY!$S$82:$S$103,MATCH(B30,ElecBY!$D$82:$D$103,0))</f>
        <v>0</v>
      </c>
      <c r="K30" s="48">
        <f>INDEX(ElecBY!$O$82:$O$103,MATCH(B30,ElecBY!$D$82:$D$103,0))</f>
        <v>4.4737222450633443</v>
      </c>
      <c r="L30" s="48">
        <f>INDEX(ElecBY!$K$82:$K$103,MATCH(B30,ElecBY!$D$82:$D$103,0))</f>
        <v>4230.6971717154183</v>
      </c>
      <c r="M30" s="59">
        <v>50</v>
      </c>
      <c r="N30" s="39">
        <v>31.536000000000001</v>
      </c>
      <c r="O30" s="39">
        <v>1</v>
      </c>
      <c r="P30" s="46">
        <v>5</v>
      </c>
      <c r="Q30" s="46">
        <v>0</v>
      </c>
      <c r="AL30" s="39">
        <v>1</v>
      </c>
      <c r="AM30" s="46"/>
      <c r="AV30" s="39">
        <v>1.58</v>
      </c>
      <c r="AW30" s="39">
        <f>AV30</f>
        <v>1.58</v>
      </c>
      <c r="AX30" s="39">
        <f t="shared" ref="AX30:BT30" si="24">AW30</f>
        <v>1.58</v>
      </c>
      <c r="AY30" s="39">
        <f t="shared" si="24"/>
        <v>1.58</v>
      </c>
      <c r="AZ30" s="39">
        <f t="shared" si="24"/>
        <v>1.58</v>
      </c>
      <c r="BA30" s="39">
        <f t="shared" si="24"/>
        <v>1.58</v>
      </c>
      <c r="BB30" s="39">
        <f t="shared" si="24"/>
        <v>1.58</v>
      </c>
      <c r="BC30" s="39">
        <f t="shared" si="24"/>
        <v>1.58</v>
      </c>
      <c r="BD30" s="39">
        <f t="shared" si="24"/>
        <v>1.58</v>
      </c>
      <c r="BE30" s="39">
        <f t="shared" si="24"/>
        <v>1.58</v>
      </c>
      <c r="BF30" s="39">
        <f t="shared" si="24"/>
        <v>1.58</v>
      </c>
      <c r="BG30" s="39">
        <f t="shared" si="24"/>
        <v>1.58</v>
      </c>
      <c r="BH30" s="39">
        <f t="shared" si="24"/>
        <v>1.58</v>
      </c>
      <c r="BI30" s="39">
        <f t="shared" si="24"/>
        <v>1.58</v>
      </c>
      <c r="BJ30" s="39">
        <f t="shared" si="24"/>
        <v>1.58</v>
      </c>
      <c r="BK30" s="39">
        <f t="shared" si="24"/>
        <v>1.58</v>
      </c>
      <c r="BL30" s="39">
        <f t="shared" si="24"/>
        <v>1.58</v>
      </c>
      <c r="BM30" s="39">
        <f t="shared" si="24"/>
        <v>1.58</v>
      </c>
      <c r="BN30" s="39">
        <f t="shared" si="24"/>
        <v>1.58</v>
      </c>
      <c r="BO30" s="39">
        <f t="shared" si="24"/>
        <v>1.58</v>
      </c>
      <c r="BP30" s="39">
        <f t="shared" si="24"/>
        <v>1.58</v>
      </c>
      <c r="BQ30" s="39">
        <f t="shared" si="24"/>
        <v>1.58</v>
      </c>
      <c r="BR30" s="39">
        <f t="shared" si="24"/>
        <v>1.58</v>
      </c>
      <c r="BS30" s="39">
        <f t="shared" si="24"/>
        <v>1.58</v>
      </c>
      <c r="BT30" s="39">
        <f t="shared" si="24"/>
        <v>1.58</v>
      </c>
      <c r="BU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40"/>
  <sheetViews>
    <sheetView zoomScale="140" zoomScaleNormal="140" workbookViewId="0">
      <pane xSplit="7" ySplit="7" topLeftCell="AP8" activePane="bottomRight" state="frozen"/>
      <selection pane="topRight" activeCell="H1" sqref="H1"/>
      <selection pane="bottomLeft" activeCell="A8" sqref="A8"/>
      <selection pane="bottomRight" activeCell="AM14" sqref="AM14:AS14"/>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13.570312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138</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151</v>
      </c>
      <c r="I3" s="69" t="s">
        <v>1926</v>
      </c>
      <c r="J3" s="69" t="s">
        <v>390</v>
      </c>
      <c r="K3" s="69" t="s">
        <v>389</v>
      </c>
      <c r="L3" s="69" t="s">
        <v>388</v>
      </c>
      <c r="M3" s="69" t="s">
        <v>407</v>
      </c>
      <c r="N3" s="69" t="s">
        <v>406</v>
      </c>
      <c r="O3" s="69" t="s">
        <v>161</v>
      </c>
      <c r="P3" s="69" t="s">
        <v>150</v>
      </c>
      <c r="Q3" s="69" t="s">
        <v>386</v>
      </c>
      <c r="R3" s="69" t="s">
        <v>382</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385</v>
      </c>
      <c r="AG3" s="39" t="s">
        <v>385</v>
      </c>
      <c r="AH3" s="39" t="s">
        <v>385</v>
      </c>
      <c r="AI3" s="39" t="s">
        <v>385</v>
      </c>
      <c r="AJ3" s="39" t="s">
        <v>385</v>
      </c>
      <c r="AK3" s="39" t="s">
        <v>385</v>
      </c>
      <c r="AL3" s="39" t="s">
        <v>383</v>
      </c>
      <c r="AM3" s="39" t="s">
        <v>381</v>
      </c>
      <c r="AT3" s="39" t="s">
        <v>405</v>
      </c>
      <c r="AU3" s="39" t="s">
        <v>404</v>
      </c>
      <c r="AV3" s="39" t="s">
        <v>404</v>
      </c>
      <c r="AW3" s="39" t="s">
        <v>403</v>
      </c>
    </row>
    <row r="4" spans="1:80" ht="21.75" customHeight="1" x14ac:dyDescent="0.2">
      <c r="E4" s="68"/>
      <c r="F4" s="68"/>
      <c r="G4" s="68"/>
      <c r="H4" s="55" t="s">
        <v>121</v>
      </c>
      <c r="I4" s="55" t="s">
        <v>1927</v>
      </c>
      <c r="J4" s="55" t="s">
        <v>380</v>
      </c>
      <c r="K4" s="55" t="s">
        <v>120</v>
      </c>
      <c r="L4" s="55" t="s">
        <v>154</v>
      </c>
      <c r="M4" s="55" t="s">
        <v>379</v>
      </c>
      <c r="N4" s="55" t="s">
        <v>402</v>
      </c>
      <c r="O4" s="55" t="s">
        <v>378</v>
      </c>
      <c r="P4" s="55" t="s">
        <v>119</v>
      </c>
      <c r="Q4" s="55" t="s">
        <v>377</v>
      </c>
      <c r="R4" s="67" t="s">
        <v>372</v>
      </c>
      <c r="S4" s="67" t="s">
        <v>374</v>
      </c>
      <c r="T4" s="67" t="s">
        <v>374</v>
      </c>
      <c r="U4" s="67" t="s">
        <v>374</v>
      </c>
      <c r="V4" s="67" t="s">
        <v>374</v>
      </c>
      <c r="W4" s="67" t="s">
        <v>374</v>
      </c>
      <c r="X4" s="67" t="s">
        <v>374</v>
      </c>
      <c r="Y4" s="67" t="s">
        <v>375</v>
      </c>
      <c r="Z4" s="67" t="s">
        <v>375</v>
      </c>
      <c r="AA4" s="67" t="s">
        <v>375</v>
      </c>
      <c r="AB4" s="67" t="s">
        <v>375</v>
      </c>
      <c r="AC4" s="67" t="s">
        <v>375</v>
      </c>
      <c r="AD4" s="67" t="s">
        <v>375</v>
      </c>
      <c r="AE4" s="67" t="s">
        <v>375</v>
      </c>
      <c r="AF4" s="67" t="s">
        <v>375</v>
      </c>
      <c r="AG4" s="67" t="s">
        <v>375</v>
      </c>
      <c r="AH4" s="67" t="s">
        <v>375</v>
      </c>
      <c r="AI4" s="67" t="s">
        <v>375</v>
      </c>
      <c r="AJ4" s="67" t="s">
        <v>375</v>
      </c>
      <c r="AK4" s="67" t="s">
        <v>375</v>
      </c>
      <c r="AL4" s="67" t="s">
        <v>373</v>
      </c>
      <c r="AM4" s="67" t="s">
        <v>371</v>
      </c>
      <c r="AN4" s="67" t="s">
        <v>371</v>
      </c>
      <c r="AO4" s="67" t="s">
        <v>371</v>
      </c>
      <c r="AP4" s="67" t="s">
        <v>371</v>
      </c>
      <c r="AQ4" s="67" t="s">
        <v>371</v>
      </c>
      <c r="AR4" s="67" t="s">
        <v>371</v>
      </c>
      <c r="AS4" s="67" t="s">
        <v>371</v>
      </c>
      <c r="AT4" s="67" t="s">
        <v>401</v>
      </c>
      <c r="AU4" s="67" t="s">
        <v>163</v>
      </c>
      <c r="AV4" s="67" t="s">
        <v>163</v>
      </c>
      <c r="AW4" s="67" t="s">
        <v>400</v>
      </c>
      <c r="AX4" s="67" t="s">
        <v>400</v>
      </c>
      <c r="AY4" s="67" t="s">
        <v>400</v>
      </c>
      <c r="AZ4" s="67" t="s">
        <v>400</v>
      </c>
      <c r="BA4" s="67" t="s">
        <v>400</v>
      </c>
      <c r="BB4" s="67" t="s">
        <v>400</v>
      </c>
      <c r="BC4" s="67" t="s">
        <v>400</v>
      </c>
      <c r="BD4" s="67" t="s">
        <v>400</v>
      </c>
      <c r="BE4" s="67" t="s">
        <v>400</v>
      </c>
      <c r="BF4" s="67" t="s">
        <v>400</v>
      </c>
      <c r="BG4" s="67" t="s">
        <v>400</v>
      </c>
      <c r="BH4" s="67" t="s">
        <v>400</v>
      </c>
      <c r="BI4" s="67" t="s">
        <v>400</v>
      </c>
      <c r="BJ4" s="67" t="s">
        <v>400</v>
      </c>
      <c r="BK4" s="67"/>
      <c r="BL4" s="67" t="s">
        <v>376</v>
      </c>
      <c r="BM4" s="67" t="s">
        <v>376</v>
      </c>
      <c r="BN4" s="67" t="s">
        <v>376</v>
      </c>
      <c r="BO4" s="67" t="s">
        <v>376</v>
      </c>
      <c r="BP4" s="67" t="s">
        <v>376</v>
      </c>
      <c r="BQ4" s="67" t="s">
        <v>376</v>
      </c>
      <c r="BR4" s="67" t="s">
        <v>376</v>
      </c>
      <c r="BS4" s="67" t="s">
        <v>376</v>
      </c>
      <c r="BT4" s="67" t="s">
        <v>376</v>
      </c>
      <c r="BU4" s="67" t="s">
        <v>376</v>
      </c>
      <c r="BV4" s="67" t="s">
        <v>376</v>
      </c>
      <c r="BW4" s="67" t="s">
        <v>376</v>
      </c>
      <c r="BX4" s="67" t="s">
        <v>376</v>
      </c>
      <c r="BY4" s="67" t="s">
        <v>376</v>
      </c>
      <c r="BZ4" s="67" t="s">
        <v>376</v>
      </c>
      <c r="CA4" s="67"/>
      <c r="CB4" s="67"/>
    </row>
    <row r="5" spans="1:80" ht="16.5" customHeight="1" x14ac:dyDescent="0.2">
      <c r="H5" s="55" t="s">
        <v>27</v>
      </c>
      <c r="I5" s="55" t="s">
        <v>132</v>
      </c>
      <c r="J5" s="55"/>
      <c r="K5" s="55"/>
      <c r="L5" s="408"/>
      <c r="P5" s="66"/>
      <c r="Q5" s="55" t="s">
        <v>122</v>
      </c>
      <c r="R5" s="55" t="s">
        <v>370</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369</v>
      </c>
      <c r="AN5" s="55" t="s">
        <v>368</v>
      </c>
      <c r="AO5" s="55" t="s">
        <v>367</v>
      </c>
      <c r="AP5" s="55" t="s">
        <v>366</v>
      </c>
      <c r="AQ5" s="55" t="s">
        <v>365</v>
      </c>
      <c r="AR5" s="55" t="s">
        <v>364</v>
      </c>
      <c r="AS5" s="55" t="s">
        <v>363</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2491</v>
      </c>
      <c r="H6" s="55" t="s">
        <v>122</v>
      </c>
      <c r="I6" s="55" t="s">
        <v>122</v>
      </c>
      <c r="J6" s="55"/>
      <c r="K6" s="55"/>
      <c r="L6" s="408"/>
      <c r="P6" s="66"/>
      <c r="R6" s="55" t="s">
        <v>122</v>
      </c>
      <c r="AL6" s="55" t="s">
        <v>362</v>
      </c>
      <c r="AM6" s="55" t="s">
        <v>122</v>
      </c>
      <c r="AN6" s="55" t="s">
        <v>122</v>
      </c>
      <c r="AO6" s="55" t="s">
        <v>122</v>
      </c>
      <c r="AP6" s="55" t="s">
        <v>122</v>
      </c>
      <c r="AQ6" s="55" t="s">
        <v>122</v>
      </c>
      <c r="AR6" s="55" t="s">
        <v>122</v>
      </c>
      <c r="AS6" s="55" t="s">
        <v>122</v>
      </c>
      <c r="AW6" s="55"/>
      <c r="AX6" s="55"/>
      <c r="AY6" s="55"/>
      <c r="AZ6" s="55"/>
      <c r="BA6" s="55"/>
      <c r="BB6" s="55"/>
      <c r="BC6" s="55"/>
      <c r="BD6" s="55"/>
      <c r="BE6" s="55"/>
      <c r="BL6" s="55"/>
    </row>
    <row r="7" spans="1:80" ht="21.75" customHeight="1" x14ac:dyDescent="0.2">
      <c r="B7" s="57" t="s">
        <v>2479</v>
      </c>
      <c r="C7" s="57" t="s">
        <v>2480</v>
      </c>
      <c r="D7" s="65" t="s">
        <v>2497</v>
      </c>
      <c r="E7" s="57" t="s">
        <v>2489</v>
      </c>
      <c r="F7" s="57" t="s">
        <v>2490</v>
      </c>
      <c r="G7" s="65" t="s">
        <v>2502</v>
      </c>
      <c r="H7" s="39" t="str">
        <f>IFERROR(REPLACE(H4,SEARCH("-",H4),1,"~"),H4)</f>
        <v>ACT_EFF</v>
      </c>
      <c r="I7" s="39" t="s">
        <v>2496</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 t="shared" ref="AL7:AV7" si="2">IFERROR(REPLACE(AL4,SEARCH("-",AL4),1,"~"),AL4)</f>
        <v>NCAP_AFC</v>
      </c>
      <c r="AM7" s="504" t="str">
        <f>"FLO_EMIS~"&amp;AM5</f>
        <v>FLO_EMIS~PWRCO2S</v>
      </c>
      <c r="AN7" s="504" t="str">
        <f t="shared" ref="AN7:AS7" si="3">"FLO_EMIS~"&amp;AN5</f>
        <v>FLO_EMIS~PWRCH4S</v>
      </c>
      <c r="AO7" s="504" t="str">
        <f t="shared" si="3"/>
        <v>FLO_EMIS~PWRN2OS</v>
      </c>
      <c r="AP7" s="504" t="str">
        <f t="shared" si="3"/>
        <v>FLO_EMIS~PWRSOXS</v>
      </c>
      <c r="AQ7" s="504" t="str">
        <f t="shared" si="3"/>
        <v>FLO_EMIS~PWRNOXS</v>
      </c>
      <c r="AR7" s="504" t="str">
        <f t="shared" si="3"/>
        <v>FLO_EMIS~PWRCMOX</v>
      </c>
      <c r="AS7" s="504" t="str">
        <f t="shared" si="3"/>
        <v>FLO_EMIS~PWRNMVS</v>
      </c>
      <c r="AT7" s="69" t="str">
        <f t="shared" si="2"/>
        <v>NCAP_START</v>
      </c>
      <c r="AU7" s="69" t="str">
        <f t="shared" si="2"/>
        <v>CAP_BND~UP</v>
      </c>
      <c r="AV7" s="69" t="str">
        <f t="shared" si="2"/>
        <v>CAP_BND~UP</v>
      </c>
      <c r="AW7" s="69" t="str">
        <f t="shared" ref="AW7:BJ7" si="4">IFERROR(REPLACE(AW4,SEARCH("-",AW4),1,"~"),AW4)&amp;"~"&amp;AW5</f>
        <v>NCAP_BND~FX~2012</v>
      </c>
      <c r="AX7" s="69" t="str">
        <f t="shared" si="4"/>
        <v>NCAP_BND~FX~2013</v>
      </c>
      <c r="AY7" s="69" t="str">
        <f t="shared" si="4"/>
        <v>NCAP_BND~FX~2014</v>
      </c>
      <c r="AZ7" s="69" t="str">
        <f t="shared" si="4"/>
        <v>NCAP_BND~FX~2015</v>
      </c>
      <c r="BA7" s="69" t="str">
        <f t="shared" si="4"/>
        <v>NCAP_BND~FX~2016</v>
      </c>
      <c r="BB7" s="69" t="str">
        <f t="shared" si="4"/>
        <v>NCAP_BND~FX~2017</v>
      </c>
      <c r="BC7" s="69" t="str">
        <f t="shared" si="4"/>
        <v>NCAP_BND~FX~2018</v>
      </c>
      <c r="BD7" s="69" t="str">
        <f t="shared" si="4"/>
        <v>NCAP_BND~FX~2019</v>
      </c>
      <c r="BE7" s="69" t="str">
        <f t="shared" si="4"/>
        <v>NCAP_BND~FX~2020</v>
      </c>
      <c r="BF7" s="69" t="str">
        <f t="shared" si="4"/>
        <v>NCAP_BND~FX~2021</v>
      </c>
      <c r="BG7" s="69" t="str">
        <f t="shared" si="4"/>
        <v>NCAP_BND~FX~2022</v>
      </c>
      <c r="BH7" s="69" t="str">
        <f t="shared" si="4"/>
        <v>NCAP_BND~FX~2023</v>
      </c>
      <c r="BI7" s="69" t="str">
        <f t="shared" si="4"/>
        <v>NCAP_BND~FX~2024</v>
      </c>
      <c r="BJ7" s="69" t="str">
        <f t="shared" si="4"/>
        <v>NCAP_BND~FX~2025</v>
      </c>
      <c r="BL7" s="46">
        <v>0</v>
      </c>
    </row>
    <row r="8" spans="1:80" ht="11.25" customHeight="1" x14ac:dyDescent="0.2">
      <c r="A8" s="42" t="str">
        <f>Processes!A32</f>
        <v>* New Power Plants - Grid</v>
      </c>
      <c r="F8" s="39" t="s">
        <v>132</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132</v>
      </c>
      <c r="G9" s="46" t="str">
        <f>E9</f>
        <v>PWRCLEMEDU</v>
      </c>
      <c r="I9" s="50">
        <f>INDEX('eskom production 2009-YTD'!$Q$35:$Q$62,MATCH(C9,'eskom production 2009-YTD'!$A$35:$A$62,0))</f>
        <v>0.37099999999999994</v>
      </c>
      <c r="J9" s="48"/>
      <c r="K9" s="48">
        <f>ProcDataGenPre2012!J9</f>
        <v>9.1726233509550532</v>
      </c>
      <c r="L9" s="48">
        <f>ProcDataGenPre2012!K9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SUM(AW9:BJ9)</f>
        <v>7.9420000000000002</v>
      </c>
      <c r="AW9" s="64">
        <v>0</v>
      </c>
      <c r="AX9" s="64">
        <v>0</v>
      </c>
      <c r="AY9" s="64">
        <v>0</v>
      </c>
      <c r="AZ9" s="64">
        <v>0.72199999999999998</v>
      </c>
      <c r="BA9" s="64">
        <v>0.72199999999999998</v>
      </c>
      <c r="BB9" s="39">
        <v>0</v>
      </c>
      <c r="BC9" s="39">
        <v>0.72199999999999998</v>
      </c>
      <c r="BD9" s="45">
        <v>0.72199999999999998</v>
      </c>
      <c r="BE9" s="39">
        <v>0.72199999999999998</v>
      </c>
      <c r="BF9" s="50">
        <f>SUM(AW9:BE9)</f>
        <v>3.61</v>
      </c>
      <c r="BG9" s="39">
        <v>0</v>
      </c>
      <c r="BH9" s="39">
        <v>0</v>
      </c>
      <c r="BI9" s="39">
        <v>0</v>
      </c>
      <c r="BJ9" s="39">
        <v>0.72199999999999998</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132</v>
      </c>
      <c r="G10" s="46" t="str">
        <f t="shared" ref="G10:G15" si="5">E10</f>
        <v>PWRCLEKUSI</v>
      </c>
      <c r="I10" s="50">
        <f>1/(9812/3600)</f>
        <v>0.36689767631471665</v>
      </c>
      <c r="J10" s="48"/>
      <c r="K10" s="48">
        <f>ProcDataGenPre2012!J10</f>
        <v>9.1726233509550532</v>
      </c>
      <c r="L10" s="48">
        <f>ProcDataGenPre2012!K10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6">AA9</f>
        <v>0.75639999999999996</v>
      </c>
      <c r="AB10" s="61">
        <f t="shared" si="6"/>
        <v>0.7923</v>
      </c>
      <c r="AC10" s="61">
        <f t="shared" si="6"/>
        <v>0.84219999999999995</v>
      </c>
      <c r="AD10" s="61">
        <f t="shared" si="6"/>
        <v>0.83579999999999999</v>
      </c>
      <c r="AE10" s="61">
        <f t="shared" si="6"/>
        <v>0.85199999999999998</v>
      </c>
      <c r="AF10" s="61">
        <f t="shared" si="6"/>
        <v>0.81900000000000006</v>
      </c>
      <c r="AG10" s="61">
        <f t="shared" si="6"/>
        <v>0.8599</v>
      </c>
      <c r="AH10" s="61">
        <f t="shared" si="6"/>
        <v>0.86659999999999993</v>
      </c>
      <c r="AI10" s="61">
        <f t="shared" si="6"/>
        <v>0.79519999999999991</v>
      </c>
      <c r="AJ10" s="61">
        <f t="shared" si="6"/>
        <v>0.8176000000000001</v>
      </c>
      <c r="AK10" s="61">
        <f t="shared" si="6"/>
        <v>0.81059999999999999</v>
      </c>
      <c r="AL10" s="61"/>
      <c r="AM10" s="61">
        <f t="shared" ref="AM10:AO12" si="7">AM9</f>
        <v>96.25</v>
      </c>
      <c r="AN10" s="64">
        <f t="shared" si="7"/>
        <v>1E-3</v>
      </c>
      <c r="AO10" s="372">
        <f t="shared" si="7"/>
        <v>1.5E-3</v>
      </c>
      <c r="AP10" s="73">
        <f>AP9*(1-0.93)</f>
        <v>6.5141416666666604E-2</v>
      </c>
      <c r="AQ10" s="72">
        <f t="shared" ref="AQ10:AS12" si="8">AQ9</f>
        <v>0.19683611111111107</v>
      </c>
      <c r="AR10" s="72">
        <f t="shared" si="8"/>
        <v>0.02</v>
      </c>
      <c r="AS10" s="371">
        <f t="shared" si="8"/>
        <v>5.0000000000000001E-3</v>
      </c>
      <c r="AT10" s="61"/>
      <c r="AU10" s="71">
        <v>3</v>
      </c>
      <c r="AV10" s="61">
        <f>SUM(AW10:BJ10)</f>
        <v>6.399</v>
      </c>
      <c r="BA10" s="39">
        <v>0</v>
      </c>
      <c r="BB10" s="39">
        <f>2.133/3</f>
        <v>0.71099999999999997</v>
      </c>
      <c r="BC10" s="39">
        <v>0</v>
      </c>
      <c r="BD10" s="39">
        <v>0</v>
      </c>
      <c r="BE10" s="45">
        <f>0.711*2</f>
        <v>1.4219999999999999</v>
      </c>
      <c r="BF10" s="50">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132</v>
      </c>
      <c r="G11" s="46" t="str">
        <f t="shared" si="5"/>
        <v>PWRCLEMEDU</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7"/>
        <v>96.25</v>
      </c>
      <c r="AN11" s="64">
        <f t="shared" si="7"/>
        <v>1E-3</v>
      </c>
      <c r="AO11" s="372">
        <f t="shared" si="7"/>
        <v>1.5E-3</v>
      </c>
      <c r="AP11" s="61">
        <f>AP10</f>
        <v>6.5141416666666604E-2</v>
      </c>
      <c r="AQ11" s="61">
        <f t="shared" si="8"/>
        <v>0.19683611111111107</v>
      </c>
      <c r="AR11" s="61">
        <f t="shared" si="8"/>
        <v>0.02</v>
      </c>
      <c r="AS11" s="64">
        <f t="shared" si="8"/>
        <v>5.0000000000000001E-3</v>
      </c>
      <c r="AT11" s="71">
        <v>2026</v>
      </c>
      <c r="AU11" s="71"/>
      <c r="AV11" s="71"/>
      <c r="BE11" s="46"/>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132</v>
      </c>
      <c r="G12" s="46" t="str">
        <f t="shared" si="5"/>
        <v>PWRCLEMEDU</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7"/>
        <v>1E-3</v>
      </c>
      <c r="AO12" s="372">
        <f t="shared" si="7"/>
        <v>1.5E-3</v>
      </c>
      <c r="AP12" s="61">
        <f>AP11</f>
        <v>6.5141416666666604E-2</v>
      </c>
      <c r="AQ12" s="61">
        <f>AQ11*'IRP Costs'!M26</f>
        <v>2.9641897186885938E-2</v>
      </c>
      <c r="AR12" s="61">
        <f t="shared" si="8"/>
        <v>0.02</v>
      </c>
      <c r="AS12" s="64">
        <f>AS11*'IRP Costs'!M28</f>
        <v>4.8156267382128718E-3</v>
      </c>
      <c r="AT12" s="71">
        <v>2030</v>
      </c>
      <c r="AU12" s="71"/>
      <c r="AV12" s="71"/>
      <c r="BE12" s="46"/>
      <c r="BL12" s="46"/>
      <c r="BM12" s="46"/>
    </row>
    <row r="13" spans="1:80" ht="11.25" customHeight="1" x14ac:dyDescent="0.2">
      <c r="B13" s="39" t="str">
        <f>Processes!B37</f>
        <v>EPTSTO-N</v>
      </c>
      <c r="C13" s="39" t="str">
        <f>Processes!C37</f>
        <v>Pumped Storage New Ingula - Single Storage Tech</v>
      </c>
      <c r="D13" s="39" t="str">
        <f>Processes!L37</f>
        <v>PJ,GW</v>
      </c>
      <c r="E13" s="39" t="s">
        <v>132</v>
      </c>
      <c r="F13" s="39" t="s">
        <v>132</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SUM(AW13:BG13)</f>
        <v>2.64</v>
      </c>
      <c r="AZ13" s="39">
        <v>0</v>
      </c>
      <c r="BA13" s="39">
        <v>0.99</v>
      </c>
      <c r="BB13" s="39">
        <v>0.33</v>
      </c>
      <c r="BC13" s="39">
        <v>0</v>
      </c>
      <c r="BF13" s="50">
        <f>SUM(AW13:BE13)</f>
        <v>1.32</v>
      </c>
      <c r="BL13" s="46"/>
    </row>
    <row r="14" spans="1:80" ht="11.25" customHeight="1" x14ac:dyDescent="0.2">
      <c r="B14" s="39" t="str">
        <f>Processes!B38</f>
        <v>ETODSGT-N</v>
      </c>
      <c r="C14" s="39" t="str">
        <f>Processes!C38</f>
        <v>DOE Peakers</v>
      </c>
      <c r="D14" s="39" t="str">
        <f>Processes!L38</f>
        <v>PJ,GW</v>
      </c>
      <c r="E14" s="39" t="s">
        <v>359</v>
      </c>
      <c r="F14" s="39" t="s">
        <v>132</v>
      </c>
      <c r="G14" s="46" t="str">
        <f t="shared" si="5"/>
        <v>PWRODS</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SUM(AW14:BG14)</f>
        <v>2.0100000000000002</v>
      </c>
      <c r="AY14" s="39">
        <v>0</v>
      </c>
      <c r="AZ14" s="39">
        <v>0.33500000000000002</v>
      </c>
      <c r="BA14" s="39">
        <v>0.67</v>
      </c>
      <c r="BB14" s="39">
        <v>0</v>
      </c>
      <c r="BF14" s="50">
        <f>SUM(AW14:BE14)</f>
        <v>1.0050000000000001</v>
      </c>
      <c r="BL14" s="46"/>
    </row>
    <row r="15" spans="1:80" ht="11.25" customHeight="1" x14ac:dyDescent="0.25">
      <c r="B15" s="39" t="str">
        <f>Processes!B39</f>
        <v>ETCLDFB-N</v>
      </c>
      <c r="C15" s="39" t="str">
        <f>Processes!C39</f>
        <v>Fluidised Bed Combustion Coal</v>
      </c>
      <c r="D15" s="39" t="str">
        <f>Processes!L39</f>
        <v>PJ,GW</v>
      </c>
      <c r="E15" s="39" t="s">
        <v>399</v>
      </c>
      <c r="F15" s="39" t="s">
        <v>132</v>
      </c>
      <c r="G15" s="46" t="str">
        <f t="shared" si="5"/>
        <v>PWRCLD</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9">AP11</f>
        <v>6.5141416666666604E-2</v>
      </c>
      <c r="AQ15" s="64">
        <f t="shared" si="9"/>
        <v>0.19683611111111107</v>
      </c>
      <c r="AR15" s="64">
        <f t="shared" si="9"/>
        <v>0.02</v>
      </c>
      <c r="AS15" s="64">
        <f t="shared" si="9"/>
        <v>5.0000000000000001E-3</v>
      </c>
      <c r="AT15" s="71">
        <v>2026</v>
      </c>
      <c r="AU15" s="64"/>
      <c r="AV15" s="64"/>
      <c r="BL15" s="46"/>
    </row>
    <row r="16" spans="1:80" ht="11.25" customHeight="1" x14ac:dyDescent="0.2">
      <c r="B16" s="39" t="str">
        <f>Processes!B40</f>
        <v>ERHYD-N</v>
      </c>
      <c r="C16" s="39" t="str">
        <f>Processes!C40</f>
        <v>Micro hydro</v>
      </c>
      <c r="D16" s="39" t="str">
        <f>Processes!L40</f>
        <v>PJ,GW</v>
      </c>
      <c r="E16" s="39" t="s">
        <v>358</v>
      </c>
      <c r="F16" s="39" t="s">
        <v>132</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ProcDataGenPre2012!S27</f>
        <v>0.12001708037216328</v>
      </c>
      <c r="AT16" s="71"/>
      <c r="AU16" s="39">
        <v>3</v>
      </c>
      <c r="AV16" s="39">
        <v>0.01</v>
      </c>
      <c r="BF16" s="39">
        <v>4.4999999999999997E-3</v>
      </c>
      <c r="BL16" s="46"/>
    </row>
    <row r="17" spans="1:78" ht="11.25" customHeight="1" x14ac:dyDescent="0.2">
      <c r="B17" s="39" t="str">
        <f>Processes!B41</f>
        <v>ETNUC-N</v>
      </c>
      <c r="C17" s="39" t="str">
        <f>Processes!C41</f>
        <v>Nuclear Mid</v>
      </c>
      <c r="D17" s="39" t="str">
        <f>Processes!L41</f>
        <v>PJ,GW</v>
      </c>
      <c r="E17" s="39" t="s">
        <v>357</v>
      </c>
      <c r="F17" s="39" t="s">
        <v>132</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L17" s="46"/>
    </row>
    <row r="18" spans="1:78" ht="11.25" customHeight="1" x14ac:dyDescent="0.2">
      <c r="B18" s="39" t="str">
        <f>Processes!B42</f>
        <v>ERSOLTC09-N</v>
      </c>
      <c r="C18" s="39" t="str">
        <f>Processes!C42</f>
        <v>Solar Central Receiver 09 hrs storage</v>
      </c>
      <c r="D18" s="39" t="str">
        <f>Processes!L42</f>
        <v>PJ,GW</v>
      </c>
      <c r="E18" s="39" t="s">
        <v>392</v>
      </c>
      <c r="F18" s="39" t="s">
        <v>132</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0">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392</v>
      </c>
      <c r="F19" s="39" t="s">
        <v>132</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0">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392</v>
      </c>
      <c r="F20" s="39" t="s">
        <v>132</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39">
        <f>REIPPP!M137</f>
        <v>0.68300000000000005</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398</v>
      </c>
      <c r="F21" s="39" t="s">
        <v>132</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39">
        <f>REIPPP!M138</f>
        <v>0.41599999999999998</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tr">
        <f>Processes!C46</f>
        <v>Grand Inga</v>
      </c>
      <c r="D22" s="39" t="str">
        <f>Processes!L46</f>
        <v>PJ,GW</v>
      </c>
      <c r="F22" s="39" t="s">
        <v>132</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397</v>
      </c>
      <c r="F23" s="39" t="s">
        <v>132</v>
      </c>
      <c r="G23" s="46" t="str">
        <f t="shared" ref="G23:G27" si="10">E23</f>
        <v>PWRGIC</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1931</v>
      </c>
      <c r="F24" s="39" t="s">
        <v>132</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397</v>
      </c>
      <c r="F25" s="39" t="s">
        <v>132</v>
      </c>
      <c r="G25" s="46" t="str">
        <f t="shared" si="10"/>
        <v>PWRGIC</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11">AN23</f>
        <v>1E-3</v>
      </c>
      <c r="AO25" s="39">
        <f t="shared" si="11"/>
        <v>1E-4</v>
      </c>
      <c r="AP25" s="39">
        <f t="shared" si="11"/>
        <v>0</v>
      </c>
      <c r="AQ25" s="39">
        <f t="shared" si="11"/>
        <v>0.15</v>
      </c>
      <c r="AR25" s="39">
        <f t="shared" si="11"/>
        <v>0.02</v>
      </c>
      <c r="AS25" s="39">
        <f t="shared" si="11"/>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397</v>
      </c>
      <c r="F26" s="39" t="s">
        <v>132</v>
      </c>
      <c r="G26" s="46" t="str">
        <f t="shared" si="10"/>
        <v>PWRGIC</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12">AO25</f>
        <v>1E-4</v>
      </c>
      <c r="AP26" s="39">
        <f t="shared" si="12"/>
        <v>0</v>
      </c>
      <c r="AQ26" s="39">
        <f t="shared" si="12"/>
        <v>0.15</v>
      </c>
      <c r="AR26" s="39">
        <f t="shared" si="12"/>
        <v>0.02</v>
      </c>
      <c r="AS26" s="39">
        <f t="shared" si="12"/>
        <v>5.0000000000000001E-3</v>
      </c>
      <c r="AT26" s="71">
        <v>2036</v>
      </c>
      <c r="BL26" s="46"/>
    </row>
    <row r="27" spans="1:78" ht="11.25" customHeight="1" x14ac:dyDescent="0.2">
      <c r="B27" s="39" t="str">
        <f>Processes!B51</f>
        <v>ETGICEN-N</v>
      </c>
      <c r="C27" s="39" t="str">
        <f>Processes!C51</f>
        <v>Gas Engines - LNG</v>
      </c>
      <c r="D27" s="39" t="str">
        <f>Processes!L51</f>
        <v>PJ,GW</v>
      </c>
      <c r="E27" s="39" t="s">
        <v>397</v>
      </c>
      <c r="F27" s="39" t="s">
        <v>132</v>
      </c>
      <c r="G27" s="46" t="str">
        <f t="shared" si="10"/>
        <v>PWRGIC</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3">AN25</f>
        <v>1E-3</v>
      </c>
      <c r="AO27" s="39">
        <f t="shared" si="13"/>
        <v>1E-4</v>
      </c>
      <c r="AP27" s="39">
        <f t="shared" si="13"/>
        <v>0</v>
      </c>
      <c r="AQ27" s="39">
        <f t="shared" si="13"/>
        <v>0.15</v>
      </c>
      <c r="AR27" s="39">
        <f t="shared" si="13"/>
        <v>0.02</v>
      </c>
      <c r="AS27" s="39">
        <f t="shared" si="13"/>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396</v>
      </c>
      <c r="F28" s="39" t="s">
        <v>132</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395</v>
      </c>
      <c r="F29" s="39" t="s">
        <v>132</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132</v>
      </c>
      <c r="F30" s="39" t="s">
        <v>132</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A32" s="39" t="s">
        <v>92</v>
      </c>
      <c r="B32" s="39" t="str">
        <f>Processes!B56</f>
        <v>ERSOLPRC-N</v>
      </c>
      <c r="C32" s="39" t="str">
        <f>Processes!C56</f>
        <v>Solar PV rooftop commercial</v>
      </c>
      <c r="D32" s="39" t="str">
        <f>Processes!L56</f>
        <v>PJ,GW</v>
      </c>
      <c r="E32" s="39" t="s">
        <v>392</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1:75" ht="11.25" customHeight="1" x14ac:dyDescent="0.2">
      <c r="A33" s="39" t="s">
        <v>92</v>
      </c>
      <c r="B33" s="39" t="str">
        <f>Processes!B57</f>
        <v>ERSOLPRR-N</v>
      </c>
      <c r="C33" s="39" t="str">
        <f>Processes!C57</f>
        <v>Solar PV rooftop residential</v>
      </c>
      <c r="D33" s="39" t="str">
        <f>Processes!L57</f>
        <v>PJ,GW</v>
      </c>
      <c r="E33" s="39" t="s">
        <v>392</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1:75" ht="11.25" customHeight="1" x14ac:dyDescent="0.2">
      <c r="A34" s="39" t="s">
        <v>92</v>
      </c>
      <c r="B34" s="39" t="str">
        <f>Processes!B58</f>
        <v>ERSOLPRI-N</v>
      </c>
      <c r="C34" s="39" t="str">
        <f>Processes!C58</f>
        <v>Solar PV rooftop Industry</v>
      </c>
      <c r="D34" s="39" t="str">
        <f>Processes!L58</f>
        <v>PJ,GW</v>
      </c>
      <c r="E34" s="39" t="s">
        <v>392</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1:75" ht="11.25" customHeight="1" x14ac:dyDescent="0.2">
      <c r="A35" s="39" t="s">
        <v>92</v>
      </c>
      <c r="B35" s="39" t="str">
        <f>Processes!B59</f>
        <v>ETGASENSS-N</v>
      </c>
      <c r="C35" s="39" t="str">
        <f>Processes!C59</f>
        <v xml:space="preserve">Sasol SSF Gas Plant </v>
      </c>
      <c r="D35" s="39" t="str">
        <f>Processes!L59</f>
        <v>PJ,GW</v>
      </c>
      <c r="E35" s="39" t="s">
        <v>134</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1:75" ht="11.25" customHeight="1" x14ac:dyDescent="0.2">
      <c r="A36" s="39" t="s">
        <v>92</v>
      </c>
      <c r="B36" s="39" t="str">
        <f>Processes!B60</f>
        <v>ETGASENSI-N</v>
      </c>
      <c r="C36" s="39" t="str">
        <f>Processes!C60</f>
        <v xml:space="preserve">Sasol Infrachem Gas Plant </v>
      </c>
      <c r="D36" s="39" t="str">
        <f>Processes!L60</f>
        <v>PJ,GW</v>
      </c>
      <c r="E36" s="39" t="s">
        <v>134</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1:75" ht="11.25" customHeight="1" x14ac:dyDescent="0.2">
      <c r="AT37" s="71"/>
      <c r="BL37" s="46"/>
    </row>
    <row r="38" spans="1:75" ht="11.25" customHeight="1" x14ac:dyDescent="0.2">
      <c r="AT38" s="71"/>
      <c r="BL38" s="46"/>
    </row>
    <row r="39" spans="1:75" ht="11.25" customHeight="1" x14ac:dyDescent="0.2">
      <c r="BL39" s="46"/>
    </row>
    <row r="40" spans="1:75" ht="11.25" customHeight="1" x14ac:dyDescent="0.2">
      <c r="BL40"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138</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400</v>
      </c>
      <c r="I4" s="67" t="s">
        <v>400</v>
      </c>
      <c r="J4" s="67" t="s">
        <v>400</v>
      </c>
      <c r="K4" s="67" t="s">
        <v>400</v>
      </c>
      <c r="L4" s="67" t="s">
        <v>400</v>
      </c>
      <c r="M4" s="67" t="s">
        <v>400</v>
      </c>
      <c r="N4" s="67" t="s">
        <v>400</v>
      </c>
      <c r="O4" s="67" t="s">
        <v>400</v>
      </c>
      <c r="P4" s="67" t="s">
        <v>400</v>
      </c>
      <c r="Q4" s="67" t="s">
        <v>400</v>
      </c>
      <c r="R4" s="67" t="s">
        <v>400</v>
      </c>
      <c r="S4" s="67" t="s">
        <v>400</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132</v>
      </c>
    </row>
    <row r="10" spans="1:19" ht="11.25" customHeight="1" x14ac:dyDescent="0.2">
      <c r="B10" s="39" t="str">
        <f>Processes!B39</f>
        <v>ETCLDFB-N</v>
      </c>
      <c r="C10" s="39" t="str">
        <f>Processes!C39</f>
        <v>Fluidised Bed Combustion Coal</v>
      </c>
      <c r="D10" s="39" t="str">
        <f>Processes!L39</f>
        <v>PJ,GW</v>
      </c>
      <c r="E10" s="39" t="s">
        <v>399</v>
      </c>
      <c r="F10" s="39" t="s">
        <v>132</v>
      </c>
      <c r="I10" s="39">
        <v>0.75</v>
      </c>
      <c r="M10" s="39">
        <v>0.75</v>
      </c>
    </row>
    <row r="11" spans="1:19" ht="11.25" customHeight="1" x14ac:dyDescent="0.2">
      <c r="B11" s="39" t="str">
        <f>Processes!B40</f>
        <v>ERHYD-N</v>
      </c>
      <c r="C11" s="39" t="str">
        <f>Processes!C40</f>
        <v>Micro hydro</v>
      </c>
      <c r="D11" s="39" t="str">
        <f>Processes!L40</f>
        <v>PJ,GW</v>
      </c>
      <c r="E11" s="39" t="s">
        <v>358</v>
      </c>
      <c r="F11" s="39" t="s">
        <v>132</v>
      </c>
    </row>
    <row r="12" spans="1:19" ht="11.25" customHeight="1" x14ac:dyDescent="0.2">
      <c r="B12" s="39" t="str">
        <f>Processes!B41</f>
        <v>ETNUC-N</v>
      </c>
      <c r="C12" s="39" t="str">
        <f>Processes!C41</f>
        <v>Nuclear Mid</v>
      </c>
      <c r="D12" s="39" t="str">
        <f>Processes!L41</f>
        <v>PJ,GW</v>
      </c>
      <c r="E12" s="39" t="s">
        <v>357</v>
      </c>
      <c r="F12" s="39" t="s">
        <v>132</v>
      </c>
    </row>
    <row r="13" spans="1:19" ht="11.25" customHeight="1" x14ac:dyDescent="0.2">
      <c r="B13" s="39" t="str">
        <f>Processes!B42</f>
        <v>ERSOLTC09-N</v>
      </c>
      <c r="C13" s="39" t="str">
        <f>Processes!C42</f>
        <v>Solar Central Receiver 09 hrs storage</v>
      </c>
      <c r="D13" s="39" t="str">
        <f>Processes!L42</f>
        <v>PJ,GW</v>
      </c>
      <c r="E13" s="39" t="s">
        <v>392</v>
      </c>
      <c r="F13" s="39" t="s">
        <v>132</v>
      </c>
    </row>
    <row r="14" spans="1:19" ht="11.25" customHeight="1" x14ac:dyDescent="0.2">
      <c r="B14" s="39" t="str">
        <f>Processes!B43</f>
        <v>ERSOLPCF-N</v>
      </c>
      <c r="C14" s="39" t="str">
        <f>Processes!C43</f>
        <v>Solar PV Fixed</v>
      </c>
      <c r="D14" s="39" t="str">
        <f>Processes!L43</f>
        <v>PJ,GW</v>
      </c>
      <c r="E14" s="39" t="s">
        <v>392</v>
      </c>
      <c r="F14" s="39" t="s">
        <v>132</v>
      </c>
    </row>
    <row r="15" spans="1:19" ht="11.25" customHeight="1" x14ac:dyDescent="0.2">
      <c r="B15" s="39" t="str">
        <f>Processes!B44</f>
        <v>ERSOLPCT-N</v>
      </c>
      <c r="C15" s="39" t="str">
        <f>Processes!C44</f>
        <v>Solar PV tracking</v>
      </c>
      <c r="D15" s="39" t="str">
        <f>Processes!L44</f>
        <v>PJ,GW</v>
      </c>
      <c r="E15" s="39" t="s">
        <v>392</v>
      </c>
      <c r="F15" s="39" t="s">
        <v>132</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398</v>
      </c>
      <c r="F16" s="39" t="s">
        <v>132</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132</v>
      </c>
      <c r="P17" s="39">
        <v>2.5</v>
      </c>
    </row>
    <row r="18" spans="1:16" ht="11.25" customHeight="1" x14ac:dyDescent="0.2">
      <c r="B18" s="39" t="str">
        <f>Processes!B47</f>
        <v>ETGICGT-N</v>
      </c>
      <c r="C18" s="39" t="str">
        <f>Processes!C47</f>
        <v>Open Cycle Gas Turbine - LNG</v>
      </c>
      <c r="D18" s="39" t="str">
        <f>Processes!L47</f>
        <v>PJ,GW</v>
      </c>
      <c r="E18" s="39" t="s">
        <v>397</v>
      </c>
      <c r="F18" s="39" t="s">
        <v>132</v>
      </c>
      <c r="J18" s="334">
        <v>1</v>
      </c>
      <c r="M18" s="39">
        <v>1</v>
      </c>
    </row>
    <row r="19" spans="1:16" ht="11.25" customHeight="1" x14ac:dyDescent="0.2">
      <c r="B19" s="39" t="str">
        <f>Processes!B49</f>
        <v>ETGICCC-N</v>
      </c>
      <c r="C19" s="39" t="str">
        <f>Processes!C49</f>
        <v>Combined Cycle Gas Turbine - LNG</v>
      </c>
      <c r="D19" s="39" t="str">
        <f>Processes!L49</f>
        <v>PJ,GW</v>
      </c>
      <c r="E19" s="39" t="s">
        <v>397</v>
      </c>
      <c r="F19" s="39" t="s">
        <v>132</v>
      </c>
      <c r="M19" s="39">
        <v>1</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c r="M18" s="334"/>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c r="I20" s="423"/>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t="s">
        <v>400</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132</v>
      </c>
    </row>
    <row r="18" spans="1:21" ht="11.25" customHeight="1" x14ac:dyDescent="0.2">
      <c r="B18" s="39" t="str">
        <f>Processes!B47</f>
        <v>ETGICGT-N</v>
      </c>
      <c r="C18" s="39" t="str">
        <f>Processes!C47</f>
        <v>Open Cycle Gas Turbine - LNG</v>
      </c>
      <c r="D18" s="39" t="str">
        <f>Processes!L47</f>
        <v>PJ,GW</v>
      </c>
      <c r="E18" s="39" t="s">
        <v>397</v>
      </c>
      <c r="F18" s="39" t="s">
        <v>132</v>
      </c>
      <c r="L18" s="334"/>
    </row>
    <row r="19" spans="1:21" ht="11.25" customHeight="1" x14ac:dyDescent="0.2">
      <c r="B19" s="39" t="str">
        <f>Processes!B49</f>
        <v>ETGICCC-N</v>
      </c>
      <c r="C19" s="39" t="str">
        <f>Processes!C49</f>
        <v>Combined Cycle Gas Turbine - LNG</v>
      </c>
      <c r="D19" s="39" t="str">
        <f>Processes!L49</f>
        <v>PJ,GW</v>
      </c>
      <c r="E19" s="39" t="s">
        <v>397</v>
      </c>
      <c r="F19" s="39" t="s">
        <v>132</v>
      </c>
    </row>
    <row r="20" spans="1:21" ht="11.25" customHeight="1" x14ac:dyDescent="0.2">
      <c r="B20" s="39" t="str">
        <f>Processes!B51</f>
        <v>ETGICEN-N</v>
      </c>
      <c r="C20" s="39" t="str">
        <f>Processes!C51</f>
        <v>Gas Engines - LNG</v>
      </c>
      <c r="D20" s="39" t="str">
        <f>Processes!L51</f>
        <v>PJ,GW</v>
      </c>
      <c r="E20" s="39" t="s">
        <v>397</v>
      </c>
      <c r="F20" s="39" t="s">
        <v>132</v>
      </c>
    </row>
    <row r="21" spans="1:21" ht="11.25" customHeight="1" x14ac:dyDescent="0.2">
      <c r="B21" s="39" t="str">
        <f>Processes!B52</f>
        <v>ERBIO-N</v>
      </c>
      <c r="C21" s="39" t="str">
        <f>Processes!C52</f>
        <v>Biomass municipal waste</v>
      </c>
      <c r="D21" s="39" t="str">
        <f>Processes!L52</f>
        <v>PJ,GW</v>
      </c>
      <c r="E21" s="39" t="s">
        <v>396</v>
      </c>
      <c r="F21" s="39" t="s">
        <v>132</v>
      </c>
    </row>
    <row r="22" spans="1:21" ht="11.25" customHeight="1" x14ac:dyDescent="0.2">
      <c r="B22" s="39" t="str">
        <f>Processes!B53</f>
        <v>ERBIG-N</v>
      </c>
      <c r="C22" s="39" t="str">
        <f>Processes!C53</f>
        <v>Landfill gas</v>
      </c>
      <c r="D22" s="39" t="str">
        <f>Processes!L53</f>
        <v>PJ,GW</v>
      </c>
      <c r="E22" s="39" t="s">
        <v>395</v>
      </c>
      <c r="F22" s="39" t="s">
        <v>132</v>
      </c>
    </row>
    <row r="23" spans="1:21"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392</v>
      </c>
      <c r="F25" s="52" t="s">
        <v>394</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392</v>
      </c>
      <c r="F26" s="52" t="s">
        <v>393</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392</v>
      </c>
      <c r="F27" s="52" t="s">
        <v>391</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138</v>
      </c>
    </row>
    <row r="2" spans="1:12" ht="11.25" customHeight="1" x14ac:dyDescent="0.2">
      <c r="A2" s="54" t="str">
        <f ca="1">MID(CELL("filename",A1),FIND("]",CELL("filename",A1))+1,255)</f>
        <v>ProcDataRMIPPPP</v>
      </c>
    </row>
    <row r="3" spans="1:12" ht="34.5" customHeight="1" x14ac:dyDescent="0.2">
      <c r="L3" s="39" t="s">
        <v>385</v>
      </c>
    </row>
    <row r="4" spans="1:12" ht="21.75" customHeight="1" x14ac:dyDescent="0.2">
      <c r="E4" s="68"/>
      <c r="F4" s="68"/>
      <c r="G4" s="68"/>
      <c r="H4" s="67" t="s">
        <v>400</v>
      </c>
      <c r="I4" s="67" t="s">
        <v>400</v>
      </c>
      <c r="J4" s="67" t="s">
        <v>400</v>
      </c>
      <c r="K4" s="67" t="s">
        <v>400</v>
      </c>
      <c r="L4" s="67" t="s">
        <v>374</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132</v>
      </c>
    </row>
    <row r="10" spans="1:12" ht="11.25" customHeight="1" x14ac:dyDescent="0.2">
      <c r="B10" s="39" t="str">
        <f>Processes!B39</f>
        <v>ETCLDFB-N</v>
      </c>
      <c r="C10" s="39" t="str">
        <f>Processes!C39</f>
        <v>Fluidised Bed Combustion Coal</v>
      </c>
      <c r="D10" s="39" t="str">
        <f>Processes!L39</f>
        <v>PJ,GW</v>
      </c>
      <c r="E10" s="39" t="s">
        <v>399</v>
      </c>
      <c r="F10" s="39" t="s">
        <v>132</v>
      </c>
    </row>
    <row r="11" spans="1:12" ht="11.25" customHeight="1" x14ac:dyDescent="0.2">
      <c r="B11" s="39" t="str">
        <f>Processes!B40</f>
        <v>ERHYD-N</v>
      </c>
      <c r="C11" s="39" t="str">
        <f>Processes!C40</f>
        <v>Micro hydro</v>
      </c>
      <c r="D11" s="39" t="str">
        <f>Processes!L40</f>
        <v>PJ,GW</v>
      </c>
      <c r="E11" s="39" t="s">
        <v>358</v>
      </c>
      <c r="F11" s="39" t="s">
        <v>132</v>
      </c>
    </row>
    <row r="12" spans="1:12" ht="11.25" customHeight="1" x14ac:dyDescent="0.2">
      <c r="B12" s="39" t="str">
        <f>Processes!B41</f>
        <v>ETNUC-N</v>
      </c>
      <c r="C12" s="39" t="str">
        <f>Processes!C41</f>
        <v>Nuclear Mid</v>
      </c>
      <c r="D12" s="39" t="str">
        <f>Processes!L41</f>
        <v>PJ,GW</v>
      </c>
      <c r="E12" s="39" t="s">
        <v>357</v>
      </c>
      <c r="F12" s="39" t="s">
        <v>132</v>
      </c>
    </row>
    <row r="13" spans="1:12" ht="11.25" customHeight="1" x14ac:dyDescent="0.2">
      <c r="B13" s="39" t="str">
        <f>Processes!B42</f>
        <v>ERSOLTC09-N</v>
      </c>
      <c r="C13" s="39" t="str">
        <f>Processes!C42</f>
        <v>Solar Central Receiver 09 hrs storage</v>
      </c>
      <c r="D13" s="39" t="str">
        <f>Processes!L42</f>
        <v>PJ,GW</v>
      </c>
      <c r="E13" s="39" t="s">
        <v>392</v>
      </c>
      <c r="F13" s="39" t="s">
        <v>132</v>
      </c>
    </row>
    <row r="14" spans="1:12" ht="11.25" customHeight="1" x14ac:dyDescent="0.2">
      <c r="B14" s="39" t="str">
        <f>Processes!B43</f>
        <v>ERSOLPCF-N</v>
      </c>
      <c r="C14" s="39" t="str">
        <f>Processes!C43</f>
        <v>Solar PV Fixed</v>
      </c>
      <c r="D14" s="39" t="str">
        <f>Processes!L43</f>
        <v>PJ,GW</v>
      </c>
      <c r="E14" s="39" t="s">
        <v>392</v>
      </c>
      <c r="F14" s="39" t="s">
        <v>132</v>
      </c>
    </row>
    <row r="15" spans="1:12" ht="11.25" customHeight="1" x14ac:dyDescent="0.2">
      <c r="B15" s="39" t="str">
        <f>Processes!B44</f>
        <v>ERSOLPCT-N</v>
      </c>
      <c r="C15" s="39" t="str">
        <f>Processes!C44</f>
        <v>Solar PV tracking</v>
      </c>
      <c r="D15" s="39" t="str">
        <f>Processes!L44</f>
        <v>PJ,GW</v>
      </c>
      <c r="E15" s="39" t="s">
        <v>392</v>
      </c>
      <c r="F15" s="39" t="s">
        <v>132</v>
      </c>
      <c r="I15" s="39">
        <f>RMIPPPP!E46/1000</f>
        <v>0.59858333333333347</v>
      </c>
    </row>
    <row r="16" spans="1:12" ht="11.25" customHeight="1" x14ac:dyDescent="0.2">
      <c r="B16" s="39" t="str">
        <f>Processes!B45</f>
        <v>ERWNDH-N</v>
      </c>
      <c r="C16" s="39" t="str">
        <f>Processes!C45</f>
        <v>Wind</v>
      </c>
      <c r="D16" s="39" t="str">
        <f>Processes!L45</f>
        <v>PJ,GW</v>
      </c>
      <c r="E16" s="39" t="s">
        <v>398</v>
      </c>
      <c r="F16" s="39" t="s">
        <v>132</v>
      </c>
      <c r="H16" s="334"/>
      <c r="I16" s="39">
        <f>RMIPPPP!F46/1000</f>
        <v>0.16916666666666666</v>
      </c>
    </row>
    <row r="17" spans="1:12" ht="11.25" customHeight="1" x14ac:dyDescent="0.2">
      <c r="B17" s="39" t="str">
        <f>Processes!B46</f>
        <v>ERHYDGIW-I</v>
      </c>
      <c r="C17" s="39" t="str">
        <f>Processes!C46</f>
        <v>Grand Inga</v>
      </c>
      <c r="D17" s="39" t="str">
        <f>Processes!L46</f>
        <v>PJ,GW</v>
      </c>
      <c r="F17" s="39" t="s">
        <v>132</v>
      </c>
    </row>
    <row r="18" spans="1:12" ht="11.25" customHeight="1" x14ac:dyDescent="0.2">
      <c r="B18" s="39" t="str">
        <f>Processes!B47</f>
        <v>ETGICGT-N</v>
      </c>
      <c r="C18" s="39" t="str">
        <f>Processes!C47</f>
        <v>Open Cycle Gas Turbine - LNG</v>
      </c>
      <c r="D18" s="39" t="str">
        <f>Processes!L47</f>
        <v>PJ,GW</v>
      </c>
      <c r="E18" s="39" t="s">
        <v>397</v>
      </c>
      <c r="F18" s="39" t="s">
        <v>132</v>
      </c>
    </row>
    <row r="19" spans="1:12" ht="11.25" customHeight="1" x14ac:dyDescent="0.2">
      <c r="B19" s="39" t="str">
        <f>Processes!B49</f>
        <v>ETGICCC-N</v>
      </c>
      <c r="C19" s="39" t="str">
        <f>Processes!C49</f>
        <v>Combined Cycle Gas Turbine - LNG</v>
      </c>
      <c r="D19" s="39" t="str">
        <f>Processes!L49</f>
        <v>PJ,GW</v>
      </c>
      <c r="E19" s="39" t="s">
        <v>397</v>
      </c>
      <c r="F19" s="39" t="s">
        <v>132</v>
      </c>
    </row>
    <row r="20" spans="1:12" ht="11.25" customHeight="1" x14ac:dyDescent="0.2">
      <c r="B20" s="39" t="str">
        <f>Processes!B51</f>
        <v>ETGICEN-N</v>
      </c>
      <c r="C20" s="39" t="str">
        <f>Processes!C51</f>
        <v>Gas Engines - LNG</v>
      </c>
      <c r="D20" s="39" t="str">
        <f>Processes!L51</f>
        <v>PJ,GW</v>
      </c>
      <c r="E20" s="39" t="s">
        <v>397</v>
      </c>
      <c r="F20" s="39" t="s">
        <v>132</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396</v>
      </c>
      <c r="F21" s="39" t="s">
        <v>132</v>
      </c>
    </row>
    <row r="22" spans="1:12" ht="11.25" customHeight="1" x14ac:dyDescent="0.2">
      <c r="B22" s="39" t="str">
        <f>Processes!B53</f>
        <v>ERBIG-N</v>
      </c>
      <c r="C22" s="39" t="str">
        <f>Processes!C53</f>
        <v>Landfill gas</v>
      </c>
      <c r="D22" s="39" t="str">
        <f>Processes!L53</f>
        <v>PJ,GW</v>
      </c>
      <c r="E22" s="39" t="s">
        <v>395</v>
      </c>
      <c r="F22" s="39" t="s">
        <v>132</v>
      </c>
    </row>
    <row r="23" spans="1:12" ht="11.25" customHeight="1" x14ac:dyDescent="0.2">
      <c r="B23" s="39" t="str">
        <f>Processes!B54</f>
        <v>ESTSUTL</v>
      </c>
      <c r="C23" s="39" t="str">
        <f>Processes!C54</f>
        <v>Utility Scale Storage - 4hrs</v>
      </c>
      <c r="D23" s="39" t="str">
        <f>Processes!L54</f>
        <v>PJ,GW</v>
      </c>
      <c r="E23" s="39" t="s">
        <v>132</v>
      </c>
      <c r="F23" s="39" t="s">
        <v>132</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392</v>
      </c>
      <c r="F25" s="52" t="s">
        <v>394</v>
      </c>
      <c r="H25" s="46"/>
      <c r="I25" s="46"/>
      <c r="J25" s="46"/>
      <c r="K25" s="46"/>
    </row>
    <row r="26" spans="1:12" ht="11.25" customHeight="1" x14ac:dyDescent="0.2">
      <c r="B26" s="39" t="str">
        <f>Processes!B57</f>
        <v>ERSOLPRR-N</v>
      </c>
      <c r="C26" s="39" t="str">
        <f>Processes!C57</f>
        <v>Solar PV rooftop residential</v>
      </c>
      <c r="D26" s="39" t="str">
        <f>Processes!L57</f>
        <v>PJ,GW</v>
      </c>
      <c r="E26" s="39" t="s">
        <v>392</v>
      </c>
      <c r="F26" s="52" t="s">
        <v>393</v>
      </c>
      <c r="H26" s="46"/>
      <c r="I26" s="46"/>
      <c r="J26" s="46"/>
      <c r="K26" s="46"/>
    </row>
    <row r="27" spans="1:12" ht="11.25" customHeight="1" x14ac:dyDescent="0.2">
      <c r="B27" s="39" t="str">
        <f>Processes!B58</f>
        <v>ERSOLPRI-N</v>
      </c>
      <c r="C27" s="39" t="str">
        <f>Processes!C58</f>
        <v>Solar PV rooftop Industry</v>
      </c>
      <c r="D27" s="39" t="str">
        <f>Processes!L58</f>
        <v>PJ,GW</v>
      </c>
      <c r="E27" s="39" t="s">
        <v>392</v>
      </c>
      <c r="F27" s="52" t="s">
        <v>391</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392</v>
      </c>
      <c r="F27" s="52" t="s">
        <v>391</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138</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407</v>
      </c>
      <c r="I3" s="69" t="s">
        <v>407</v>
      </c>
      <c r="J3" s="69" t="s">
        <v>407</v>
      </c>
      <c r="K3" s="69" t="s">
        <v>407</v>
      </c>
      <c r="L3" s="69" t="s">
        <v>407</v>
      </c>
      <c r="M3" s="69" t="s">
        <v>407</v>
      </c>
      <c r="N3" s="69" t="s">
        <v>407</v>
      </c>
      <c r="O3" s="69" t="s">
        <v>407</v>
      </c>
      <c r="P3" s="69" t="s">
        <v>1801</v>
      </c>
      <c r="Q3" s="69" t="s">
        <v>421</v>
      </c>
      <c r="R3" s="69" t="s">
        <v>419</v>
      </c>
      <c r="S3" s="39" t="s">
        <v>420</v>
      </c>
      <c r="AA3" s="69" t="s">
        <v>419</v>
      </c>
      <c r="AJ3" s="69" t="s">
        <v>419</v>
      </c>
      <c r="AS3" s="69" t="s">
        <v>419</v>
      </c>
      <c r="BB3" s="69" t="s">
        <v>419</v>
      </c>
      <c r="BO3" s="39">
        <v>2018</v>
      </c>
      <c r="BP3" s="69" t="s">
        <v>1893</v>
      </c>
      <c r="BQ3" s="69" t="s">
        <v>1894</v>
      </c>
    </row>
    <row r="4" spans="1:79" ht="21.75" customHeight="1" x14ac:dyDescent="0.2">
      <c r="E4" s="68"/>
      <c r="F4" s="68"/>
      <c r="G4" s="68"/>
      <c r="H4" s="55" t="s">
        <v>379</v>
      </c>
      <c r="I4" s="55" t="s">
        <v>379</v>
      </c>
      <c r="J4" s="55" t="s">
        <v>379</v>
      </c>
      <c r="K4" s="55" t="s">
        <v>379</v>
      </c>
      <c r="L4" s="55" t="s">
        <v>379</v>
      </c>
      <c r="M4" s="55" t="s">
        <v>379</v>
      </c>
      <c r="N4" s="55" t="s">
        <v>379</v>
      </c>
      <c r="O4" s="55" t="s">
        <v>379</v>
      </c>
      <c r="P4" s="55" t="s">
        <v>1802</v>
      </c>
      <c r="R4" s="39" t="s">
        <v>2219</v>
      </c>
      <c r="S4" s="55" t="s">
        <v>418</v>
      </c>
      <c r="T4" s="55" t="s">
        <v>418</v>
      </c>
      <c r="U4" s="55" t="s">
        <v>418</v>
      </c>
      <c r="V4" s="55" t="s">
        <v>418</v>
      </c>
      <c r="W4" s="55" t="s">
        <v>418</v>
      </c>
      <c r="X4" s="55" t="s">
        <v>418</v>
      </c>
      <c r="Y4" s="55" t="s">
        <v>418</v>
      </c>
      <c r="Z4" s="55" t="s">
        <v>418</v>
      </c>
      <c r="AA4" s="39" t="s">
        <v>2219</v>
      </c>
      <c r="AB4" s="55" t="s">
        <v>418</v>
      </c>
      <c r="AC4" s="55" t="s">
        <v>418</v>
      </c>
      <c r="AD4" s="55" t="s">
        <v>418</v>
      </c>
      <c r="AE4" s="55" t="s">
        <v>418</v>
      </c>
      <c r="AF4" s="55" t="s">
        <v>418</v>
      </c>
      <c r="AG4" s="55" t="s">
        <v>418</v>
      </c>
      <c r="AH4" s="55" t="s">
        <v>418</v>
      </c>
      <c r="AI4" s="55" t="s">
        <v>418</v>
      </c>
      <c r="AK4" s="55" t="s">
        <v>418</v>
      </c>
      <c r="AL4" s="55" t="s">
        <v>418</v>
      </c>
      <c r="AM4" s="55" t="s">
        <v>418</v>
      </c>
      <c r="AN4" s="55" t="s">
        <v>418</v>
      </c>
      <c r="AO4" s="55" t="s">
        <v>418</v>
      </c>
      <c r="AP4" s="55" t="s">
        <v>418</v>
      </c>
      <c r="AQ4" s="55" t="s">
        <v>418</v>
      </c>
      <c r="AR4" s="55" t="s">
        <v>418</v>
      </c>
      <c r="AT4" s="55" t="s">
        <v>418</v>
      </c>
      <c r="AU4" s="55" t="s">
        <v>418</v>
      </c>
      <c r="AV4" s="55" t="s">
        <v>418</v>
      </c>
      <c r="AW4" s="55" t="s">
        <v>418</v>
      </c>
      <c r="AX4" s="55" t="s">
        <v>418</v>
      </c>
      <c r="AY4" s="55" t="s">
        <v>418</v>
      </c>
      <c r="AZ4" s="55" t="s">
        <v>418</v>
      </c>
      <c r="BA4" s="55" t="s">
        <v>418</v>
      </c>
      <c r="BC4" s="55" t="s">
        <v>418</v>
      </c>
      <c r="BD4" s="55" t="s">
        <v>418</v>
      </c>
      <c r="BE4" s="55" t="s">
        <v>418</v>
      </c>
      <c r="BF4" s="55" t="s">
        <v>418</v>
      </c>
      <c r="BG4" s="55" t="s">
        <v>418</v>
      </c>
      <c r="BH4" s="55" t="s">
        <v>418</v>
      </c>
      <c r="BI4" s="55" t="s">
        <v>418</v>
      </c>
      <c r="BJ4" s="55" t="s">
        <v>418</v>
      </c>
      <c r="BN4" s="39" t="s">
        <v>1155</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2220</v>
      </c>
      <c r="S5" s="39" t="s">
        <v>417</v>
      </c>
      <c r="T5" s="39" t="s">
        <v>416</v>
      </c>
      <c r="U5" s="39" t="s">
        <v>415</v>
      </c>
      <c r="V5" s="39" t="s">
        <v>414</v>
      </c>
      <c r="W5" s="39" t="s">
        <v>413</v>
      </c>
      <c r="X5" s="39" t="s">
        <v>412</v>
      </c>
      <c r="Y5" s="39" t="s">
        <v>411</v>
      </c>
      <c r="Z5" s="39" t="s">
        <v>410</v>
      </c>
      <c r="AA5" s="53" t="s">
        <v>1124</v>
      </c>
      <c r="AB5" s="39" t="s">
        <v>417</v>
      </c>
      <c r="AC5" s="39" t="s">
        <v>416</v>
      </c>
      <c r="AD5" s="39" t="s">
        <v>415</v>
      </c>
      <c r="AE5" s="39" t="s">
        <v>414</v>
      </c>
      <c r="AF5" s="39" t="s">
        <v>413</v>
      </c>
      <c r="AG5" s="39" t="s">
        <v>412</v>
      </c>
      <c r="AH5" s="39" t="s">
        <v>411</v>
      </c>
      <c r="AI5" s="39" t="s">
        <v>410</v>
      </c>
      <c r="AK5" s="39" t="s">
        <v>417</v>
      </c>
      <c r="AL5" s="39" t="s">
        <v>416</v>
      </c>
      <c r="AM5" s="39" t="s">
        <v>415</v>
      </c>
      <c r="AN5" s="39" t="s">
        <v>414</v>
      </c>
      <c r="AO5" s="39" t="s">
        <v>413</v>
      </c>
      <c r="AP5" s="39" t="s">
        <v>412</v>
      </c>
      <c r="AQ5" s="39" t="s">
        <v>411</v>
      </c>
      <c r="AR5" s="39" t="s">
        <v>410</v>
      </c>
      <c r="AT5" s="39" t="s">
        <v>417</v>
      </c>
      <c r="AU5" s="39" t="s">
        <v>416</v>
      </c>
      <c r="AV5" s="39" t="s">
        <v>415</v>
      </c>
      <c r="AW5" s="39" t="s">
        <v>414</v>
      </c>
      <c r="AX5" s="39" t="s">
        <v>413</v>
      </c>
      <c r="AY5" s="39" t="s">
        <v>412</v>
      </c>
      <c r="AZ5" s="39" t="s">
        <v>411</v>
      </c>
      <c r="BA5" s="39" t="s">
        <v>410</v>
      </c>
      <c r="BC5" s="39" t="s">
        <v>417</v>
      </c>
      <c r="BD5" s="39" t="s">
        <v>416</v>
      </c>
      <c r="BE5" s="39" t="s">
        <v>415</v>
      </c>
      <c r="BF5" s="39" t="s">
        <v>414</v>
      </c>
      <c r="BG5" s="39" t="s">
        <v>413</v>
      </c>
      <c r="BH5" s="39" t="s">
        <v>412</v>
      </c>
      <c r="BI5" s="39" t="s">
        <v>411</v>
      </c>
      <c r="BJ5" s="39" t="s">
        <v>410</v>
      </c>
      <c r="BN5" s="39" t="s">
        <v>1156</v>
      </c>
      <c r="BO5" s="39">
        <v>1.83</v>
      </c>
      <c r="BP5" s="48">
        <f>BO5/BO$7</f>
        <v>1.6194690265486729</v>
      </c>
      <c r="BQ5" s="48">
        <f>BO5/BO$6</f>
        <v>1.7264150943396226</v>
      </c>
    </row>
    <row r="6" spans="1:79" ht="17.25" customHeight="1" x14ac:dyDescent="0.2">
      <c r="F6" s="39" t="s">
        <v>2491</v>
      </c>
      <c r="R6" s="39" t="s">
        <v>2220</v>
      </c>
      <c r="AA6" s="39" t="s">
        <v>2220</v>
      </c>
      <c r="BN6" s="39" t="s">
        <v>1891</v>
      </c>
      <c r="BO6" s="39">
        <v>1.06</v>
      </c>
      <c r="BP6" s="48">
        <f>BO6/BO$7</f>
        <v>0.93805309734513287</v>
      </c>
      <c r="BQ6" s="48">
        <f>BO6/BO$6</f>
        <v>1</v>
      </c>
    </row>
    <row r="7" spans="1:79" ht="21.75" customHeight="1" x14ac:dyDescent="0.2">
      <c r="B7" s="57" t="s">
        <v>2479</v>
      </c>
      <c r="C7" s="57" t="s">
        <v>2492</v>
      </c>
      <c r="D7" s="65" t="s">
        <v>2497</v>
      </c>
      <c r="E7" s="57" t="s">
        <v>2489</v>
      </c>
      <c r="F7" s="57" t="s">
        <v>2490</v>
      </c>
      <c r="G7" s="65" t="s">
        <v>2498</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1124</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1892</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392</v>
      </c>
      <c r="F9" s="39" t="s">
        <v>132</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392</v>
      </c>
      <c r="F10" s="39" t="s">
        <v>132</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392</v>
      </c>
      <c r="F11" s="39" t="s">
        <v>132</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398</v>
      </c>
      <c r="F12" s="39" t="s">
        <v>132</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1895</v>
      </c>
      <c r="BR13" s="39" t="s">
        <v>1896</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392</v>
      </c>
      <c r="F15" s="52" t="s">
        <v>394</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392</v>
      </c>
      <c r="F16" s="52" t="s">
        <v>393</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392</v>
      </c>
      <c r="F17" s="52" t="s">
        <v>391</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409</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408</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409</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408</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2054</v>
      </c>
      <c r="F25" s="39" t="s">
        <v>1972</v>
      </c>
      <c r="G25" s="377" t="s">
        <v>2033</v>
      </c>
      <c r="L25" s="39" t="s">
        <v>1784</v>
      </c>
      <c r="M25" s="396">
        <v>1</v>
      </c>
      <c r="N25" s="48">
        <v>1.3160000000000001</v>
      </c>
      <c r="O25" s="39" t="str">
        <f>IF(M25=1,"Overnight PV Costs (2015 R/kWac)","Overnight PV Costs Utility with s-axis tracking (2021 R/kWac)")</f>
        <v>Overnight PV Costs (2015 R/kWac)</v>
      </c>
    </row>
    <row r="26" spans="1:62" ht="11.25" customHeight="1" x14ac:dyDescent="0.2">
      <c r="A26" s="39" t="s">
        <v>2033</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2034</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2065</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1975</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1978</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1977</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1976</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2012</v>
      </c>
      <c r="K33" s="70">
        <f>NBI_NREL_etc!E84*M25</f>
        <v>12706.980000000001</v>
      </c>
      <c r="L33" s="70"/>
      <c r="M33" s="70"/>
      <c r="N33" s="70"/>
      <c r="O33" s="70"/>
    </row>
    <row r="34" spans="1:15" ht="11.25" customHeight="1" x14ac:dyDescent="0.2">
      <c r="A34" s="39" t="s">
        <v>2011</v>
      </c>
      <c r="K34" s="70">
        <f>NBI_NREL_etc!E85*M25</f>
        <v>10752.060000000001</v>
      </c>
      <c r="L34" s="70"/>
      <c r="M34" s="70"/>
      <c r="N34" s="70"/>
      <c r="O34" s="70"/>
    </row>
    <row r="35" spans="1:15" ht="11.25" customHeight="1" x14ac:dyDescent="0.2">
      <c r="A35" s="39" t="s">
        <v>2036</v>
      </c>
      <c r="K35" s="70">
        <f>NBI_NREL_etc!W117*M25</f>
        <v>12938.016000000001</v>
      </c>
      <c r="L35" s="70"/>
      <c r="M35" s="70"/>
      <c r="N35" s="70"/>
      <c r="O35" s="70"/>
    </row>
    <row r="36" spans="1:15" ht="11.25" customHeight="1" x14ac:dyDescent="0.2">
      <c r="A36" s="39" t="s">
        <v>2030</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2031</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2032</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2009</v>
      </c>
      <c r="K39" s="70">
        <f>K26*1.25</f>
        <v>13088.75</v>
      </c>
      <c r="L39" s="70">
        <f t="shared" ref="L39:O39" si="20">L26*1.25</f>
        <v>12286.25</v>
      </c>
      <c r="M39" s="70">
        <f t="shared" si="20"/>
        <v>11542.5</v>
      </c>
      <c r="N39" s="70">
        <f t="shared" si="20"/>
        <v>10253.75</v>
      </c>
      <c r="O39" s="70">
        <f t="shared" si="20"/>
        <v>9058.75</v>
      </c>
    </row>
    <row r="40" spans="1:15" ht="11.25" customHeight="1" x14ac:dyDescent="0.2">
      <c r="A40" s="39" t="s">
        <v>2010</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251</v>
      </c>
      <c r="F44" s="39" t="s">
        <v>1972</v>
      </c>
      <c r="G44" s="377" t="s">
        <v>2033</v>
      </c>
      <c r="O44" s="39" t="str">
        <f>IF(M25=1,"Overnight Wind Costs (2015 R/kW)","Overnight Wind Costs Utility (2021 R/kW)")</f>
        <v>Overnight Wind Costs (2015 R/kW)</v>
      </c>
    </row>
    <row r="45" spans="1:15" ht="11.25" customHeight="1" x14ac:dyDescent="0.2">
      <c r="A45" s="39" t="s">
        <v>2033</v>
      </c>
      <c r="K45" s="70">
        <f>12500*M25</f>
        <v>12500</v>
      </c>
      <c r="L45" s="70">
        <f>12391*M25</f>
        <v>12391</v>
      </c>
      <c r="M45" s="70">
        <f>12283*M25</f>
        <v>12283</v>
      </c>
      <c r="N45" s="70">
        <f>12069*M25</f>
        <v>12069</v>
      </c>
      <c r="O45" s="70">
        <f>11859*M25</f>
        <v>11859</v>
      </c>
    </row>
    <row r="46" spans="1:15" ht="11.25" customHeight="1" x14ac:dyDescent="0.2">
      <c r="A46" s="39" t="s">
        <v>2034</v>
      </c>
      <c r="K46" s="70">
        <f>12500*M25</f>
        <v>12500</v>
      </c>
      <c r="L46" s="70">
        <f>12114*M25</f>
        <v>12114</v>
      </c>
      <c r="M46" s="70">
        <f>11740*M25</f>
        <v>11740</v>
      </c>
      <c r="N46" s="70">
        <f>11026*M25</f>
        <v>11026</v>
      </c>
      <c r="O46" s="70">
        <f>10355*M25</f>
        <v>10355</v>
      </c>
    </row>
    <row r="47" spans="1:15" ht="11.25" customHeight="1" x14ac:dyDescent="0.2">
      <c r="A47" s="39" t="s">
        <v>1970</v>
      </c>
      <c r="K47" s="70">
        <f>NBI_NREL_etc!D46</f>
        <v>19850</v>
      </c>
      <c r="L47" s="70">
        <f>NBI_NREL_etc!E46</f>
        <v>17468</v>
      </c>
      <c r="M47" s="70">
        <f>NBI_NREL_etc!F46</f>
        <v>15880</v>
      </c>
      <c r="N47" s="70">
        <f>NBI_NREL_etc!G46</f>
        <v>14292</v>
      </c>
      <c r="O47" s="70">
        <f>NBI_NREL_etc!H46</f>
        <v>13498</v>
      </c>
    </row>
    <row r="48" spans="1:15" ht="11.25" customHeight="1" x14ac:dyDescent="0.2">
      <c r="A48" s="39" t="s">
        <v>1975</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2055</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2056</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1974</v>
      </c>
    </row>
    <row r="52" spans="1:15" ht="11.25" customHeight="1" x14ac:dyDescent="0.2">
      <c r="A52" s="39" t="s">
        <v>1971</v>
      </c>
    </row>
    <row r="53" spans="1:15" ht="11.25" customHeight="1" x14ac:dyDescent="0.2">
      <c r="A53" s="39" t="s">
        <v>2030</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2031</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2032</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2009</v>
      </c>
      <c r="K56" s="70">
        <f>K$45*1.25</f>
        <v>15625</v>
      </c>
      <c r="L56" s="70">
        <f>L$45*1.25</f>
        <v>15488.75</v>
      </c>
      <c r="M56" s="70">
        <f>M$45*1.25</f>
        <v>15353.75</v>
      </c>
      <c r="N56" s="70">
        <f>N$45*1.25</f>
        <v>15086.25</v>
      </c>
      <c r="O56" s="70">
        <f>O$45*1.25</f>
        <v>14823.75</v>
      </c>
    </row>
    <row r="57" spans="1:15" ht="11.25" customHeight="1" x14ac:dyDescent="0.2">
      <c r="A57" s="39" t="s">
        <v>2010</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9"/>
  <sheetViews>
    <sheetView tabSelected="1" workbookViewId="0">
      <selection activeCell="A15" sqref="A15:S29"/>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138</v>
      </c>
      <c r="H1" s="46" t="s">
        <v>92</v>
      </c>
      <c r="K1" s="39" t="s">
        <v>92</v>
      </c>
      <c r="N1" s="39" t="s">
        <v>92</v>
      </c>
      <c r="P1" s="39" t="s">
        <v>92</v>
      </c>
      <c r="U1" s="39" t="s">
        <v>92</v>
      </c>
    </row>
    <row r="2" spans="1:27" ht="11.25" customHeight="1" x14ac:dyDescent="0.2">
      <c r="A2" s="54" t="str">
        <f ca="1">MID(CELL("filename",A1),FIND("]",CELL("filename",A1))+1,255)</f>
        <v>ProcDataTnD</v>
      </c>
      <c r="U2" s="39" t="s">
        <v>2248</v>
      </c>
    </row>
    <row r="3" spans="1:27" ht="34.5" customHeight="1" x14ac:dyDescent="0.25">
      <c r="H3" s="69" t="s">
        <v>424</v>
      </c>
      <c r="J3" s="69" t="s">
        <v>388</v>
      </c>
      <c r="K3" s="69" t="s">
        <v>1798</v>
      </c>
      <c r="L3" s="69" t="s">
        <v>1798</v>
      </c>
      <c r="M3" s="69" t="s">
        <v>150</v>
      </c>
      <c r="N3" s="69" t="s">
        <v>1799</v>
      </c>
      <c r="O3" s="69" t="s">
        <v>1799</v>
      </c>
      <c r="P3" s="69" t="s">
        <v>1799</v>
      </c>
      <c r="R3" s="69" t="s">
        <v>406</v>
      </c>
      <c r="S3" s="69" t="s">
        <v>161</v>
      </c>
      <c r="U3" s="53" t="s">
        <v>736</v>
      </c>
    </row>
    <row r="4" spans="1:27" ht="21.75" customHeight="1" x14ac:dyDescent="0.2">
      <c r="E4" s="68"/>
      <c r="F4" s="68"/>
      <c r="G4" s="68"/>
      <c r="H4" s="68" t="s">
        <v>423</v>
      </c>
      <c r="I4" s="55" t="s">
        <v>121</v>
      </c>
      <c r="J4" s="55" t="s">
        <v>154</v>
      </c>
      <c r="K4" s="55" t="s">
        <v>379</v>
      </c>
      <c r="L4" s="55" t="s">
        <v>379</v>
      </c>
      <c r="M4" s="55" t="s">
        <v>119</v>
      </c>
      <c r="N4" s="67" t="s">
        <v>152</v>
      </c>
      <c r="O4" s="67" t="s">
        <v>152</v>
      </c>
      <c r="P4" s="67" t="s">
        <v>152</v>
      </c>
      <c r="Q4" s="67" t="s">
        <v>376</v>
      </c>
      <c r="R4" s="55" t="s">
        <v>402</v>
      </c>
      <c r="S4" s="55" t="s">
        <v>378</v>
      </c>
      <c r="U4" s="39" t="s">
        <v>736</v>
      </c>
    </row>
    <row r="5" spans="1:27" ht="16.5" customHeight="1" x14ac:dyDescent="0.2">
      <c r="I5" s="55" t="s">
        <v>27</v>
      </c>
      <c r="M5" s="66"/>
      <c r="N5" s="39">
        <v>2012</v>
      </c>
      <c r="P5" s="39">
        <v>2050</v>
      </c>
      <c r="U5" s="39" t="s">
        <v>2249</v>
      </c>
    </row>
    <row r="6" spans="1:27" ht="17.25" customHeight="1" x14ac:dyDescent="0.2">
      <c r="F6" s="39" t="s">
        <v>2491</v>
      </c>
      <c r="I6" s="55" t="s">
        <v>122</v>
      </c>
      <c r="M6" s="66"/>
      <c r="N6" s="55"/>
      <c r="O6" s="55"/>
      <c r="P6" s="55"/>
    </row>
    <row r="7" spans="1:27" ht="21.75" customHeight="1" x14ac:dyDescent="0.2">
      <c r="B7" s="57" t="s">
        <v>2479</v>
      </c>
      <c r="C7" s="57" t="s">
        <v>2492</v>
      </c>
      <c r="D7" s="65" t="s">
        <v>2497</v>
      </c>
      <c r="E7" s="57" t="s">
        <v>2489</v>
      </c>
      <c r="F7" s="57" t="s">
        <v>2490</v>
      </c>
      <c r="G7" s="65" t="s">
        <v>2498</v>
      </c>
      <c r="H7" s="65" t="s">
        <v>2499</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147</v>
      </c>
      <c r="F8" s="45"/>
    </row>
    <row r="9" spans="1:27" s="46" customFormat="1" ht="11.25" customHeight="1" x14ac:dyDescent="0.2">
      <c r="A9" s="39"/>
      <c r="B9" s="39" t="str">
        <f>Processes!B85</f>
        <v>ETRANS</v>
      </c>
      <c r="C9" s="39" t="str">
        <f>Processes!C85</f>
        <v>Transmission</v>
      </c>
      <c r="D9" s="39" t="str">
        <f>Processes!L85</f>
        <v>PJ,GW</v>
      </c>
      <c r="E9" s="39" t="s">
        <v>132</v>
      </c>
      <c r="F9" s="52" t="s">
        <v>123</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Processes!B87</f>
        <v>ELCDEM</v>
      </c>
      <c r="C10" s="39" t="str">
        <f>Processes!C87</f>
        <v>Electricity Demand</v>
      </c>
      <c r="D10" s="39" t="str">
        <f>Processes!L86</f>
        <v>PJ,GW</v>
      </c>
      <c r="E10" s="39" t="s">
        <v>132</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Processes!B86</f>
        <v>ETRANSDUM</v>
      </c>
      <c r="C11" s="39" t="str">
        <f>Processes!C86</f>
        <v>dummy tech tracking investment costs</v>
      </c>
      <c r="D11" s="39" t="str">
        <f>Processes!L86</f>
        <v>PJ,GW</v>
      </c>
      <c r="E11" s="52"/>
      <c r="F11" s="39" t="s">
        <v>422</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row r="13" spans="1:27" ht="11.25" customHeight="1" x14ac:dyDescent="0.2">
      <c r="T13" s="46"/>
      <c r="U13" s="46"/>
      <c r="V13" s="46"/>
      <c r="W13" s="46"/>
      <c r="X13" s="46"/>
      <c r="Y13" s="46"/>
      <c r="Z13" s="46"/>
      <c r="AA13" s="46"/>
    </row>
    <row r="15" spans="1:27" ht="11.25" customHeight="1" x14ac:dyDescent="0.2">
      <c r="A15" s="39" t="s">
        <v>92</v>
      </c>
      <c r="B15" s="39" t="str">
        <f>Processes!B88</f>
        <v>XAGRELC</v>
      </c>
      <c r="C15" s="39" t="str">
        <f>Processes!C88</f>
        <v xml:space="preserve">Agriculatural Electricity                         </v>
      </c>
      <c r="D15" s="39" t="str">
        <f>Processes!L88</f>
        <v>PJ,GW</v>
      </c>
      <c r="E15" s="52" t="s">
        <v>123</v>
      </c>
      <c r="F15" s="39" t="str">
        <f t="shared" ref="F15:F29" si="3">RIGHT(B15,LEN(B15)-1)</f>
        <v>AGRELC</v>
      </c>
      <c r="H15" s="75">
        <v>0.13</v>
      </c>
      <c r="I15" s="50">
        <f t="shared" ref="I15:I28" si="4">1-H15</f>
        <v>0.87</v>
      </c>
      <c r="J15" s="48">
        <f>INDEX(ElecBY!$Q$58:$Q$80,MATCH(B15,ElecBY!$D$58:$D$80,0))</f>
        <v>1195.8626674828206</v>
      </c>
      <c r="K15" s="48">
        <f>INDEX(ElecBY!$N$58:$N$80,MATCH(B15,ElecBY!$D$58:$D$80,0))</f>
        <v>22934.328272409461</v>
      </c>
      <c r="M15" s="39">
        <v>31.536000000000001</v>
      </c>
      <c r="N15" s="48">
        <f>INDEX(ElecBY!$F$58:$F$80,MATCH(B15,ElecBY!$D$58:$D$80,0))</f>
        <v>0.91200000000000003</v>
      </c>
      <c r="O15" s="48">
        <f>N15</f>
        <v>0.91200000000000003</v>
      </c>
      <c r="P15" s="48">
        <f t="shared" ref="P15:P29" si="5">O15/2</f>
        <v>0.45600000000000002</v>
      </c>
      <c r="Q15" s="46"/>
      <c r="R15" s="46">
        <v>0</v>
      </c>
      <c r="S15" s="46">
        <v>60</v>
      </c>
    </row>
    <row r="16" spans="1:27" ht="11.25" customHeight="1" x14ac:dyDescent="0.2">
      <c r="A16" s="39" t="s">
        <v>92</v>
      </c>
      <c r="B16" s="39" t="str">
        <f>Processes!B89</f>
        <v>XCOMELC</v>
      </c>
      <c r="C16" s="39" t="str">
        <f>Processes!C89</f>
        <v xml:space="preserve">Commercial Electricity                            </v>
      </c>
      <c r="D16" s="39" t="str">
        <f>Processes!L89</f>
        <v>PJ,GW</v>
      </c>
      <c r="E16" s="52" t="s">
        <v>123</v>
      </c>
      <c r="F16" s="39" t="str">
        <f t="shared" si="3"/>
        <v>COMELC</v>
      </c>
      <c r="H16" s="77">
        <v>0.123</v>
      </c>
      <c r="I16" s="50">
        <f t="shared" si="4"/>
        <v>0.877</v>
      </c>
      <c r="J16" s="48">
        <f>INDEX(ElecBY!$Q$58:$Q$80,MATCH(B16,ElecBY!$D$58:$D$80,0))</f>
        <v>597.93133567839402</v>
      </c>
      <c r="K16" s="48">
        <f>INDEX(ElecBY!$N$58:$N$80,MATCH(B16,ElecBY!$D$58:$D$80,0))</f>
        <v>11467.164173352327</v>
      </c>
      <c r="M16" s="39">
        <v>31.536000000000001</v>
      </c>
      <c r="N16" s="48">
        <f>INDEX(ElecBY!$F$58:$F$80,MATCH(B16,ElecBY!$D$58:$D$80,0))</f>
        <v>6.0609000000000002</v>
      </c>
      <c r="O16" s="48">
        <f t="shared" ref="O16:O29" si="6">N16</f>
        <v>6.0609000000000002</v>
      </c>
      <c r="P16" s="48">
        <f t="shared" si="5"/>
        <v>3.0304500000000001</v>
      </c>
      <c r="R16" s="46">
        <v>0</v>
      </c>
      <c r="S16" s="46">
        <v>60</v>
      </c>
    </row>
    <row r="17" spans="1:19" ht="11.25" customHeight="1" x14ac:dyDescent="0.2">
      <c r="A17" s="39" t="s">
        <v>92</v>
      </c>
      <c r="B17" s="39" t="str">
        <f>Processes!B90</f>
        <v>XICPELC</v>
      </c>
      <c r="C17" s="39" t="str">
        <f>Processes!C90</f>
        <v xml:space="preserve">Industrial CP-Electricity                         </v>
      </c>
      <c r="D17" s="39" t="str">
        <f>Processes!L90</f>
        <v>PJ,GW</v>
      </c>
      <c r="E17" s="52" t="s">
        <v>391</v>
      </c>
      <c r="F17" s="39" t="str">
        <f t="shared" si="3"/>
        <v>ICPELC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1.2666999999999999</v>
      </c>
      <c r="O17" s="48">
        <f t="shared" si="6"/>
        <v>1.2666999999999999</v>
      </c>
      <c r="P17" s="48">
        <f t="shared" si="5"/>
        <v>0.63334999999999997</v>
      </c>
      <c r="R17" s="46">
        <v>0</v>
      </c>
      <c r="S17" s="46">
        <v>60</v>
      </c>
    </row>
    <row r="18" spans="1:19" ht="11.25" customHeight="1" x14ac:dyDescent="0.2">
      <c r="A18" s="39" t="s">
        <v>92</v>
      </c>
      <c r="B18" s="39" t="str">
        <f>Processes!B91</f>
        <v>XIFAELC</v>
      </c>
      <c r="C18" s="39" t="str">
        <f>Processes!C91</f>
        <v xml:space="preserve">Industrial FA-Electricity                         </v>
      </c>
      <c r="D18" s="39" t="str">
        <f>Processes!L91</f>
        <v>PJ,GW</v>
      </c>
      <c r="E18" s="52" t="s">
        <v>391</v>
      </c>
      <c r="F18" s="39" t="str">
        <f t="shared" si="3"/>
        <v>IFAELC</v>
      </c>
      <c r="H18" s="75">
        <v>0.06</v>
      </c>
      <c r="I18" s="50">
        <f t="shared" si="4"/>
        <v>0.94</v>
      </c>
      <c r="J18" s="48">
        <f>INDEX(ElecBY!$Q$58:$Q$80,MATCH(B18,ElecBY!$D$58:$D$80,0))</f>
        <v>284.22338537890136</v>
      </c>
      <c r="K18" s="48">
        <f>INDEX(ElecBY!$N$58:$N$80,MATCH(B18,ElecBY!$D$58:$D$80,0))</f>
        <v>5450.8536809632542</v>
      </c>
      <c r="M18" s="39">
        <v>31.536000000000001</v>
      </c>
      <c r="N18" s="48">
        <f>INDEX(ElecBY!$F$58:$F$80,MATCH(B18,ElecBY!$D$58:$D$80,0))</f>
        <v>0</v>
      </c>
      <c r="O18" s="48">
        <f t="shared" si="6"/>
        <v>0</v>
      </c>
      <c r="P18" s="48">
        <f t="shared" si="5"/>
        <v>0</v>
      </c>
      <c r="R18" s="46">
        <v>0</v>
      </c>
      <c r="S18" s="46">
        <v>60</v>
      </c>
    </row>
    <row r="19" spans="1:19" ht="11.25" customHeight="1" x14ac:dyDescent="0.2">
      <c r="A19" s="39" t="s">
        <v>92</v>
      </c>
      <c r="B19" s="39" t="str">
        <f>Processes!B92</f>
        <v>XIFBELC</v>
      </c>
      <c r="C19" s="39" t="str">
        <f>Processes!C92</f>
        <v xml:space="preserve">Industrial FB-Electricity                         </v>
      </c>
      <c r="D19" s="39" t="str">
        <f>Processes!L92</f>
        <v>PJ,GW</v>
      </c>
      <c r="E19" s="52" t="s">
        <v>391</v>
      </c>
      <c r="F19" s="39" t="str">
        <f t="shared" si="3"/>
        <v>IFBELC</v>
      </c>
      <c r="H19" s="75">
        <v>0.06</v>
      </c>
      <c r="I19" s="50">
        <f t="shared" si="4"/>
        <v>0.94</v>
      </c>
      <c r="J19" s="48">
        <f>INDEX(ElecBY!$Q$58:$Q$80,MATCH(B19,ElecBY!$D$58:$D$80,0))</f>
        <v>456.64168726285698</v>
      </c>
      <c r="K19" s="48">
        <f>INDEX(ElecBY!$N$58:$N$80,MATCH(B19,ElecBY!$D$58:$D$80,0))</f>
        <v>8757.502548848277</v>
      </c>
      <c r="M19" s="39">
        <v>31.536000000000001</v>
      </c>
      <c r="N19" s="48">
        <f>INDEX(ElecBY!$F$58:$F$80,MATCH(B19,ElecBY!$D$58:$D$80,0))</f>
        <v>0.54330000000000001</v>
      </c>
      <c r="O19" s="48">
        <f t="shared" si="6"/>
        <v>0.54330000000000001</v>
      </c>
      <c r="P19" s="48">
        <f t="shared" si="5"/>
        <v>0.27165</v>
      </c>
      <c r="R19" s="46">
        <v>0</v>
      </c>
      <c r="S19" s="46">
        <v>60</v>
      </c>
    </row>
    <row r="20" spans="1:19" ht="11.25" customHeight="1" x14ac:dyDescent="0.2">
      <c r="A20" s="39" t="s">
        <v>92</v>
      </c>
      <c r="B20" s="39" t="str">
        <f>Processes!B93</f>
        <v>XIISELC</v>
      </c>
      <c r="C20" s="39" t="str">
        <f>Processes!C93</f>
        <v xml:space="preserve">Industrial IS-Electricity                         </v>
      </c>
      <c r="D20" s="39" t="str">
        <f>Processes!L93</f>
        <v>PJ,GW</v>
      </c>
      <c r="E20" s="52" t="s">
        <v>391</v>
      </c>
      <c r="F20" s="39" t="str">
        <f t="shared" si="3"/>
        <v>IISELC</v>
      </c>
      <c r="H20" s="75">
        <v>0.06</v>
      </c>
      <c r="I20" s="50">
        <f t="shared" si="4"/>
        <v>0.94</v>
      </c>
      <c r="J20" s="48">
        <f>INDEX(ElecBY!$Q$58:$Q$80,MATCH(B20,ElecBY!$D$58:$D$80,0))</f>
        <v>284.22338537890141</v>
      </c>
      <c r="K20" s="48">
        <f>INDEX(ElecBY!$N$58:$N$80,MATCH(B20,ElecBY!$D$58:$D$80,0))</f>
        <v>5450.8536809632542</v>
      </c>
      <c r="M20" s="39">
        <v>31.536000000000001</v>
      </c>
      <c r="N20" s="48">
        <f>INDEX(ElecBY!$F$58:$F$80,MATCH(B20,ElecBY!$D$58:$D$80,0))</f>
        <v>3.5015000000000001</v>
      </c>
      <c r="O20" s="48">
        <f t="shared" si="6"/>
        <v>3.5015000000000001</v>
      </c>
      <c r="P20" s="48">
        <f t="shared" si="5"/>
        <v>1.75075</v>
      </c>
      <c r="R20" s="46">
        <v>0</v>
      </c>
      <c r="S20" s="46">
        <v>60</v>
      </c>
    </row>
    <row r="21" spans="1:19" ht="11.25" customHeight="1" x14ac:dyDescent="0.2">
      <c r="A21" s="39" t="s">
        <v>92</v>
      </c>
      <c r="B21" s="39" t="str">
        <f>Processes!B94</f>
        <v>XIMIELC</v>
      </c>
      <c r="C21" s="39" t="str">
        <f>Processes!C94</f>
        <v xml:space="preserve">Industrial MI-Electricity                         </v>
      </c>
      <c r="D21" s="39" t="str">
        <f>Processes!L94</f>
        <v>PJ,GW</v>
      </c>
      <c r="E21" s="52" t="s">
        <v>391</v>
      </c>
      <c r="F21" s="39" t="str">
        <f t="shared" si="3"/>
        <v>IMIELC</v>
      </c>
      <c r="H21" s="75">
        <v>0.05</v>
      </c>
      <c r="I21" s="50">
        <f t="shared" si="4"/>
        <v>0.95</v>
      </c>
      <c r="J21" s="48">
        <f>INDEX(ElecBY!$Q$58:$Q$80,MATCH(B21,ElecBY!$D$58:$D$80,0))</f>
        <v>284.22338537890141</v>
      </c>
      <c r="K21" s="48">
        <f>INDEX(ElecBY!$N$58:$N$80,MATCH(B21,ElecBY!$D$58:$D$80,0))</f>
        <v>5450.8536809632551</v>
      </c>
      <c r="M21" s="39">
        <v>31.536000000000001</v>
      </c>
      <c r="N21" s="48">
        <f>INDEX(ElecBY!$F$58:$F$80,MATCH(B21,ElecBY!$D$58:$D$80,0))</f>
        <v>4.1947999999999999</v>
      </c>
      <c r="O21" s="48">
        <f t="shared" si="6"/>
        <v>4.1947999999999999</v>
      </c>
      <c r="P21" s="48">
        <f t="shared" si="5"/>
        <v>2.0973999999999999</v>
      </c>
      <c r="R21" s="46">
        <v>0</v>
      </c>
      <c r="S21" s="46">
        <v>60</v>
      </c>
    </row>
    <row r="22" spans="1:19" ht="11.25" customHeight="1" x14ac:dyDescent="0.2">
      <c r="A22" s="39" t="s">
        <v>92</v>
      </c>
      <c r="B22" s="39" t="str">
        <f>Processes!B95</f>
        <v>XINFELC</v>
      </c>
      <c r="C22" s="39" t="str">
        <f>Processes!C95</f>
        <v xml:space="preserve">Industrial NF-Electricity                         </v>
      </c>
      <c r="D22" s="39" t="str">
        <f>Processes!L95</f>
        <v>PJ,GW</v>
      </c>
      <c r="E22" s="52" t="s">
        <v>391</v>
      </c>
      <c r="F22" s="39" t="str">
        <f t="shared" si="3"/>
        <v>INFELC</v>
      </c>
      <c r="H22" s="75">
        <v>0.06</v>
      </c>
      <c r="I22" s="50">
        <f t="shared" si="4"/>
        <v>0.94</v>
      </c>
      <c r="J22" s="48">
        <f>INDEX(ElecBY!$Q$58:$Q$80,MATCH(B22,ElecBY!$D$58:$D$80,0))</f>
        <v>284.22338537890136</v>
      </c>
      <c r="K22" s="48">
        <f>INDEX(ElecBY!$N$58:$N$80,MATCH(B22,ElecBY!$D$58:$D$80,0))</f>
        <v>5450.8536809632542</v>
      </c>
      <c r="M22" s="39">
        <v>31.536000000000001</v>
      </c>
      <c r="N22" s="48">
        <f>INDEX(ElecBY!$F$58:$F$80,MATCH(B22,ElecBY!$D$58:$D$80,0))</f>
        <v>2.8782000000000001</v>
      </c>
      <c r="O22" s="48">
        <f t="shared" si="6"/>
        <v>2.8782000000000001</v>
      </c>
      <c r="P22" s="48">
        <f t="shared" si="5"/>
        <v>1.4391</v>
      </c>
      <c r="R22" s="46">
        <v>0</v>
      </c>
      <c r="S22" s="46">
        <v>60</v>
      </c>
    </row>
    <row r="23" spans="1:19" ht="11.25" customHeight="1" x14ac:dyDescent="0.2">
      <c r="A23" s="39" t="s">
        <v>92</v>
      </c>
      <c r="B23" s="39" t="str">
        <f>Processes!B96</f>
        <v>XINMELC</v>
      </c>
      <c r="C23" s="39" t="str">
        <f>Processes!C96</f>
        <v xml:space="preserve">Industrial NM-Electricity                         </v>
      </c>
      <c r="D23" s="39" t="str">
        <f>Processes!L96</f>
        <v>PJ,GW</v>
      </c>
      <c r="E23" s="52" t="s">
        <v>391</v>
      </c>
      <c r="F23" s="39" t="str">
        <f t="shared" si="3"/>
        <v>INMELC</v>
      </c>
      <c r="H23" s="75">
        <v>0.06</v>
      </c>
      <c r="I23" s="50">
        <f t="shared" si="4"/>
        <v>0.94</v>
      </c>
      <c r="J23" s="48">
        <f>INDEX(ElecBY!$Q$58:$Q$80,MATCH(B23,ElecBY!$D$58:$D$80,0))</f>
        <v>284.22338537890141</v>
      </c>
      <c r="K23" s="48">
        <f>INDEX(ElecBY!$N$58:$N$80,MATCH(B23,ElecBY!$D$58:$D$80,0))</f>
        <v>5450.8536809632551</v>
      </c>
      <c r="M23" s="39">
        <v>31.536000000000001</v>
      </c>
      <c r="N23" s="48">
        <f>INDEX(ElecBY!$F$58:$F$80,MATCH(B23,ElecBY!$D$58:$D$80,0))</f>
        <v>0.8427</v>
      </c>
      <c r="O23" s="48">
        <f t="shared" si="6"/>
        <v>0.8427</v>
      </c>
      <c r="P23" s="48">
        <f t="shared" si="5"/>
        <v>0.42135</v>
      </c>
      <c r="R23" s="46">
        <v>0</v>
      </c>
      <c r="S23" s="46">
        <v>60</v>
      </c>
    </row>
    <row r="24" spans="1:19" ht="11.25" customHeight="1" x14ac:dyDescent="0.2">
      <c r="A24" s="39" t="s">
        <v>92</v>
      </c>
      <c r="B24" s="39" t="str">
        <f>Processes!B97</f>
        <v>XIOTELC</v>
      </c>
      <c r="C24" s="39" t="str">
        <f>Processes!C97</f>
        <v xml:space="preserve">Industrial OT-Electricity                         </v>
      </c>
      <c r="D24" s="39" t="str">
        <f>Processes!L97</f>
        <v>PJ,GW</v>
      </c>
      <c r="E24" s="52" t="s">
        <v>391</v>
      </c>
      <c r="F24" s="39" t="str">
        <f t="shared" si="3"/>
        <v>IOTELC</v>
      </c>
      <c r="H24" s="75">
        <v>0.06</v>
      </c>
      <c r="I24" s="50">
        <f t="shared" si="4"/>
        <v>0.94</v>
      </c>
      <c r="J24" s="48">
        <f>INDEX(ElecBY!$Q$58:$Q$80,MATCH(B24,ElecBY!$D$58:$D$80,0))</f>
        <v>456.64168726285692</v>
      </c>
      <c r="K24" s="48">
        <f>INDEX(ElecBY!$N$58:$N$80,MATCH(B24,ElecBY!$D$58:$D$80,0))</f>
        <v>8757.502548848277</v>
      </c>
      <c r="M24" s="39">
        <v>31.536000000000001</v>
      </c>
      <c r="N24" s="48">
        <f>INDEX(ElecBY!$F$58:$F$80,MATCH(B24,ElecBY!$D$58:$D$80,0))</f>
        <v>0.90400000000000003</v>
      </c>
      <c r="O24" s="48">
        <f t="shared" si="6"/>
        <v>0.90400000000000003</v>
      </c>
      <c r="P24" s="48">
        <f t="shared" si="5"/>
        <v>0.45200000000000001</v>
      </c>
      <c r="R24" s="46">
        <v>0</v>
      </c>
      <c r="S24" s="46">
        <v>60</v>
      </c>
    </row>
    <row r="25" spans="1:19" ht="11.25" customHeight="1" x14ac:dyDescent="0.2">
      <c r="A25" s="39" t="s">
        <v>92</v>
      </c>
      <c r="B25" s="39" t="str">
        <f>Processes!B98</f>
        <v>XIPPELC</v>
      </c>
      <c r="C25" s="39" t="str">
        <f>Processes!C98</f>
        <v xml:space="preserve">Industrial PP-Electricity                         </v>
      </c>
      <c r="D25" s="39" t="str">
        <f>Processes!L98</f>
        <v>PJ,GW</v>
      </c>
      <c r="E25" s="52" t="s">
        <v>391</v>
      </c>
      <c r="F25" s="39" t="str">
        <f t="shared" si="3"/>
        <v>IPPELC</v>
      </c>
      <c r="H25" s="75">
        <v>0.06</v>
      </c>
      <c r="I25" s="50">
        <f t="shared" si="4"/>
        <v>0.94</v>
      </c>
      <c r="J25" s="48">
        <f>INDEX(ElecBY!$Q$58:$Q$80,MATCH(B25,ElecBY!$D$58:$D$80,0))</f>
        <v>456.64168726285692</v>
      </c>
      <c r="K25" s="48">
        <f>INDEX(ElecBY!$N$58:$N$80,MATCH(B25,ElecBY!$D$58:$D$80,0))</f>
        <v>8757.502548848277</v>
      </c>
      <c r="M25" s="39">
        <v>31.536000000000001</v>
      </c>
      <c r="N25" s="48">
        <f>INDEX(ElecBY!$F$58:$F$80,MATCH(B25,ElecBY!$D$58:$D$80,0))</f>
        <v>1.3541000000000001</v>
      </c>
      <c r="O25" s="48">
        <f t="shared" si="6"/>
        <v>1.3541000000000001</v>
      </c>
      <c r="P25" s="48">
        <f t="shared" si="5"/>
        <v>0.67705000000000004</v>
      </c>
      <c r="R25" s="46">
        <v>0</v>
      </c>
      <c r="S25" s="46">
        <v>60</v>
      </c>
    </row>
    <row r="26" spans="1:19" ht="11.25" customHeight="1" x14ac:dyDescent="0.2">
      <c r="A26" s="39" t="s">
        <v>92</v>
      </c>
      <c r="B26" s="39" t="str">
        <f>Processes!B99</f>
        <v>XRESELC</v>
      </c>
      <c r="C26" s="39" t="str">
        <f>Processes!C99</f>
        <v xml:space="preserve">Residential Electricity                           </v>
      </c>
      <c r="D26" s="39" t="str">
        <f>Processes!L99</f>
        <v>PJ,GW</v>
      </c>
      <c r="E26" s="52" t="s">
        <v>123</v>
      </c>
      <c r="F26" s="39" t="str">
        <f t="shared" si="3"/>
        <v>RESELC</v>
      </c>
      <c r="H26" s="77">
        <v>0.19700000000000001</v>
      </c>
      <c r="I26" s="50">
        <f t="shared" si="4"/>
        <v>0.80299999999999994</v>
      </c>
      <c r="J26" s="48">
        <f>INDEX(ElecBY!$Q$58:$Q$80,MATCH(B26,ElecBY!$D$58:$D$80,0))</f>
        <v>1195.8626674828204</v>
      </c>
      <c r="K26" s="48">
        <f>INDEX(ElecBY!$N$58:$N$80,MATCH(B26,ElecBY!$D$58:$D$80,0))</f>
        <v>22934.328272409461</v>
      </c>
      <c r="M26" s="39">
        <v>31.536000000000001</v>
      </c>
      <c r="N26" s="48">
        <f>INDEX(ElecBY!$F$58:$F$80,MATCH(B26,ElecBY!$D$58:$D$80,0))</f>
        <v>10.6821</v>
      </c>
      <c r="O26" s="48">
        <f t="shared" si="6"/>
        <v>10.6821</v>
      </c>
      <c r="P26" s="48">
        <f t="shared" si="5"/>
        <v>5.3410500000000001</v>
      </c>
      <c r="R26" s="46">
        <v>0</v>
      </c>
      <c r="S26" s="46">
        <v>60</v>
      </c>
    </row>
    <row r="27" spans="1:19" ht="11.25" customHeight="1" x14ac:dyDescent="0.2">
      <c r="A27" s="39" t="s">
        <v>92</v>
      </c>
      <c r="B27" s="39" t="str">
        <f>Processes!B100</f>
        <v>XTRAELC</v>
      </c>
      <c r="C27" s="39" t="str">
        <f>Processes!C100</f>
        <v xml:space="preserve">Transport Electricity                             </v>
      </c>
      <c r="D27" s="39" t="str">
        <f>Processes!L100</f>
        <v>PJ,GW</v>
      </c>
      <c r="E27" s="52" t="s">
        <v>123</v>
      </c>
      <c r="F27" s="39" t="str">
        <f t="shared" si="3"/>
        <v>TRAELC</v>
      </c>
      <c r="H27" s="77">
        <v>4.8000000000000001E-2</v>
      </c>
      <c r="I27" s="50">
        <f t="shared" si="4"/>
        <v>0.95199999999999996</v>
      </c>
      <c r="J27" s="48">
        <f>INDEX(ElecBY!$Q$58:$Q$80,MATCH(B27,ElecBY!$D$58:$D$80,0))</f>
        <v>597.93133567839402</v>
      </c>
      <c r="K27" s="48">
        <f>INDEX(ElecBY!$N$58:$N$80,MATCH(B27,ElecBY!$D$58:$D$80,0))</f>
        <v>11467.164173352325</v>
      </c>
      <c r="M27" s="39">
        <v>31.536000000000001</v>
      </c>
      <c r="N27" s="48">
        <f>INDEX(ElecBY!$F$58:$F$80,MATCH(B27,ElecBY!$D$58:$D$80,0))</f>
        <v>9.9384999999999994</v>
      </c>
      <c r="O27" s="48">
        <f t="shared" si="6"/>
        <v>9.9384999999999994</v>
      </c>
      <c r="P27" s="48">
        <f t="shared" si="5"/>
        <v>4.9692499999999997</v>
      </c>
      <c r="R27" s="46">
        <v>0</v>
      </c>
      <c r="S27" s="46">
        <v>60</v>
      </c>
    </row>
    <row r="28" spans="1:19" ht="11.25" customHeight="1" x14ac:dyDescent="0.2">
      <c r="A28" s="39" t="s">
        <v>92</v>
      </c>
      <c r="B28" s="39" t="str">
        <f>Processes!B101</f>
        <v>XUPSELC</v>
      </c>
      <c r="C28" s="39" t="str">
        <f>Processes!C101</f>
        <v xml:space="preserve">Supply Sector Electricity                         </v>
      </c>
      <c r="D28" s="39" t="str">
        <f>Processes!L101</f>
        <v>PJ,GW</v>
      </c>
      <c r="E28" s="52" t="s">
        <v>123</v>
      </c>
      <c r="F28" s="39" t="str">
        <f t="shared" si="3"/>
        <v>UPSELC</v>
      </c>
      <c r="H28" s="75">
        <v>0.06</v>
      </c>
      <c r="I28" s="50">
        <f t="shared" si="4"/>
        <v>0.94</v>
      </c>
      <c r="J28" s="48">
        <f>INDEX(ElecBY!$Q$58:$Q$80,MATCH(B28,ElecBY!$D$58:$D$80,0))</f>
        <v>298.96566783919695</v>
      </c>
      <c r="K28" s="48">
        <f>INDEX(ElecBY!$N$58:$N$80,MATCH(B28,ElecBY!$D$58:$D$80,0))</f>
        <v>5733.5820866761624</v>
      </c>
      <c r="M28" s="39">
        <v>31.536000000000001</v>
      </c>
      <c r="N28" s="48">
        <f>INDEX(ElecBY!$F$58:$F$80,MATCH(B28,ElecBY!$D$58:$D$80,0))</f>
        <v>0.77349999999999997</v>
      </c>
      <c r="O28" s="48">
        <f t="shared" si="6"/>
        <v>0.77349999999999997</v>
      </c>
      <c r="P28" s="48">
        <f t="shared" si="5"/>
        <v>0.38674999999999998</v>
      </c>
      <c r="R28" s="46">
        <v>0</v>
      </c>
      <c r="S28" s="46">
        <v>60</v>
      </c>
    </row>
    <row r="29" spans="1:19" ht="11.25" customHeight="1" x14ac:dyDescent="0.2">
      <c r="A29" s="39" t="s">
        <v>92</v>
      </c>
      <c r="B29" s="39" t="str">
        <f>Processes!B102</f>
        <v>XINDELC</v>
      </c>
      <c r="C29" s="39" t="str">
        <f>Processes!C102</f>
        <v>Industry Electricity</v>
      </c>
      <c r="D29" s="39" t="str">
        <f>Processes!L102</f>
        <v>PJ,GW</v>
      </c>
      <c r="E29" s="52" t="s">
        <v>123</v>
      </c>
      <c r="F29" s="39" t="str">
        <f t="shared" si="3"/>
        <v>INDELC</v>
      </c>
      <c r="H29" s="46">
        <v>0</v>
      </c>
      <c r="J29" s="48">
        <v>0.01</v>
      </c>
      <c r="M29" s="39">
        <v>31.536000000000001</v>
      </c>
      <c r="N29" s="48">
        <v>15.5</v>
      </c>
      <c r="O29" s="48">
        <f t="shared" si="6"/>
        <v>15.5</v>
      </c>
      <c r="P29" s="48">
        <f t="shared" si="5"/>
        <v>7.75</v>
      </c>
      <c r="R29" s="46">
        <v>0</v>
      </c>
      <c r="S29"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138</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389</v>
      </c>
      <c r="I3" s="39" t="s">
        <v>1804</v>
      </c>
      <c r="J3" s="39" t="s">
        <v>1804</v>
      </c>
      <c r="K3" s="39" t="s">
        <v>1804</v>
      </c>
      <c r="L3" s="39" t="s">
        <v>1804</v>
      </c>
      <c r="M3" s="39" t="s">
        <v>1804</v>
      </c>
      <c r="N3" s="39" t="s">
        <v>1804</v>
      </c>
      <c r="O3" s="39" t="s">
        <v>1804</v>
      </c>
      <c r="P3" s="39" t="s">
        <v>1804</v>
      </c>
      <c r="T3" s="69" t="s">
        <v>2040</v>
      </c>
    </row>
    <row r="4" spans="1:29" ht="21.75" customHeight="1" x14ac:dyDescent="0.2">
      <c r="E4" s="68"/>
      <c r="F4" s="68"/>
      <c r="G4" s="68"/>
      <c r="H4" s="55" t="s">
        <v>120</v>
      </c>
      <c r="I4" s="55" t="s">
        <v>1810</v>
      </c>
      <c r="J4" s="55" t="s">
        <v>1810</v>
      </c>
      <c r="K4" s="55" t="s">
        <v>1810</v>
      </c>
      <c r="L4" s="55" t="s">
        <v>1810</v>
      </c>
      <c r="M4" s="55" t="s">
        <v>1810</v>
      </c>
      <c r="N4" s="55" t="s">
        <v>1810</v>
      </c>
      <c r="O4" s="55" t="s">
        <v>1810</v>
      </c>
      <c r="P4" s="55" t="s">
        <v>1810</v>
      </c>
    </row>
    <row r="5" spans="1:29" ht="16.5" customHeight="1" x14ac:dyDescent="0.2">
      <c r="I5" s="55" t="s">
        <v>122</v>
      </c>
      <c r="J5" s="55" t="s">
        <v>122</v>
      </c>
      <c r="K5" s="55" t="s">
        <v>122</v>
      </c>
      <c r="L5" s="55" t="s">
        <v>122</v>
      </c>
      <c r="M5" s="55" t="s">
        <v>122</v>
      </c>
      <c r="N5" s="55" t="s">
        <v>122</v>
      </c>
      <c r="O5" s="55" t="s">
        <v>122</v>
      </c>
      <c r="P5" s="55" t="s">
        <v>122</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1805</v>
      </c>
      <c r="F8" s="45"/>
    </row>
    <row r="9" spans="1:29" s="46" customFormat="1" ht="11.25" customHeight="1" x14ac:dyDescent="0.2">
      <c r="A9" s="39"/>
      <c r="B9" s="39" t="str">
        <f>Processes!B115</f>
        <v>PEXELC</v>
      </c>
      <c r="C9" s="39" t="str">
        <f>Processes!C115</f>
        <v>Exports of Electricity</v>
      </c>
      <c r="D9" s="39" t="str">
        <f>Processes!L115</f>
        <v>PJ,PJa</v>
      </c>
      <c r="E9" s="39" t="s">
        <v>132</v>
      </c>
      <c r="F9" s="52" t="str">
        <f>Commodities!B8</f>
        <v>ZDUMETRANS</v>
      </c>
      <c r="G9" s="46" t="s">
        <v>1809</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1128</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145</v>
      </c>
    </row>
    <row r="12" spans="1:29" ht="11.25" customHeight="1" x14ac:dyDescent="0.2">
      <c r="E12" s="52"/>
      <c r="H12" s="48"/>
      <c r="U12" s="18" t="s">
        <v>2039</v>
      </c>
      <c r="V12" s="18" t="s">
        <v>1128</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2040</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2041</v>
      </c>
      <c r="V16" s="39" t="s">
        <v>135</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2042</v>
      </c>
      <c r="V19" s="39" t="s">
        <v>160</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2043</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1946</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513</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164</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F37" sqref="F3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138</v>
      </c>
      <c r="M1" s="54" t="s">
        <v>92</v>
      </c>
      <c r="U1" s="39" t="s">
        <v>92</v>
      </c>
    </row>
    <row r="2" spans="1:23" ht="11.25" customHeight="1" x14ac:dyDescent="0.2">
      <c r="A2" s="54" t="str">
        <f ca="1">MID(CELL("filename",A1),FIND("]",CELL("filename",A1))+1,255)</f>
        <v>ProcDataMines</v>
      </c>
    </row>
    <row r="3" spans="1:23" ht="34.5" customHeight="1" x14ac:dyDescent="0.2">
      <c r="H3" s="69" t="s">
        <v>153</v>
      </c>
      <c r="I3" s="69" t="s">
        <v>431</v>
      </c>
      <c r="J3" s="69" t="s">
        <v>430</v>
      </c>
      <c r="K3" s="69" t="s">
        <v>429</v>
      </c>
      <c r="L3" s="39" t="s">
        <v>405</v>
      </c>
      <c r="M3" s="39"/>
      <c r="N3" s="39" t="s">
        <v>428</v>
      </c>
      <c r="P3" s="69" t="s">
        <v>151</v>
      </c>
    </row>
    <row r="4" spans="1:23" ht="21.75" customHeight="1" x14ac:dyDescent="0.2">
      <c r="E4" s="68"/>
      <c r="F4" s="68"/>
      <c r="G4" s="68"/>
      <c r="H4" s="55" t="s">
        <v>154</v>
      </c>
      <c r="I4" s="55" t="s">
        <v>120</v>
      </c>
      <c r="J4" s="67" t="s">
        <v>148</v>
      </c>
      <c r="K4" s="67" t="s">
        <v>148</v>
      </c>
      <c r="L4" s="67" t="s">
        <v>401</v>
      </c>
      <c r="M4" s="39"/>
      <c r="N4" s="67" t="s">
        <v>372</v>
      </c>
      <c r="O4" s="67" t="s">
        <v>372</v>
      </c>
      <c r="P4" s="55" t="s">
        <v>121</v>
      </c>
      <c r="Q4" s="67" t="s">
        <v>372</v>
      </c>
      <c r="R4" s="67" t="s">
        <v>372</v>
      </c>
      <c r="S4" s="67" t="s">
        <v>372</v>
      </c>
      <c r="T4" s="67" t="s">
        <v>372</v>
      </c>
      <c r="U4" s="67" t="s">
        <v>372</v>
      </c>
      <c r="V4" s="67" t="s">
        <v>372</v>
      </c>
      <c r="W4" s="67" t="s">
        <v>372</v>
      </c>
    </row>
    <row r="5" spans="1:23" ht="16.5" customHeight="1" x14ac:dyDescent="0.2">
      <c r="J5" s="39" t="s">
        <v>122</v>
      </c>
      <c r="K5" s="39" t="s">
        <v>122</v>
      </c>
      <c r="M5" s="39"/>
      <c r="N5" s="55" t="s">
        <v>427</v>
      </c>
      <c r="O5" s="55" t="s">
        <v>426</v>
      </c>
      <c r="P5" s="55" t="s">
        <v>27</v>
      </c>
      <c r="Q5" s="55" t="s">
        <v>368</v>
      </c>
      <c r="R5" s="55" t="s">
        <v>364</v>
      </c>
      <c r="S5" s="55" t="s">
        <v>369</v>
      </c>
      <c r="T5" s="55" t="s">
        <v>367</v>
      </c>
      <c r="U5" s="55" t="s">
        <v>363</v>
      </c>
      <c r="V5" s="55" t="s">
        <v>365</v>
      </c>
      <c r="W5" s="55" t="s">
        <v>366</v>
      </c>
    </row>
    <row r="6" spans="1:23" ht="17.25" customHeight="1" x14ac:dyDescent="0.2">
      <c r="F6" s="39" t="s">
        <v>2491</v>
      </c>
      <c r="M6" s="55" t="s">
        <v>143</v>
      </c>
      <c r="N6" s="39" t="s">
        <v>122</v>
      </c>
      <c r="O6" s="39" t="s">
        <v>122</v>
      </c>
      <c r="P6" s="55" t="s">
        <v>122</v>
      </c>
      <c r="Q6" s="39" t="s">
        <v>122</v>
      </c>
      <c r="R6" s="39" t="s">
        <v>122</v>
      </c>
      <c r="S6" s="39" t="s">
        <v>122</v>
      </c>
      <c r="T6" s="39" t="s">
        <v>122</v>
      </c>
      <c r="U6" s="39" t="s">
        <v>122</v>
      </c>
      <c r="V6" s="39" t="s">
        <v>122</v>
      </c>
      <c r="W6" s="39" t="s">
        <v>122</v>
      </c>
    </row>
    <row r="7" spans="1:23" ht="21.75" customHeight="1" x14ac:dyDescent="0.2">
      <c r="B7" s="57" t="s">
        <v>2479</v>
      </c>
      <c r="C7" s="57" t="s">
        <v>2492</v>
      </c>
      <c r="D7" s="65" t="s">
        <v>2497</v>
      </c>
      <c r="E7" s="57" t="s">
        <v>2489</v>
      </c>
      <c r="F7" s="57" t="s">
        <v>2490</v>
      </c>
      <c r="G7" s="65" t="s">
        <v>2498</v>
      </c>
      <c r="H7" s="69" t="str">
        <f t="shared" ref="H7:W7" si="0">IFERROR(REPLACE(H4,SEARCH("-",H4),1,"~"),H4)</f>
        <v>NCAP_FOM</v>
      </c>
      <c r="I7" s="69" t="str">
        <f t="shared" si="0"/>
        <v>ACT_COST</v>
      </c>
      <c r="J7" s="69" t="str">
        <f t="shared" si="0"/>
        <v>ACT_BND~UP</v>
      </c>
      <c r="K7" s="69" t="str">
        <f t="shared" si="0"/>
        <v>ACT_BND~UP</v>
      </c>
      <c r="L7" s="69" t="str">
        <f t="shared" si="0"/>
        <v>NCAP_START</v>
      </c>
      <c r="M7" s="69" t="s">
        <v>2500</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425</v>
      </c>
      <c r="F8" s="45"/>
      <c r="M8" s="39"/>
      <c r="N8" s="344">
        <v>8.2037515451125517E-2</v>
      </c>
      <c r="O8" s="63">
        <v>0.25727313452786532</v>
      </c>
      <c r="P8" s="63"/>
    </row>
    <row r="9" spans="1:23" s="46" customFormat="1" ht="11.25" customHeight="1" x14ac:dyDescent="0.2">
      <c r="A9" s="39"/>
      <c r="B9" s="39" t="str">
        <f>Processes!B62</f>
        <v>MINCSARNOVRS</v>
      </c>
      <c r="C9" s="39" t="str">
        <f>Processes!C62</f>
        <v>Coal Supply for Arnot-various</v>
      </c>
      <c r="D9" s="39" t="str">
        <f>Processes!L62</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Processes!B63</f>
        <v>MINCSCAMDVRS</v>
      </c>
      <c r="C10" s="39" t="str">
        <f>Processes!C63</f>
        <v>Coal Supply for Camden-various</v>
      </c>
      <c r="D10" s="39" t="str">
        <f>Processes!L63</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Processes!B64</f>
        <v>MINCSDUVHSER</v>
      </c>
      <c r="C11" s="39" t="str">
        <f>Processes!C64</f>
        <v>Coal Supply for Duvha-Seriti</v>
      </c>
      <c r="D11" s="39" t="str">
        <f>Processes!L64</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Processes!B65</f>
        <v>MINCSDUVHVRS</v>
      </c>
      <c r="C12" s="39" t="str">
        <f>Processes!C65</f>
        <v>Coal Supply for Duvha-various</v>
      </c>
      <c r="D12" s="39" t="str">
        <f>Processes!L65</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Processes!B66</f>
        <v>MINCSGROOVRS</v>
      </c>
      <c r="C13" s="39" t="str">
        <f>Processes!C66</f>
        <v>Coal Supply for Grootvlei-various</v>
      </c>
      <c r="D13" s="39" t="str">
        <f>Processes!L66</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Processes!B67</f>
        <v>MINCSHENDVRS</v>
      </c>
      <c r="C14" s="39" t="str">
        <f>Processes!C67</f>
        <v>Coal Supply for Hendrina-various</v>
      </c>
      <c r="D14" s="39" t="str">
        <f>Processes!L67</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Processes!B68</f>
        <v>MINCSKENDS32</v>
      </c>
      <c r="C15" s="39" t="str">
        <f>Processes!C68</f>
        <v>Coal Supply for Kendal-South 32</v>
      </c>
      <c r="D15" s="39" t="str">
        <f>Processes!L68</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Processes!B69</f>
        <v>MINCSKENDVRS</v>
      </c>
      <c r="C16" s="39" t="str">
        <f>Processes!C69</f>
        <v>Coal Supply for Kendal-various</v>
      </c>
      <c r="D16" s="39" t="str">
        <f>Processes!L69</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Processes!B70</f>
        <v>MINCSKOMAVRS</v>
      </c>
      <c r="C17" s="39" t="str">
        <f>Processes!C70</f>
        <v>Coal Supply for Komati-various</v>
      </c>
      <c r="D17" s="39" t="str">
        <f>Processes!L70</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Processes!B71</f>
        <v>MINCSKRIESER</v>
      </c>
      <c r="C18" s="39" t="str">
        <f>Processes!C71</f>
        <v xml:space="preserve">Coal Supply for Kriel-Seriti </v>
      </c>
      <c r="D18" s="39" t="str">
        <f>Processes!L71</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Processes!B72</f>
        <v>MINCSKRIEVRS</v>
      </c>
      <c r="C19" s="39" t="str">
        <f>Processes!C72</f>
        <v>Coal Supply for Kriel-various</v>
      </c>
      <c r="D19" s="39" t="str">
        <f>Processes!L72</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Processes!B73</f>
        <v>MINCSKUSINLG</v>
      </c>
      <c r="C20" s="39" t="str">
        <f>Processes!C73</f>
        <v>Coal Supply for Kusile-New Largo</v>
      </c>
      <c r="D20" s="39" t="str">
        <f>Processes!L73</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Processes!B74</f>
        <v>MINCSKUSIVRS</v>
      </c>
      <c r="C21" s="39" t="str">
        <f>Processes!C74</f>
        <v>Coal Supply for Kusile-various</v>
      </c>
      <c r="D21" s="39" t="str">
        <f>Processes!L74</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Processes!B75</f>
        <v>MINCSLETHSER</v>
      </c>
      <c r="C22" s="39" t="str">
        <f>Processes!C75</f>
        <v>Coal Supply for Lethabo-Seriti</v>
      </c>
      <c r="D22" s="39" t="str">
        <f>Processes!L75</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Processes!B76</f>
        <v>MINCSMAJUVRS</v>
      </c>
      <c r="C23" s="39" t="str">
        <f>Processes!C76</f>
        <v>Coal Supply for Majuba-various</v>
      </c>
      <c r="D23" s="39" t="str">
        <f>Processes!L76</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Processes!B77</f>
        <v>MINCSMATIEXX</v>
      </c>
      <c r="C24" s="39" t="str">
        <f>Processes!C77</f>
        <v xml:space="preserve">Coal Supply for Matimba-Exxaro </v>
      </c>
      <c r="D24" s="39" t="str">
        <f>Processes!L77</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Processes!B78</f>
        <v>MINCSMATLEXX</v>
      </c>
      <c r="C25" s="39" t="str">
        <f>Processes!C78</f>
        <v>Coal Supply for Matla-Exxaro</v>
      </c>
      <c r="D25" s="39" t="str">
        <f>Processes!L78</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Processes!B79</f>
        <v>MINCSMATLVRS</v>
      </c>
      <c r="C26" s="39" t="str">
        <f>Processes!C79</f>
        <v>Coal Supply for Matla-various</v>
      </c>
      <c r="D26" s="39" t="str">
        <f>Processes!L79</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Processes!B80</f>
        <v>MINCSMEDUEXX</v>
      </c>
      <c r="C27" s="39" t="str">
        <f>Processes!C80</f>
        <v>Coal Supply for Medupi-Exxaro</v>
      </c>
      <c r="D27" s="39" t="str">
        <f>Processes!L80</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Processes!B81</f>
        <v>MINCSTUTUSER</v>
      </c>
      <c r="C28" s="39" t="str">
        <f>Processes!C81</f>
        <v>Coal Supply for Tutuka-Seriti</v>
      </c>
      <c r="D28" s="39" t="str">
        <f>Processes!L81</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Processes!B82</f>
        <v>MINCSTUTUVRS</v>
      </c>
      <c r="C29" s="39" t="str">
        <f>Processes!C82</f>
        <v>Coal Supply for Tutuka-various</v>
      </c>
      <c r="D29" s="39" t="str">
        <f>Processes!L82</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1921</v>
      </c>
      <c r="U30" s="46"/>
    </row>
    <row r="31" spans="1:23" ht="11.25" customHeight="1" x14ac:dyDescent="0.2">
      <c r="B31" s="39" t="str">
        <f>Processes!B104</f>
        <v>XPWROHF</v>
      </c>
      <c r="C31" s="39" t="str">
        <f>Processes!C104</f>
        <v>Power Oil HFO</v>
      </c>
      <c r="D31" s="39" t="s">
        <v>118</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Processes!B105</f>
        <v>XPWROKE</v>
      </c>
      <c r="C32" s="39" t="str">
        <f>Processes!C105</f>
        <v>Power Oil Kerosene</v>
      </c>
      <c r="D32" s="39" t="s">
        <v>118</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Processes!B106</f>
        <v>XPWRODS</v>
      </c>
      <c r="C33" s="39" t="str">
        <f>Processes!C106</f>
        <v>Power Oil Diesel</v>
      </c>
      <c r="D33" s="39" t="s">
        <v>118</v>
      </c>
      <c r="F33" s="39" t="str">
        <f>Commodities!B48</f>
        <v>PWRODS</v>
      </c>
      <c r="I33" s="39">
        <v>136</v>
      </c>
      <c r="Q33" s="39"/>
      <c r="R33" s="39"/>
      <c r="S33" s="39"/>
      <c r="T33" s="39"/>
    </row>
    <row r="34" spans="2:20" ht="11.25" customHeight="1" x14ac:dyDescent="0.2">
      <c r="B34" s="39" t="str">
        <f>Processes!B107</f>
        <v>XPWRGIC</v>
      </c>
      <c r="C34" s="39" t="str">
        <f>Processes!C107</f>
        <v>Power Natural Gas Coastal</v>
      </c>
      <c r="D34" s="39" t="s">
        <v>118</v>
      </c>
      <c r="F34" s="39" t="str">
        <f>Commodities!B49</f>
        <v>PWRGIC</v>
      </c>
      <c r="I34" s="39">
        <v>100</v>
      </c>
      <c r="Q34" s="39"/>
      <c r="R34" s="39"/>
      <c r="S34" s="39"/>
      <c r="T34" s="39"/>
    </row>
    <row r="35" spans="2:20" ht="11.25" customHeight="1" x14ac:dyDescent="0.2">
      <c r="B35" s="39" t="str">
        <f>Processes!B108</f>
        <v>XPWRCLE</v>
      </c>
      <c r="C35" s="39" t="str">
        <f>Processes!C108</f>
        <v>Power Coal Low Grade</v>
      </c>
      <c r="D35" s="39" t="s">
        <v>118</v>
      </c>
      <c r="F35" s="39" t="str">
        <f>Commodities!B58</f>
        <v>PWRCLE</v>
      </c>
      <c r="Q35" s="39"/>
      <c r="R35" s="39"/>
      <c r="S35" s="39"/>
      <c r="T35" s="39"/>
    </row>
    <row r="36" spans="2:20" ht="11.25" customHeight="1" x14ac:dyDescent="0.2">
      <c r="B36" s="39" t="str">
        <f>Processes!B109</f>
        <v>XPWRNUC</v>
      </c>
      <c r="C36" s="39" t="str">
        <f>Processes!C109</f>
        <v>Power Nuclear Fuel</v>
      </c>
      <c r="D36" s="39" t="s">
        <v>118</v>
      </c>
      <c r="F36" s="39" t="str">
        <f>Commodities!B55</f>
        <v>PWRNUC</v>
      </c>
      <c r="Q36" s="39"/>
      <c r="R36" s="39"/>
      <c r="S36" s="39"/>
      <c r="T36" s="39"/>
    </row>
    <row r="37" spans="2:20" ht="11.25" customHeight="1" x14ac:dyDescent="0.2">
      <c r="B37" s="39" t="str">
        <f>Processes!B112</f>
        <v>XPWRHYD</v>
      </c>
      <c r="C37" s="39" t="str">
        <f>Processes!C112</f>
        <v>Power Hydro Energy</v>
      </c>
      <c r="D37" s="39" t="s">
        <v>118</v>
      </c>
      <c r="F37" s="39" t="str">
        <f>Commodities!B52</f>
        <v>PWRHYD</v>
      </c>
      <c r="Q37" s="39"/>
      <c r="R37" s="39"/>
      <c r="S37" s="39"/>
      <c r="T37" s="39"/>
    </row>
    <row r="38" spans="2:20" ht="11.25" customHeight="1" x14ac:dyDescent="0.2">
      <c r="B38" s="39" t="str">
        <f>Processes!B110</f>
        <v>XPWRSOL</v>
      </c>
      <c r="C38" s="39" t="str">
        <f>Processes!C110</f>
        <v>Power Solar Energy</v>
      </c>
      <c r="D38" s="39" t="s">
        <v>118</v>
      </c>
      <c r="F38" s="39" t="str">
        <f>Commodities!B53</f>
        <v>PWRSOL</v>
      </c>
      <c r="Q38" s="39"/>
      <c r="R38" s="39"/>
      <c r="S38" s="39"/>
      <c r="T38" s="39"/>
    </row>
    <row r="39" spans="2:20" ht="11.25" customHeight="1" x14ac:dyDescent="0.2">
      <c r="B39" s="39" t="str">
        <f>Processes!B111</f>
        <v>XPWRWND</v>
      </c>
      <c r="C39" s="39" t="str">
        <f>Processes!C111</f>
        <v>Power Wind Energy</v>
      </c>
      <c r="D39" s="39" t="s">
        <v>118</v>
      </c>
      <c r="F39" s="39" t="str">
        <f>Commodities!B54</f>
        <v>PWRWND</v>
      </c>
      <c r="Q39" s="39"/>
      <c r="R39" s="39"/>
      <c r="S39" s="39"/>
      <c r="T39" s="39"/>
    </row>
    <row r="40" spans="2:20" ht="11.25" customHeight="1" x14ac:dyDescent="0.2">
      <c r="B40" s="39" t="str">
        <f>Processes!B113</f>
        <v>MINPWRWAT</v>
      </c>
      <c r="C40" s="39" t="str">
        <f>Processes!C113</f>
        <v>Water Supply for Power Sector</v>
      </c>
      <c r="D40" s="39" t="str">
        <f>Processes!L113</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topLeftCell="A8" workbookViewId="0">
      <selection activeCell="C20" sqref="C20"/>
    </sheetView>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2101</v>
      </c>
      <c r="N3" s="57" t="s">
        <v>382</v>
      </c>
      <c r="Q3" s="70">
        <v>1000</v>
      </c>
    </row>
    <row r="4" spans="1:29" ht="20.25" customHeight="1" x14ac:dyDescent="0.25">
      <c r="E4" s="55" t="s">
        <v>433</v>
      </c>
      <c r="F4" s="55" t="s">
        <v>433</v>
      </c>
      <c r="G4" s="55" t="s">
        <v>1803</v>
      </c>
      <c r="H4" s="39" t="s">
        <v>2047</v>
      </c>
      <c r="I4" s="39" t="s">
        <v>2047</v>
      </c>
      <c r="J4" s="39" t="s">
        <v>2047</v>
      </c>
      <c r="K4" s="39" t="s">
        <v>2047</v>
      </c>
      <c r="L4" s="39" t="s">
        <v>2047</v>
      </c>
      <c r="N4" s="39" t="s">
        <v>2051</v>
      </c>
      <c r="P4" s="53">
        <v>1</v>
      </c>
    </row>
    <row r="5" spans="1:29" ht="19.5" customHeight="1" x14ac:dyDescent="0.2">
      <c r="E5" s="66"/>
      <c r="H5" s="39" t="s">
        <v>122</v>
      </c>
      <c r="I5" s="39" t="s">
        <v>122</v>
      </c>
      <c r="J5" s="39" t="s">
        <v>122</v>
      </c>
      <c r="K5" s="39" t="s">
        <v>122</v>
      </c>
      <c r="L5" s="39" t="s">
        <v>122</v>
      </c>
      <c r="P5" s="39">
        <v>2015</v>
      </c>
      <c r="Q5" s="39">
        <f>H7</f>
        <v>0</v>
      </c>
      <c r="R5" s="39">
        <f>I7</f>
        <v>2020</v>
      </c>
      <c r="S5" s="39">
        <f>J7</f>
        <v>2030</v>
      </c>
      <c r="T5" s="39">
        <f>K7</f>
        <v>2040</v>
      </c>
      <c r="U5" s="39">
        <f>L7</f>
        <v>2050</v>
      </c>
    </row>
    <row r="6" spans="1:29" ht="19.5" customHeight="1" x14ac:dyDescent="0.25">
      <c r="N6" s="39" t="s">
        <v>2050</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2043</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132</v>
      </c>
      <c r="C8" s="39" t="s">
        <v>432</v>
      </c>
      <c r="D8" s="39" t="s">
        <v>115</v>
      </c>
      <c r="E8" s="47">
        <v>0</v>
      </c>
      <c r="F8" s="39">
        <v>0.15</v>
      </c>
      <c r="G8" s="39">
        <v>1</v>
      </c>
      <c r="N8" s="39" t="s">
        <v>2048</v>
      </c>
      <c r="O8" s="39" t="s">
        <v>2049</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2102</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2099</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2171</v>
      </c>
      <c r="Q12" s="70"/>
    </row>
    <row r="13" spans="1:29" x14ac:dyDescent="0.2">
      <c r="Q13" s="70"/>
    </row>
    <row r="14" spans="1:29" x14ac:dyDescent="0.2">
      <c r="Q14" s="70"/>
    </row>
    <row r="15" spans="1:29" x14ac:dyDescent="0.2">
      <c r="Q15" s="70"/>
    </row>
    <row r="16" spans="1:29" x14ac:dyDescent="0.2">
      <c r="N16" s="39" t="s">
        <v>2169</v>
      </c>
    </row>
    <row r="17" spans="2:23" x14ac:dyDescent="0.2">
      <c r="P17" s="39" t="s">
        <v>1972</v>
      </c>
      <c r="S17" s="39" t="s">
        <v>2174</v>
      </c>
    </row>
    <row r="18" spans="2:23" ht="15" x14ac:dyDescent="0.25">
      <c r="P18" s="53" t="s">
        <v>2168</v>
      </c>
      <c r="Q18" s="39" t="s">
        <v>2168</v>
      </c>
      <c r="R18" s="39" t="s">
        <v>2238</v>
      </c>
      <c r="S18" s="39" t="s">
        <v>2005</v>
      </c>
      <c r="T18" s="39" t="s">
        <v>2170</v>
      </c>
      <c r="U18" s="39" t="s">
        <v>2006</v>
      </c>
    </row>
    <row r="19" spans="2:23" x14ac:dyDescent="0.2">
      <c r="O19" s="39" t="s">
        <v>2173</v>
      </c>
      <c r="P19" s="39" t="s">
        <v>2172</v>
      </c>
    </row>
    <row r="20" spans="2:23" x14ac:dyDescent="0.2">
      <c r="N20" s="39" t="s">
        <v>1963</v>
      </c>
      <c r="O20" s="409">
        <f>P20*Deflator!$W$4</f>
        <v>6.7888987782183019</v>
      </c>
      <c r="P20" s="395">
        <f>INDEX(Q20:U20,1,MATCH($P$18,$Q$18:$U$18,0))</f>
        <v>7.6</v>
      </c>
      <c r="Q20" s="395">
        <f>R32</f>
        <v>7.6</v>
      </c>
      <c r="R20" s="395">
        <f>Q20*$R$23/$Q$23</f>
        <v>14.544453545450754</v>
      </c>
      <c r="S20" s="395">
        <v>29</v>
      </c>
      <c r="T20" s="395">
        <v>51.6</v>
      </c>
      <c r="U20" s="395">
        <v>86.8</v>
      </c>
    </row>
    <row r="21" spans="2:23" x14ac:dyDescent="0.2">
      <c r="N21" s="39" t="s">
        <v>1964</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2:23" ht="12.75" x14ac:dyDescent="0.2">
      <c r="B22"/>
      <c r="C22" s="505" t="s">
        <v>2491</v>
      </c>
      <c r="D22" s="505"/>
      <c r="E22" s="341"/>
      <c r="N22" s="39" t="s">
        <v>1965</v>
      </c>
      <c r="O22" s="409">
        <f>P22*Deflator!$W$4</f>
        <v>10.110099522615098</v>
      </c>
      <c r="P22" s="395">
        <f>INDEX(Q22:U22,1,MATCH($P$18,$Q$18:$U$18,0))</f>
        <v>11.318</v>
      </c>
      <c r="Q22" s="395">
        <f>V32</f>
        <v>11.318</v>
      </c>
      <c r="R22" s="395">
        <f t="shared" si="2"/>
        <v>21.65975331939627</v>
      </c>
      <c r="S22" s="395">
        <v>116.7</v>
      </c>
      <c r="T22" s="395">
        <v>227.2</v>
      </c>
      <c r="U22" s="395">
        <v>402.3</v>
      </c>
    </row>
    <row r="23" spans="2:23" ht="12.75" x14ac:dyDescent="0.2">
      <c r="B23" s="506" t="s">
        <v>2504</v>
      </c>
      <c r="C23" s="506" t="s">
        <v>40</v>
      </c>
      <c r="D23" s="506" t="s">
        <v>2505</v>
      </c>
      <c r="E23" s="507">
        <v>2005</v>
      </c>
      <c r="N23" s="39" t="s">
        <v>2236</v>
      </c>
      <c r="Q23" s="425">
        <f>W47</f>
        <v>7.8380394040762816E-2</v>
      </c>
      <c r="R23" s="39">
        <v>0.15</v>
      </c>
    </row>
    <row r="24" spans="2:23" ht="22.5" x14ac:dyDescent="0.2">
      <c r="B24" s="508" t="s">
        <v>92</v>
      </c>
      <c r="C24" s="508" t="s">
        <v>2506</v>
      </c>
      <c r="D24" s="508" t="s">
        <v>2507</v>
      </c>
      <c r="E24" s="509" t="s">
        <v>2508</v>
      </c>
      <c r="Q24" s="70"/>
    </row>
    <row r="25" spans="2:23" ht="12" thickBot="1" x14ac:dyDescent="0.25">
      <c r="B25" s="510" t="s">
        <v>2509</v>
      </c>
      <c r="C25" s="510"/>
      <c r="D25" s="510"/>
      <c r="E25" s="511" t="s">
        <v>115</v>
      </c>
      <c r="O25" s="39" t="s">
        <v>2100</v>
      </c>
      <c r="Q25" s="39">
        <f>Q10*Q9</f>
        <v>6820.1366453596565</v>
      </c>
    </row>
    <row r="26" spans="2:23" x14ac:dyDescent="0.2">
      <c r="B26" s="18" t="s">
        <v>2510</v>
      </c>
      <c r="C26" s="18" t="str">
        <f>Commodities!B40</f>
        <v>ELCD</v>
      </c>
      <c r="D26" s="18" t="s">
        <v>115</v>
      </c>
      <c r="E26" s="18">
        <v>817.79790000000003</v>
      </c>
      <c r="O26" s="74"/>
    </row>
    <row r="27" spans="2:23" x14ac:dyDescent="0.2">
      <c r="W27" s="39" t="s">
        <v>2131</v>
      </c>
    </row>
    <row r="28" spans="2:23" x14ac:dyDescent="0.2">
      <c r="O28" s="74"/>
    </row>
    <row r="30" spans="2:23" x14ac:dyDescent="0.2">
      <c r="W30" s="39" t="s">
        <v>116</v>
      </c>
    </row>
    <row r="31" spans="2:23" x14ac:dyDescent="0.2">
      <c r="N31" s="39" t="s">
        <v>2092</v>
      </c>
      <c r="P31" s="39" t="s">
        <v>1964</v>
      </c>
      <c r="R31" s="39" t="s">
        <v>1963</v>
      </c>
      <c r="T31" s="39" t="s">
        <v>2095</v>
      </c>
      <c r="V31" s="39" t="s">
        <v>2096</v>
      </c>
    </row>
    <row r="32" spans="2:23" x14ac:dyDescent="0.2">
      <c r="O32" s="39" t="s">
        <v>2134</v>
      </c>
      <c r="P32" s="39">
        <v>4.4550000000000001</v>
      </c>
      <c r="R32" s="39">
        <v>7.6</v>
      </c>
      <c r="T32" s="39">
        <v>4.1000000000000002E-2</v>
      </c>
      <c r="V32" s="39">
        <v>11.318</v>
      </c>
    </row>
    <row r="33" spans="14:29" x14ac:dyDescent="0.2">
      <c r="O33" s="39" t="s">
        <v>2132</v>
      </c>
      <c r="P33" s="50">
        <f>P32*Deflator!$W$4</f>
        <v>3.9795452706529653</v>
      </c>
      <c r="R33" s="50">
        <f>R32*Deflator!$W$4</f>
        <v>6.7888987782183019</v>
      </c>
      <c r="X33" s="39" t="s">
        <v>2146</v>
      </c>
      <c r="Y33" s="39" t="s">
        <v>2138</v>
      </c>
    </row>
    <row r="34" spans="14:29" x14ac:dyDescent="0.2">
      <c r="O34" s="39" t="s">
        <v>2137</v>
      </c>
      <c r="P34" s="50">
        <f>P32*T38/1000*100</f>
        <v>0.85090500000000002</v>
      </c>
      <c r="R34" s="39">
        <f>R32*T40/1000*100</f>
        <v>6.839999999999999</v>
      </c>
      <c r="W34" s="50">
        <f>SUM(P34:R34)</f>
        <v>7.690904999999999</v>
      </c>
      <c r="X34" s="48">
        <f>W34*Deflator!S3/Deflator!W3</f>
        <v>6.2114174698692768</v>
      </c>
    </row>
    <row r="35" spans="14:29" x14ac:dyDescent="0.2">
      <c r="S35" s="39" t="s">
        <v>2105</v>
      </c>
      <c r="Y35" s="39" t="s">
        <v>2139</v>
      </c>
      <c r="AA35" s="39" t="s">
        <v>2141</v>
      </c>
      <c r="AB35" s="39" t="s">
        <v>2145</v>
      </c>
      <c r="AC35" s="39" t="s">
        <v>2147</v>
      </c>
    </row>
    <row r="36" spans="14:29" x14ac:dyDescent="0.2">
      <c r="S36" s="39" t="s">
        <v>127</v>
      </c>
      <c r="T36" s="39" t="s">
        <v>2104</v>
      </c>
      <c r="U36" s="39" t="s">
        <v>2103</v>
      </c>
      <c r="V36" s="39" t="s">
        <v>2106</v>
      </c>
      <c r="W36" s="39" t="s">
        <v>135</v>
      </c>
      <c r="Y36" s="39" t="s">
        <v>2140</v>
      </c>
      <c r="AA36" s="39">
        <v>2051</v>
      </c>
      <c r="AB36" s="395">
        <f>AA36/1000*100</f>
        <v>205.10000000000002</v>
      </c>
    </row>
    <row r="37" spans="14:29" x14ac:dyDescent="0.2">
      <c r="N37" s="39" t="s">
        <v>2098</v>
      </c>
      <c r="O37" s="39" t="s">
        <v>2093</v>
      </c>
      <c r="S37" s="39">
        <f>Q10*1000</f>
        <v>218142000</v>
      </c>
      <c r="Y37" s="39" t="s">
        <v>2143</v>
      </c>
      <c r="Z37" s="39">
        <v>379.5</v>
      </c>
      <c r="AA37" s="395">
        <f>Z37/$Z$40*AA$36</f>
        <v>237.90521747103952</v>
      </c>
      <c r="AB37" s="395">
        <f t="shared" ref="AB37:AB39" si="3">AA37/1000*100</f>
        <v>23.790521747103952</v>
      </c>
    </row>
    <row r="38" spans="14:29" x14ac:dyDescent="0.2">
      <c r="N38" s="39" t="s">
        <v>1964</v>
      </c>
      <c r="O38" s="39" t="s">
        <v>2094</v>
      </c>
      <c r="Q38" s="70">
        <v>654.20000000000005</v>
      </c>
      <c r="T38" s="39">
        <v>1.91</v>
      </c>
      <c r="U38" s="70">
        <f>T38*S37</f>
        <v>416651220</v>
      </c>
      <c r="V38" s="70">
        <f>U38*P32</f>
        <v>1856181185.1000001</v>
      </c>
      <c r="W38" s="70">
        <f>V38/1000000</f>
        <v>1856.1811851000002</v>
      </c>
      <c r="X38" s="390">
        <f>W38/$W$45</f>
        <v>0.10856094950957698</v>
      </c>
      <c r="Y38" s="39" t="s">
        <v>2144</v>
      </c>
      <c r="Z38" s="39">
        <v>749.6</v>
      </c>
      <c r="AA38" s="395">
        <f t="shared" ref="AA38:AA39" si="4">Z38/$Z$40*AA$36</f>
        <v>469.91765748693348</v>
      </c>
      <c r="AB38" s="395">
        <f t="shared" si="3"/>
        <v>46.991765748693346</v>
      </c>
      <c r="AC38" s="395">
        <f>AB38*Deflator!S3/Deflator!W3</f>
        <v>37.952032265570651</v>
      </c>
    </row>
    <row r="39" spans="14:29" x14ac:dyDescent="0.2">
      <c r="O39" s="39" t="s">
        <v>2097</v>
      </c>
      <c r="Q39" s="70">
        <f>P32*Q38</f>
        <v>2914.4610000000002</v>
      </c>
      <c r="Y39" s="39" t="s">
        <v>2142</v>
      </c>
      <c r="Z39" s="39">
        <v>2142.6</v>
      </c>
      <c r="AA39" s="395">
        <f t="shared" si="4"/>
        <v>1343.1771250420272</v>
      </c>
      <c r="AB39" s="395">
        <f t="shared" si="3"/>
        <v>134.31771250420272</v>
      </c>
    </row>
    <row r="40" spans="14:29" x14ac:dyDescent="0.2">
      <c r="N40" s="39" t="s">
        <v>1963</v>
      </c>
      <c r="O40" s="39" t="s">
        <v>2094</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2097</v>
      </c>
      <c r="Q41" s="70">
        <f>Q40*R32</f>
        <v>10391.48</v>
      </c>
    </row>
    <row r="42" spans="14:29" x14ac:dyDescent="0.2">
      <c r="N42" s="39" t="s">
        <v>1965</v>
      </c>
      <c r="T42" s="39">
        <v>0.13</v>
      </c>
      <c r="U42" s="39">
        <f>T42*S37</f>
        <v>28358460</v>
      </c>
      <c r="V42" s="39">
        <f>U42*V32</f>
        <v>320961050.27999997</v>
      </c>
      <c r="W42" s="70">
        <f>V42/1000000</f>
        <v>320.96105027999999</v>
      </c>
      <c r="X42" s="390">
        <f>W42/$W$45</f>
        <v>1.8771786210143433E-2</v>
      </c>
    </row>
    <row r="44" spans="14:29" x14ac:dyDescent="0.2">
      <c r="N44" s="39" t="s">
        <v>2107</v>
      </c>
      <c r="T44" s="39">
        <f>Q50</f>
        <v>9.8555190906907871E-5</v>
      </c>
      <c r="U44" s="39">
        <f>T44*S37</f>
        <v>21499.026454814695</v>
      </c>
      <c r="V44" s="39">
        <f>U44*T32</f>
        <v>881.4600846474026</v>
      </c>
      <c r="W44" s="404">
        <f>V44/1000000</f>
        <v>8.8146008464740262E-4</v>
      </c>
      <c r="X44" s="408">
        <f>W44/$W$45</f>
        <v>5.1553234410658454E-8</v>
      </c>
    </row>
    <row r="45" spans="14:29" x14ac:dyDescent="0.2">
      <c r="V45" s="39" t="s">
        <v>135</v>
      </c>
      <c r="W45" s="70">
        <f>SUM(W38:W44)</f>
        <v>17098.055916840083</v>
      </c>
    </row>
    <row r="46" spans="14:29" x14ac:dyDescent="0.2">
      <c r="V46" s="39" t="s">
        <v>2235</v>
      </c>
      <c r="W46" s="70">
        <f>S37/1000</f>
        <v>218142</v>
      </c>
    </row>
    <row r="47" spans="14:29" x14ac:dyDescent="0.2">
      <c r="V47" s="39" t="s">
        <v>160</v>
      </c>
      <c r="W47" s="425">
        <f>W45/W46</f>
        <v>7.8380394040762816E-2</v>
      </c>
    </row>
    <row r="48" spans="14:29" x14ac:dyDescent="0.2">
      <c r="N48" s="39" t="s">
        <v>2108</v>
      </c>
      <c r="P48" s="39" t="s">
        <v>2109</v>
      </c>
      <c r="Q48" s="39">
        <v>19.7</v>
      </c>
      <c r="R48" s="39" t="s">
        <v>2111</v>
      </c>
    </row>
    <row r="49" spans="14:27" x14ac:dyDescent="0.2">
      <c r="N49" s="39" t="s">
        <v>2110</v>
      </c>
      <c r="P49" s="39" t="s">
        <v>1128</v>
      </c>
      <c r="Q49" s="70">
        <v>199888</v>
      </c>
      <c r="R49" s="39" t="s">
        <v>2112</v>
      </c>
    </row>
    <row r="50" spans="14:27" x14ac:dyDescent="0.2">
      <c r="N50" s="39" t="s">
        <v>2113</v>
      </c>
      <c r="P50" s="39" t="s">
        <v>2104</v>
      </c>
      <c r="Q50" s="39">
        <f>Q48/Q49</f>
        <v>9.8555190906907871E-5</v>
      </c>
    </row>
    <row r="52" spans="14:27" x14ac:dyDescent="0.2">
      <c r="N52" s="39" t="s">
        <v>2167</v>
      </c>
      <c r="AA52" s="39" t="s">
        <v>2237</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138</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1972</v>
      </c>
      <c r="V2" s="411" t="s">
        <v>2178</v>
      </c>
      <c r="AA2" s="411" t="s">
        <v>2179</v>
      </c>
    </row>
    <row r="3" spans="1:34" ht="34.5" customHeight="1" x14ac:dyDescent="0.2">
      <c r="H3" s="69" t="s">
        <v>1823</v>
      </c>
      <c r="I3" s="69" t="s">
        <v>1831</v>
      </c>
      <c r="J3" s="69" t="s">
        <v>1832</v>
      </c>
      <c r="K3" s="69" t="s">
        <v>1824</v>
      </c>
      <c r="L3" s="69" t="s">
        <v>1829</v>
      </c>
      <c r="M3" s="69" t="s">
        <v>1830</v>
      </c>
      <c r="N3" s="69" t="s">
        <v>1825</v>
      </c>
      <c r="O3" s="69" t="s">
        <v>1826</v>
      </c>
      <c r="P3" s="69" t="s">
        <v>1826</v>
      </c>
      <c r="Q3" s="69" t="s">
        <v>1826</v>
      </c>
      <c r="R3" s="69" t="s">
        <v>1826</v>
      </c>
      <c r="S3" s="69" t="s">
        <v>1827</v>
      </c>
      <c r="T3" s="69" t="s">
        <v>1826</v>
      </c>
      <c r="U3" s="69" t="s">
        <v>1828</v>
      </c>
      <c r="V3" s="412" t="s">
        <v>1825</v>
      </c>
      <c r="W3" s="69" t="s">
        <v>1826</v>
      </c>
      <c r="X3" s="69" t="s">
        <v>1826</v>
      </c>
      <c r="Y3" s="69" t="s">
        <v>1826</v>
      </c>
      <c r="Z3" s="69" t="s">
        <v>1826</v>
      </c>
      <c r="AA3" s="412" t="s">
        <v>1825</v>
      </c>
      <c r="AB3" s="69" t="s">
        <v>1826</v>
      </c>
      <c r="AC3" s="69" t="s">
        <v>1826</v>
      </c>
      <c r="AD3" s="69" t="s">
        <v>1826</v>
      </c>
      <c r="AE3" s="69" t="s">
        <v>1826</v>
      </c>
    </row>
    <row r="4" spans="1:34" ht="21.75" customHeight="1" x14ac:dyDescent="0.25">
      <c r="E4" s="68"/>
      <c r="F4" s="68"/>
      <c r="G4" s="68"/>
      <c r="H4" s="69" t="s">
        <v>2180</v>
      </c>
      <c r="I4" s="53" t="s">
        <v>2179</v>
      </c>
      <c r="O4" s="39" t="s">
        <v>418</v>
      </c>
      <c r="P4" s="39" t="s">
        <v>418</v>
      </c>
      <c r="Q4" s="39" t="s">
        <v>418</v>
      </c>
      <c r="R4" s="39" t="s">
        <v>418</v>
      </c>
      <c r="W4" s="39" t="s">
        <v>418</v>
      </c>
      <c r="X4" s="39" t="s">
        <v>418</v>
      </c>
      <c r="Y4" s="39" t="s">
        <v>418</v>
      </c>
      <c r="Z4" s="39" t="s">
        <v>418</v>
      </c>
      <c r="AB4" s="39" t="s">
        <v>418</v>
      </c>
      <c r="AC4" s="39" t="s">
        <v>418</v>
      </c>
      <c r="AD4" s="39" t="s">
        <v>418</v>
      </c>
      <c r="AE4" s="39" t="s">
        <v>418</v>
      </c>
    </row>
    <row r="5" spans="1:34" ht="16.5" customHeight="1" x14ac:dyDescent="0.2">
      <c r="I5" s="39" t="s">
        <v>2178</v>
      </c>
      <c r="J5" s="39" t="s">
        <v>2179</v>
      </c>
      <c r="O5" s="39" t="s">
        <v>122</v>
      </c>
      <c r="P5" s="39" t="s">
        <v>122</v>
      </c>
      <c r="Q5" s="39" t="s">
        <v>122</v>
      </c>
      <c r="R5" s="39" t="s">
        <v>122</v>
      </c>
      <c r="W5" s="39" t="s">
        <v>122</v>
      </c>
      <c r="X5" s="39" t="s">
        <v>122</v>
      </c>
      <c r="Y5" s="39" t="s">
        <v>122</v>
      </c>
      <c r="Z5" s="39" t="s">
        <v>122</v>
      </c>
      <c r="AB5" s="39" t="s">
        <v>122</v>
      </c>
      <c r="AC5" s="39" t="s">
        <v>122</v>
      </c>
      <c r="AD5" s="39" t="s">
        <v>122</v>
      </c>
      <c r="AE5" s="39" t="s">
        <v>122</v>
      </c>
    </row>
    <row r="6" spans="1:34" ht="17.25" customHeight="1" x14ac:dyDescent="0.2">
      <c r="S6" s="39" t="s">
        <v>2181</v>
      </c>
      <c r="T6" s="48">
        <f>T7-T23-T24-T25</f>
        <v>35.976714285714287</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36.762047619047621</v>
      </c>
      <c r="U7" s="48">
        <f>SUM(U9:U44)</f>
        <v>868.22190309740608</v>
      </c>
      <c r="W7" s="39">
        <v>2017</v>
      </c>
      <c r="X7" s="39">
        <v>2020</v>
      </c>
      <c r="Y7" s="39">
        <v>2025</v>
      </c>
      <c r="Z7" s="39">
        <v>2030</v>
      </c>
      <c r="AB7" s="39">
        <v>2017</v>
      </c>
      <c r="AC7" s="39">
        <v>2020</v>
      </c>
      <c r="AD7" s="39">
        <v>2025</v>
      </c>
      <c r="AE7" s="39">
        <v>2030</v>
      </c>
      <c r="AH7" s="39" t="s">
        <v>2182</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142</v>
      </c>
      <c r="E9" s="39" t="str">
        <f>ProcDataGenPre2012!D9</f>
        <v>PWRCLECAMD</v>
      </c>
      <c r="F9" s="39" t="str">
        <f>ProcDataGenPre2012!E9</f>
        <v>ELCC</v>
      </c>
      <c r="H9" s="39">
        <f>INDEX(DecomSchedule!$N$4:$N$19,MATCH(C9,DecomSchedule!$A$4:$A$19,0))</f>
        <v>8</v>
      </c>
      <c r="I9" s="48">
        <f>ProcDataGenPre2012!R9</f>
        <v>0.65972201228153049</v>
      </c>
      <c r="J9" s="48">
        <f>ProcDataGenPre2012!S9</f>
        <v>0.54111740129475128</v>
      </c>
      <c r="K9" s="48">
        <f>IF($I$4="LEAF",ProcDataLowEAF!K9,ProcDataGenPre2012!V9)</f>
        <v>0.504</v>
      </c>
      <c r="L9" s="48">
        <f>IF($I$4="LEAF",ProcDataLowEAF!P9,ProcDataGenPre2012!AA9)</f>
        <v>0.46222980000000002</v>
      </c>
      <c r="M9" s="48">
        <f>IF($I$4="LEAF",ProcDataLowEAF!M9,ProcDataGenPre2012!AF9)</f>
        <v>0.48820528000000007</v>
      </c>
      <c r="N9" s="57">
        <f>IF($I$4="LEAF",AA9,V9)</f>
        <v>4</v>
      </c>
      <c r="O9" s="39">
        <v>0.67</v>
      </c>
      <c r="P9" s="39">
        <f>IF($I$4="LEAF",AC9,X9)</f>
        <v>0.5</v>
      </c>
      <c r="Q9" s="39">
        <f t="shared" ref="Q9:Q25" si="0">IF($I$4="LEAF",AE9,Y9)</f>
        <v>0.5625</v>
      </c>
      <c r="R9" s="39">
        <f t="shared" ref="P9:R33" si="1">IF($I$4="LEAF",AE9,Z9)</f>
        <v>0.5625</v>
      </c>
      <c r="S9" s="39">
        <f>ProcDataGenPre2012!AY9</f>
        <v>1.4810000000000001</v>
      </c>
      <c r="T9" s="48">
        <f t="shared" ref="T9:T30" si="2">P9*S9</f>
        <v>0.74050000000000005</v>
      </c>
      <c r="U9" s="48">
        <f t="shared" ref="U9:U30" si="3">K9*S9*31.536</f>
        <v>23.539227264000004</v>
      </c>
      <c r="V9" s="410">
        <v>3</v>
      </c>
      <c r="W9" s="39">
        <v>0.67</v>
      </c>
      <c r="X9" s="39">
        <f>1-V9/$H9</f>
        <v>0.625</v>
      </c>
      <c r="Y9" s="39" t="str">
        <f>""</f>
        <v/>
      </c>
      <c r="Z9" s="39" t="str">
        <f>""</f>
        <v/>
      </c>
      <c r="AA9" s="413">
        <v>4</v>
      </c>
      <c r="AB9" s="39">
        <v>0.67</v>
      </c>
      <c r="AC9" s="39">
        <f>1-AA9/$H9</f>
        <v>0.5</v>
      </c>
      <c r="AD9" s="39">
        <f>(AC9+AE9)/2</f>
        <v>0.53125</v>
      </c>
      <c r="AE9" s="39">
        <f t="shared" ref="AE9:AE25" si="4">(X9+AC9)/2</f>
        <v>0.5625</v>
      </c>
    </row>
    <row r="10" spans="1:34" ht="11.25" customHeight="1" x14ac:dyDescent="0.2">
      <c r="B10" s="39" t="str">
        <f>ProcDataGenPre2012!B10</f>
        <v>ETCLEGROO-E</v>
      </c>
      <c r="C10" s="39" t="str">
        <f>ProcDataGenPre2012!C10</f>
        <v>GROOTVLEI</v>
      </c>
      <c r="D10" s="39" t="s">
        <v>142</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IF($I$4="LEAF",ProcDataLowEAF!K10,ProcDataGenPre2012!V10)</f>
        <v>0.74886000000000008</v>
      </c>
      <c r="L10" s="48">
        <f>IF($I$4="LEAF",ProcDataLowEAF!P10,ProcDataGenPre2012!AA10)</f>
        <v>0.4</v>
      </c>
      <c r="M10" s="48">
        <f>IF($I$4="LEAF",ProcDataLowEAF!M10,ProcDataGenPre2012!AF10)</f>
        <v>0.71070380000000011</v>
      </c>
      <c r="N10" s="57">
        <f t="shared" ref="N10:N25" si="5">IF($I$4="LEAF",AA10,V10)</f>
        <v>1.5</v>
      </c>
      <c r="O10" s="39">
        <v>0.6</v>
      </c>
      <c r="P10" s="39">
        <f t="shared" si="1"/>
        <v>0.5</v>
      </c>
      <c r="Q10" s="39">
        <f t="shared" si="0"/>
        <v>0.5</v>
      </c>
      <c r="R10" s="39">
        <f t="shared" si="1"/>
        <v>0.5</v>
      </c>
      <c r="S10" s="39">
        <f>ProcDataGenPre2012!AY10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142</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IF($I$4="LEAF",ProcDataLowEAF!K11,ProcDataGenPre2012!V11)</f>
        <v>0.73407599999999995</v>
      </c>
      <c r="L11" s="48">
        <f>IF($I$4="LEAF",ProcDataLowEAF!P11,ProcDataGenPre2012!AA11)</f>
        <v>0.4</v>
      </c>
      <c r="M11" s="48">
        <f>IF($I$4="LEAF",ProcDataLowEAF!M11,ProcDataGenPre2012!AF11)</f>
        <v>0.69667308000000006</v>
      </c>
      <c r="N11" s="57">
        <f t="shared" si="5"/>
        <v>2</v>
      </c>
      <c r="O11" s="39">
        <v>0.6</v>
      </c>
      <c r="P11" s="39">
        <f t="shared" si="1"/>
        <v>0.5</v>
      </c>
      <c r="Q11" s="39">
        <f t="shared" si="0"/>
        <v>0.625</v>
      </c>
      <c r="R11" s="39">
        <f t="shared" si="1"/>
        <v>0.625</v>
      </c>
      <c r="S11" s="39">
        <f>ProcDataGenPre2012!AY11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142</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IF($I$4="LEAF",ProcDataLowEAF!K12,ProcDataGenPre2012!V12)</f>
        <v>0.54650399999999999</v>
      </c>
      <c r="L12" s="48">
        <f>IF($I$4="LEAF",ProcDataLowEAF!P12,ProcDataGenPre2012!AA12)</f>
        <v>0.47996840000000002</v>
      </c>
      <c r="M12" s="48">
        <f>IF($I$4="LEAF",ProcDataLowEAF!M12,ProcDataGenPre2012!AF12)</f>
        <v>0.52104991999999994</v>
      </c>
      <c r="N12" s="57">
        <f t="shared" si="5"/>
        <v>2.5</v>
      </c>
      <c r="O12" s="39">
        <v>0.8</v>
      </c>
      <c r="P12" s="39">
        <f t="shared" si="1"/>
        <v>0.58333333333333326</v>
      </c>
      <c r="Q12" s="39">
        <f t="shared" si="0"/>
        <v>0.625</v>
      </c>
      <c r="R12" s="39">
        <f t="shared" si="1"/>
        <v>0.625</v>
      </c>
      <c r="S12" s="39">
        <f>ProcDataGenPre2012!AY12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142</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IF($I$4="LEAF",ProcDataLowEAF!K13,ProcDataGenPre2012!V13)</f>
        <v>0.45763199999999993</v>
      </c>
      <c r="L13" s="48">
        <f>IF($I$4="LEAF",ProcDataLowEAF!P13,ProcDataGenPre2012!AA13)</f>
        <v>0.44800959999999995</v>
      </c>
      <c r="M13" s="48">
        <f>IF($I$4="LEAF",ProcDataLowEAF!M13,ProcDataGenPre2012!AF13)</f>
        <v>0.47959551999999994</v>
      </c>
      <c r="N13" s="57">
        <f t="shared" si="5"/>
        <v>2.5</v>
      </c>
      <c r="O13" s="39">
        <v>0.8</v>
      </c>
      <c r="P13" s="39">
        <f t="shared" si="1"/>
        <v>0.5</v>
      </c>
      <c r="Q13" s="39">
        <f t="shared" si="0"/>
        <v>0.55000000000000004</v>
      </c>
      <c r="R13" s="39">
        <f t="shared" si="1"/>
        <v>0.55000000000000004</v>
      </c>
      <c r="S13" s="39">
        <f>ProcDataGenPre2012!AY13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142</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IF($I$4="LEAF",ProcDataLowEAF!K14,ProcDataGenPre2012!V14)</f>
        <v>0.51181199999999993</v>
      </c>
      <c r="L14" s="48">
        <f>IF($I$4="LEAF",ProcDataLowEAF!P14,ProcDataGenPre2012!AA14)</f>
        <v>0.50833549999999994</v>
      </c>
      <c r="M14" s="48">
        <f>IF($I$4="LEAF",ProcDataLowEAF!M14,ProcDataGenPre2012!AF14)</f>
        <v>0.55285819999999997</v>
      </c>
      <c r="N14" s="57">
        <f t="shared" si="5"/>
        <v>2.5</v>
      </c>
      <c r="O14" s="39">
        <v>0.8</v>
      </c>
      <c r="P14" s="39">
        <f t="shared" si="1"/>
        <v>0.64285714285714279</v>
      </c>
      <c r="Q14" s="39">
        <f t="shared" si="0"/>
        <v>0.6785714285714286</v>
      </c>
      <c r="R14" s="39">
        <f t="shared" si="1"/>
        <v>0.6785714285714286</v>
      </c>
      <c r="S14" s="39">
        <f>ProcDataGenPre2012!AY14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142</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IF($I$4="LEAF",ProcDataLowEAF!K15,ProcDataGenPre2012!V15)</f>
        <v>0.63571999999999995</v>
      </c>
      <c r="L15" s="48">
        <f>IF($I$4="LEAF",ProcDataLowEAF!P15,ProcDataGenPre2012!AA15)</f>
        <v>0.64242310000000014</v>
      </c>
      <c r="M15" s="48">
        <f>IF($I$4="LEAF",ProcDataLowEAF!M15,ProcDataGenPre2012!AF15)</f>
        <v>0.58831341999999998</v>
      </c>
      <c r="N15" s="57">
        <f t="shared" si="5"/>
        <v>2</v>
      </c>
      <c r="O15" s="39">
        <v>1</v>
      </c>
      <c r="P15" s="39">
        <f t="shared" si="1"/>
        <v>0.66666666666666674</v>
      </c>
      <c r="Q15" s="39">
        <f t="shared" si="0"/>
        <v>0.75</v>
      </c>
      <c r="R15" s="39">
        <f t="shared" si="1"/>
        <v>0.75</v>
      </c>
      <c r="S15" s="39">
        <f>ProcDataGenPre2012!AY15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142</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IF($I$4="LEAF",ProcDataLowEAF!K16,ProcDataGenPre2012!V16)</f>
        <v>0.45444000000000001</v>
      </c>
      <c r="L16" s="48">
        <f>IF($I$4="LEAF",ProcDataLowEAF!P16,ProcDataGenPre2012!AA16)</f>
        <v>0.47234519999999997</v>
      </c>
      <c r="M16" s="48">
        <f>IF($I$4="LEAF",ProcDataLowEAF!M16,ProcDataGenPre2012!AF16)</f>
        <v>0.43551036000000004</v>
      </c>
      <c r="N16" s="57">
        <f t="shared" si="5"/>
        <v>3</v>
      </c>
      <c r="O16" s="39">
        <v>0.8</v>
      </c>
      <c r="P16" s="39">
        <f t="shared" si="1"/>
        <v>0.5</v>
      </c>
      <c r="Q16" s="39">
        <f t="shared" si="0"/>
        <v>0.58333333333333337</v>
      </c>
      <c r="R16" s="39">
        <f t="shared" si="1"/>
        <v>0.58333333333333337</v>
      </c>
      <c r="S16" s="39">
        <f>ProcDataGenPre2012!AY16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142</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IF($I$4="LEAF",ProcDataLowEAF!K17,ProcDataGenPre2012!V17)</f>
        <v>0.62143199999999998</v>
      </c>
      <c r="L17" s="48">
        <f>IF($I$4="LEAF",ProcDataLowEAF!P17,ProcDataGenPre2012!AA17)</f>
        <v>0.54887039999999987</v>
      </c>
      <c r="M17" s="48">
        <f>IF($I$4="LEAF",ProcDataLowEAF!M17,ProcDataGenPre2012!AF17)</f>
        <v>0.60276291999999998</v>
      </c>
      <c r="N17" s="57">
        <f t="shared" si="5"/>
        <v>2</v>
      </c>
      <c r="O17" s="39">
        <v>0.8</v>
      </c>
      <c r="P17" s="39">
        <f t="shared" si="1"/>
        <v>0.66666666666666674</v>
      </c>
      <c r="Q17" s="39">
        <f t="shared" si="0"/>
        <v>0.75</v>
      </c>
      <c r="R17" s="39">
        <f t="shared" si="1"/>
        <v>0.75</v>
      </c>
      <c r="S17" s="39">
        <f>ProcDataGenPre2012!AY17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142</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IF($I$4="LEAF",ProcDataLowEAF!K18,ProcDataGenPre2012!V18)</f>
        <v>0.67205999999999988</v>
      </c>
      <c r="L18" s="48">
        <f>IF($I$4="LEAF",ProcDataLowEAF!P18,ProcDataGenPre2012!AA18)</f>
        <v>0.66755160000000013</v>
      </c>
      <c r="M18" s="48">
        <f>IF($I$4="LEAF",ProcDataLowEAF!M18,ProcDataGenPre2012!AF18)</f>
        <v>0.67682552000000007</v>
      </c>
      <c r="N18" s="57">
        <f t="shared" si="5"/>
        <v>1</v>
      </c>
      <c r="O18" s="39">
        <v>0.8</v>
      </c>
      <c r="P18" s="39">
        <f t="shared" si="1"/>
        <v>0.66666666666666674</v>
      </c>
      <c r="Q18" s="39">
        <f t="shared" si="0"/>
        <v>0.75</v>
      </c>
      <c r="R18" s="39">
        <f t="shared" si="1"/>
        <v>0.75</v>
      </c>
      <c r="S18" s="39">
        <f>ProcDataGenPre2012!AY18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142</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IF($I$4="LEAF",ProcDataLowEAF!K19,ProcDataGenPre2012!V19)</f>
        <v>0.67205999999999988</v>
      </c>
      <c r="L19" s="48">
        <f>IF($I$4="LEAF",ProcDataLowEAF!P19,ProcDataGenPre2012!AA19)</f>
        <v>0.66755160000000013</v>
      </c>
      <c r="M19" s="48">
        <f>IF($I$4="LEAF",ProcDataLowEAF!M19,ProcDataGenPre2012!AF19)</f>
        <v>0.67682552000000007</v>
      </c>
      <c r="N19" s="57">
        <f t="shared" si="5"/>
        <v>1</v>
      </c>
      <c r="O19" s="39">
        <v>0.8</v>
      </c>
      <c r="P19" s="39">
        <f t="shared" si="1"/>
        <v>0.66666666666666674</v>
      </c>
      <c r="Q19" s="39">
        <f t="shared" si="0"/>
        <v>0.75</v>
      </c>
      <c r="R19" s="39">
        <f t="shared" si="1"/>
        <v>0.75</v>
      </c>
      <c r="S19" s="39">
        <f>ProcDataGenPre2012!AY19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142</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IF($I$4="LEAF",ProcDataLowEAF!K20,ProcDataGenPre2012!V20)</f>
        <v>0.82750000000000001</v>
      </c>
      <c r="L20" s="48">
        <f>IF($I$4="LEAF",ProcDataLowEAF!P20,ProcDataGenPre2012!AA20)</f>
        <v>0.78370000000000006</v>
      </c>
      <c r="M20" s="48">
        <f>IF($I$4="LEAF",ProcDataLowEAF!M20,ProcDataGenPre2012!AF20)</f>
        <v>0.81640000000000001</v>
      </c>
      <c r="N20" s="57">
        <f t="shared" si="5"/>
        <v>0.5</v>
      </c>
      <c r="O20" s="39">
        <v>1</v>
      </c>
      <c r="P20" s="39">
        <f t="shared" si="1"/>
        <v>0.91666666666666663</v>
      </c>
      <c r="Q20" s="39">
        <f t="shared" si="0"/>
        <v>0.95833333333333326</v>
      </c>
      <c r="R20" s="39">
        <f t="shared" si="1"/>
        <v>0.95833333333333326</v>
      </c>
      <c r="S20" s="39">
        <f>ProcDataGenPre2012!AY20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142</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IF($I$4="LEAF",ProcDataLowEAF!K21,ProcDataGenPre2012!V21)</f>
        <v>0.61915999999999993</v>
      </c>
      <c r="L21" s="48">
        <f>IF($I$4="LEAF",ProcDataLowEAF!P21,ProcDataGenPre2012!AA21)</f>
        <v>0.61114245000000011</v>
      </c>
      <c r="M21" s="48">
        <f>IF($I$4="LEAF",ProcDataLowEAF!M21,ProcDataGenPre2012!AF21)</f>
        <v>0.63566963999999992</v>
      </c>
      <c r="N21" s="57">
        <f t="shared" si="5"/>
        <v>2</v>
      </c>
      <c r="O21" s="39">
        <v>1</v>
      </c>
      <c r="P21" s="39">
        <f t="shared" si="1"/>
        <v>0.66666666666666674</v>
      </c>
      <c r="Q21" s="39">
        <f t="shared" si="0"/>
        <v>0.75</v>
      </c>
      <c r="R21" s="39">
        <f t="shared" si="1"/>
        <v>0.75</v>
      </c>
      <c r="S21" s="39">
        <f>ProcDataGenPre2012!AY21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142</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IF($I$4="LEAF",ProcDataLowEAF!K22,ProcDataGenPre2012!V22)</f>
        <v>0.47090399999999999</v>
      </c>
      <c r="L22" s="48">
        <f>IF($I$4="LEAF",ProcDataLowEAF!P22,ProcDataGenPre2012!AA22)</f>
        <v>0.44822949999999995</v>
      </c>
      <c r="M22" s="48">
        <f>IF($I$4="LEAF",ProcDataLowEAF!M22,ProcDataGenPre2012!AF22)</f>
        <v>0.43088660000000001</v>
      </c>
      <c r="N22" s="57">
        <f t="shared" si="5"/>
        <v>2.5</v>
      </c>
      <c r="O22" s="39">
        <v>0.8</v>
      </c>
      <c r="P22" s="39">
        <f t="shared" si="1"/>
        <v>0.58333333333333326</v>
      </c>
      <c r="Q22" s="39">
        <f t="shared" si="0"/>
        <v>0.625</v>
      </c>
      <c r="R22" s="39">
        <f t="shared" si="1"/>
        <v>0.625</v>
      </c>
      <c r="S22" s="39">
        <f>ProcDataGenPre2012!AY22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142</v>
      </c>
      <c r="E23" s="39" t="str">
        <f>ProcDataGenPre2012!D23</f>
        <v>PWRCLE</v>
      </c>
      <c r="F23" s="39" t="str">
        <f>ProcDataGenPre2012!E23</f>
        <v>ELCC</v>
      </c>
      <c r="H23" s="334">
        <v>3</v>
      </c>
      <c r="I23" s="48">
        <f>ProcDataGenPre2012!Q23</f>
        <v>0</v>
      </c>
      <c r="J23" s="48">
        <f>ProcDataGenPre2012!R23</f>
        <v>0</v>
      </c>
      <c r="K23" s="48">
        <f>ProcDataGenPre2012!S23</f>
        <v>0.32478976407914761</v>
      </c>
      <c r="L23" s="48">
        <f>ProcDataGenPre2012!V23</f>
        <v>0</v>
      </c>
      <c r="M23" s="48">
        <f>ProcDataGenPre2012!AA23</f>
        <v>0</v>
      </c>
      <c r="N23" s="57">
        <f t="shared" si="5"/>
        <v>2</v>
      </c>
      <c r="O23" s="39">
        <v>0.8</v>
      </c>
      <c r="P23" s="39">
        <f t="shared" si="1"/>
        <v>0.33333333333333337</v>
      </c>
      <c r="Q23" s="39">
        <f t="shared" si="0"/>
        <v>0.33333333333333337</v>
      </c>
      <c r="R23" s="39">
        <f t="shared" si="1"/>
        <v>0.33333333333333337</v>
      </c>
      <c r="S23" s="39">
        <f>ProcDataGenPre2012!AY23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142</v>
      </c>
      <c r="E24" s="39" t="str">
        <f>ProcDataGenPre2012!D24</f>
        <v>UPSCLE</v>
      </c>
      <c r="F24" s="39" t="str">
        <f>ProcDataGenPre2012!E24</f>
        <v>UPSELC</v>
      </c>
      <c r="H24" s="39">
        <v>6</v>
      </c>
      <c r="I24" s="48">
        <f>ProcDataGenPre2012!Q24</f>
        <v>0</v>
      </c>
      <c r="J24" s="48">
        <f>ProcDataGenPre2012!R24</f>
        <v>0</v>
      </c>
      <c r="K24" s="48">
        <f>ProcDataGenPre2012!S24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ProcDataGenPre2012!AV24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142</v>
      </c>
      <c r="E25" s="39" t="str">
        <f>ProcDataGenPre2012!D25</f>
        <v>INDCLE</v>
      </c>
      <c r="F25" s="39" t="str">
        <f>ProcDataGenPre2012!E25</f>
        <v>ICPELC</v>
      </c>
      <c r="H25" s="39">
        <v>3</v>
      </c>
      <c r="I25" s="48">
        <f>ProcDataGenPre2012!Q25</f>
        <v>0</v>
      </c>
      <c r="J25" s="48">
        <f>ProcDataGenPre2012!R25</f>
        <v>0</v>
      </c>
      <c r="K25" s="48">
        <f>ProcDataGenPre2012!S25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ProcDataGenPre2012!AV25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142</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ProcDataGenPre2012!AV26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142</v>
      </c>
      <c r="E27" s="39" t="str">
        <f>ProcDataGenPre2012!D27</f>
        <v>PWRHYD</v>
      </c>
      <c r="F27" s="39" t="str">
        <f>ProcDataGenPre2012!E27</f>
        <v>ELCC</v>
      </c>
      <c r="I27" s="48">
        <f>ProcDataGenPre2012!Q27</f>
        <v>0</v>
      </c>
      <c r="J27" s="48">
        <f>ProcDataGenPre2012!R27</f>
        <v>0</v>
      </c>
      <c r="K27" s="48">
        <f>ProcDataGenPre2012!S27</f>
        <v>0.12001708037216328</v>
      </c>
      <c r="L27" s="48">
        <f>K27</f>
        <v>0.12001708037216328</v>
      </c>
      <c r="M27" s="48">
        <f>L27</f>
        <v>0.12001708037216328</v>
      </c>
      <c r="N27" s="57"/>
      <c r="P27" s="39">
        <f t="shared" si="1"/>
        <v>1</v>
      </c>
      <c r="Q27" s="39" t="str">
        <f t="shared" si="1"/>
        <v/>
      </c>
      <c r="R27" s="39" t="str">
        <f t="shared" si="1"/>
        <v/>
      </c>
      <c r="S27" s="39">
        <f>ProcDataGenPre2012!AV27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142</v>
      </c>
      <c r="F28" s="39" t="str">
        <f>ProcDataGenPre2012!E28</f>
        <v>ELCC</v>
      </c>
      <c r="I28" s="48">
        <f>ProcDataGenPre2012!Q28</f>
        <v>0</v>
      </c>
      <c r="J28" s="48">
        <f>ProcDataGenPre2012!R28</f>
        <v>0</v>
      </c>
      <c r="K28" s="48">
        <f>ProcDataGenPre2012!S28</f>
        <v>0.6898696347031964</v>
      </c>
      <c r="L28" s="48">
        <f>ProcDataGenPre2012!V28</f>
        <v>0</v>
      </c>
      <c r="M28" s="48">
        <f>ProcDataGenPre2012!AA28</f>
        <v>0</v>
      </c>
      <c r="N28" s="57"/>
      <c r="P28" s="39">
        <f t="shared" si="1"/>
        <v>1</v>
      </c>
      <c r="Q28" s="39" t="str">
        <f t="shared" si="1"/>
        <v/>
      </c>
      <c r="R28" s="39" t="str">
        <f t="shared" si="1"/>
        <v/>
      </c>
      <c r="S28" s="39">
        <f>ProcDataGenPre2012!AV28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142</v>
      </c>
      <c r="E29" s="39" t="str">
        <f>ProcDataGenPre2012!D29</f>
        <v>PWRNUC</v>
      </c>
      <c r="F29" s="39" t="str">
        <f>ProcDataGenPre2012!E29</f>
        <v>ELCC</v>
      </c>
      <c r="I29" s="48">
        <f>ProcDataGenPre2012!Q29</f>
        <v>0</v>
      </c>
      <c r="J29" s="48">
        <f>ProcDataGenPre2012!R29</f>
        <v>0</v>
      </c>
      <c r="K29" s="48">
        <f>ProcDataGenPre2012!S29</f>
        <v>0.92601880492954292</v>
      </c>
      <c r="L29" s="48">
        <f>ProcDataGenPre2012!V29</f>
        <v>0.84160000000000001</v>
      </c>
      <c r="M29" s="48">
        <f>L29</f>
        <v>0.84160000000000001</v>
      </c>
      <c r="N29" s="57"/>
      <c r="P29" s="39">
        <f t="shared" si="1"/>
        <v>1</v>
      </c>
      <c r="Q29" s="39" t="str">
        <f t="shared" si="1"/>
        <v/>
      </c>
      <c r="R29" s="39" t="str">
        <f t="shared" si="1"/>
        <v/>
      </c>
      <c r="S29" s="39">
        <f>ProcDataGenPre2012!AV29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142</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ProcDataGenPre2012!AV30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Grand Inga</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workbookViewId="0">
      <selection activeCell="E7" sqref="E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138</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1911</v>
      </c>
      <c r="I3" s="362" t="s">
        <v>1911</v>
      </c>
      <c r="J3" s="362" t="s">
        <v>2074</v>
      </c>
      <c r="K3" s="362"/>
      <c r="L3" s="69" t="s">
        <v>1914</v>
      </c>
      <c r="M3" s="39">
        <f>SUM(P8:P24)</f>
        <v>723.97</v>
      </c>
    </row>
    <row r="4" spans="1:18" ht="21.75" customHeight="1" x14ac:dyDescent="0.2">
      <c r="E4" s="68"/>
      <c r="F4" s="68"/>
      <c r="G4" s="68"/>
      <c r="H4" s="67" t="s">
        <v>1912</v>
      </c>
      <c r="I4" s="67" t="s">
        <v>1912</v>
      </c>
      <c r="J4" s="67" t="s">
        <v>1912</v>
      </c>
      <c r="K4" s="67"/>
      <c r="L4" s="69" t="s">
        <v>1915</v>
      </c>
      <c r="M4" s="39">
        <v>10.548</v>
      </c>
    </row>
    <row r="5" spans="1:18" ht="16.5" customHeight="1" x14ac:dyDescent="0.2">
      <c r="H5" s="12" t="str">
        <f>E9</f>
        <v>PWROHF</v>
      </c>
      <c r="I5" s="12" t="str">
        <f>E10</f>
        <v>PWROKE</v>
      </c>
      <c r="J5" s="12" t="str">
        <f>E11</f>
        <v>PWRWAT</v>
      </c>
      <c r="K5" s="12"/>
      <c r="L5" s="69" t="s">
        <v>1913</v>
      </c>
      <c r="M5" s="39">
        <f>M4/M3</f>
        <v>1.4569664488860035E-2</v>
      </c>
    </row>
    <row r="6" spans="1:18" ht="17.25" customHeight="1" x14ac:dyDescent="0.2">
      <c r="E6" s="39" t="s">
        <v>2491</v>
      </c>
      <c r="L6" s="69" t="s">
        <v>1919</v>
      </c>
      <c r="M6" s="39">
        <v>1.601</v>
      </c>
    </row>
    <row r="7" spans="1:18" ht="21.75" customHeight="1" x14ac:dyDescent="0.2">
      <c r="B7" s="57" t="s">
        <v>2479</v>
      </c>
      <c r="C7" s="57" t="s">
        <v>2492</v>
      </c>
      <c r="D7" s="65" t="s">
        <v>2497</v>
      </c>
      <c r="E7" s="57" t="s">
        <v>2503</v>
      </c>
      <c r="F7" s="57" t="s">
        <v>2511</v>
      </c>
      <c r="G7" s="65" t="s">
        <v>2498</v>
      </c>
      <c r="H7" s="39" t="str">
        <f>IFERROR(REPLACE(H4,SEARCH("-",H4),1,"~"),H4)</f>
        <v>PRC_ACTFLO</v>
      </c>
      <c r="I7" s="39" t="str">
        <f>IFERROR(REPLACE(I4,SEARCH("-",I4),1,"~"),I4)</f>
        <v>PRC_ACTFLO</v>
      </c>
      <c r="J7" s="39" t="str">
        <f>IFERROR(REPLACE(J4,SEARCH("-",J4),1,"~"),J4)</f>
        <v>PRC_ACTFLO</v>
      </c>
      <c r="L7" s="69" t="s">
        <v>1920</v>
      </c>
      <c r="M7" s="39">
        <f>M6/M3</f>
        <v>2.2114176001768026E-3</v>
      </c>
      <c r="N7" s="39" t="s">
        <v>1439</v>
      </c>
      <c r="O7" s="39" t="s">
        <v>516</v>
      </c>
      <c r="P7" s="39" t="s">
        <v>2066</v>
      </c>
      <c r="Q7" s="39" t="s">
        <v>2069</v>
      </c>
      <c r="R7" s="39" t="s">
        <v>145</v>
      </c>
    </row>
    <row r="8" spans="1:18" ht="11.25" customHeight="1" x14ac:dyDescent="0.2">
      <c r="A8" s="42" t="str">
        <f>ProcDataGenPre2012!B8</f>
        <v>* Existing Power Plants</v>
      </c>
      <c r="F8" s="45"/>
      <c r="N8" s="39" t="s">
        <v>315</v>
      </c>
      <c r="O8" s="39" t="s">
        <v>314</v>
      </c>
      <c r="P8" s="39">
        <v>37.24</v>
      </c>
      <c r="Q8" s="395">
        <f>INDEX($O$48:$O$61,MATCH(O8,$N$48:$N$61,0))</f>
        <v>2124.1666666666661</v>
      </c>
      <c r="R8" s="39" t="s">
        <v>2070</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321</v>
      </c>
      <c r="O9" s="39" t="s">
        <v>320</v>
      </c>
      <c r="P9" s="39">
        <v>25.27</v>
      </c>
      <c r="Q9" s="395">
        <f>INDEX($O$48:$O$61,MATCH(O9,$N$48:$N$61,0))</f>
        <v>2565.3333333333326</v>
      </c>
      <c r="R9" s="39" t="s">
        <v>2070</v>
      </c>
    </row>
    <row r="10" spans="1:18" ht="11.25" customHeight="1" x14ac:dyDescent="0.2">
      <c r="E10" s="39" t="str">
        <f>Commodities!$B$47</f>
        <v>PWROKE</v>
      </c>
      <c r="H10" s="373"/>
      <c r="I10" s="373">
        <f>$M$7</f>
        <v>2.2114176001768026E-3</v>
      </c>
      <c r="N10" s="39" t="s">
        <v>313</v>
      </c>
      <c r="O10" s="39" t="s">
        <v>312</v>
      </c>
      <c r="P10" s="39">
        <v>49.8</v>
      </c>
      <c r="Q10" s="395">
        <f>INDEX($O$48:$O$61,MATCH(O10,$N$48:$N$61,0))</f>
        <v>2064.0000000000005</v>
      </c>
      <c r="R10" s="39" t="s">
        <v>2070</v>
      </c>
    </row>
    <row r="11" spans="1:18" ht="11.25" customHeight="1" x14ac:dyDescent="0.2">
      <c r="E11" s="39" t="str">
        <f>Commodities!$B$63</f>
        <v>PWRWAT</v>
      </c>
      <c r="H11" s="373"/>
      <c r="I11" s="373"/>
      <c r="J11" s="395">
        <f>INDEX($Q$8:$Q$36,MATCH(B9,$N$8:$N$36,0))/3.6</f>
        <v>712.59259259259238</v>
      </c>
      <c r="K11" s="395"/>
      <c r="N11" s="39" t="s">
        <v>319</v>
      </c>
      <c r="O11" s="39" t="s">
        <v>318</v>
      </c>
      <c r="P11" s="39">
        <v>12.98</v>
      </c>
      <c r="Q11" s="395">
        <f>INDEX($O$48:$O$61,MATCH(O11,$N$48:$N$61,0))</f>
        <v>2248.25</v>
      </c>
      <c r="R11" s="39" t="s">
        <v>2070</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311</v>
      </c>
      <c r="O12" s="39" t="s">
        <v>310</v>
      </c>
      <c r="P12" s="39">
        <v>28.71</v>
      </c>
      <c r="Q12" s="395">
        <f>INDEX($O$48:$O$61,MATCH(O12,$N$48:$N$61,0))</f>
        <v>2399.083333333333</v>
      </c>
      <c r="R12" s="39" t="s">
        <v>2070</v>
      </c>
    </row>
    <row r="13" spans="1:18" ht="11.25" customHeight="1" x14ac:dyDescent="0.25">
      <c r="E13" s="39" t="str">
        <f>Commodities!$B$47</f>
        <v>PWROKE</v>
      </c>
      <c r="H13" s="373"/>
      <c r="I13" s="373">
        <f>$M$7</f>
        <v>2.2114176001768026E-3</v>
      </c>
      <c r="J13" s="395"/>
      <c r="K13" s="395"/>
      <c r="N13" s="39" t="s">
        <v>293</v>
      </c>
      <c r="O13" s="39" t="s">
        <v>524</v>
      </c>
      <c r="P13" s="85"/>
      <c r="Q13" s="85">
        <f>$Q$9</f>
        <v>2565.3333333333326</v>
      </c>
      <c r="R13" s="39" t="s">
        <v>2072</v>
      </c>
    </row>
    <row r="14" spans="1:18" ht="11.25" customHeight="1" x14ac:dyDescent="0.2">
      <c r="E14" s="39" t="str">
        <f>Commodities!$B$63</f>
        <v>PWRWAT</v>
      </c>
      <c r="H14" s="373"/>
      <c r="I14" s="373"/>
      <c r="J14" s="395">
        <f>INDEX($Q$8:$Q$36,MATCH(B12,$N$8:$N$36,0))/3.6</f>
        <v>624.51388888888891</v>
      </c>
      <c r="K14" s="395"/>
      <c r="N14" s="39" t="s">
        <v>309</v>
      </c>
      <c r="O14" s="39" t="s">
        <v>308</v>
      </c>
      <c r="P14" s="39">
        <v>89.52</v>
      </c>
      <c r="Q14" s="395">
        <f>INDEX($O$48:$O$61,MATCH(O14,$N$48:$N$61,0))</f>
        <v>144.08333333333331</v>
      </c>
      <c r="R14" s="39" t="s">
        <v>2070</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317</v>
      </c>
      <c r="O15" s="39" t="s">
        <v>316</v>
      </c>
      <c r="P15" s="39">
        <v>9.67</v>
      </c>
      <c r="Q15" s="395">
        <f>INDEX($O$48:$O$61,MATCH(O15,$N$48:$N$61,0))</f>
        <v>3032.083333333333</v>
      </c>
      <c r="R15" s="39" t="s">
        <v>2070</v>
      </c>
    </row>
    <row r="16" spans="1:18" ht="11.25" customHeight="1" x14ac:dyDescent="0.2">
      <c r="E16" s="39" t="str">
        <f>Commodities!$B$47</f>
        <v>PWROKE</v>
      </c>
      <c r="H16" s="373"/>
      <c r="I16" s="373">
        <f>$M$7</f>
        <v>2.2114176001768026E-3</v>
      </c>
      <c r="N16" s="39" t="s">
        <v>307</v>
      </c>
      <c r="O16" s="39" t="s">
        <v>306</v>
      </c>
      <c r="P16" s="39">
        <v>46.22</v>
      </c>
      <c r="Q16" s="395">
        <f>INDEX($O$48:$O$61,MATCH(O16,$N$48:$N$61,0))</f>
        <v>2215</v>
      </c>
      <c r="R16" s="39" t="s">
        <v>2070</v>
      </c>
    </row>
    <row r="17" spans="2:18" ht="11.25" customHeight="1" x14ac:dyDescent="0.2">
      <c r="E17" s="39" t="str">
        <f>Commodities!$B$63</f>
        <v>PWRWAT</v>
      </c>
      <c r="H17" s="373"/>
      <c r="I17" s="373"/>
      <c r="J17" s="395">
        <f>INDEX($Q$8:$Q$36,MATCH(B15,$N$8:$N$36,0))/3.6</f>
        <v>842.24537037037021</v>
      </c>
      <c r="K17" s="395"/>
      <c r="N17" s="39" t="s">
        <v>273</v>
      </c>
      <c r="O17" s="39" t="s">
        <v>551</v>
      </c>
      <c r="P17" s="39">
        <v>10.16</v>
      </c>
      <c r="Q17" s="395">
        <v>231</v>
      </c>
      <c r="R17" s="39" t="s">
        <v>2073</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305</v>
      </c>
      <c r="O18" s="39" t="s">
        <v>304</v>
      </c>
      <c r="P18" s="39">
        <v>69.150000000000006</v>
      </c>
      <c r="Q18" s="395">
        <f>INDEX($O$48:$O$61,MATCH(O18,$N$48:$N$61,0))</f>
        <v>1817.5833333333333</v>
      </c>
      <c r="R18" s="39" t="s">
        <v>2070</v>
      </c>
    </row>
    <row r="19" spans="2:18" ht="11.25" customHeight="1" x14ac:dyDescent="0.25">
      <c r="E19" s="39" t="str">
        <f>Commodities!$B$47</f>
        <v>PWROKE</v>
      </c>
      <c r="H19" s="373"/>
      <c r="I19" s="373">
        <f>$M$7</f>
        <v>2.2114176001768026E-3</v>
      </c>
      <c r="N19" s="39" t="s">
        <v>303</v>
      </c>
      <c r="O19" s="39" t="s">
        <v>302</v>
      </c>
      <c r="P19" s="39">
        <v>40.39</v>
      </c>
      <c r="Q19" s="401">
        <v>130</v>
      </c>
      <c r="R19" s="39" t="s">
        <v>2070</v>
      </c>
    </row>
    <row r="20" spans="2:18" ht="11.25" customHeight="1" x14ac:dyDescent="0.25">
      <c r="E20" s="39" t="str">
        <f>Commodities!$B$63</f>
        <v>PWRWAT</v>
      </c>
      <c r="H20" s="373"/>
      <c r="I20" s="373"/>
      <c r="J20" s="395">
        <f>INDEX($Q$8:$Q$36,MATCH(B18,$N$8:$N$36,0))/3.6</f>
        <v>590.04629629629608</v>
      </c>
      <c r="K20" s="395"/>
      <c r="N20" s="39" t="s">
        <v>301</v>
      </c>
      <c r="O20" s="39" t="s">
        <v>300</v>
      </c>
      <c r="P20" s="39">
        <v>44.29</v>
      </c>
      <c r="Q20" s="401">
        <v>1800</v>
      </c>
      <c r="R20" s="39" t="s">
        <v>2070</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299</v>
      </c>
      <c r="O21" s="39" t="s">
        <v>298</v>
      </c>
      <c r="P21" s="39">
        <v>94.19</v>
      </c>
      <c r="Q21" s="395">
        <f>INDEX($O$48:$O$61,MATCH(O21,$N$48:$N$61,0))</f>
        <v>111.08333333333336</v>
      </c>
      <c r="R21" s="39" t="s">
        <v>2070</v>
      </c>
    </row>
    <row r="22" spans="2:18" ht="11.25" customHeight="1" x14ac:dyDescent="0.2">
      <c r="E22" s="39" t="str">
        <f>Commodities!$B$47</f>
        <v>PWROKE</v>
      </c>
      <c r="H22" s="373"/>
      <c r="I22" s="373">
        <f>$M$7</f>
        <v>2.2114176001768026E-3</v>
      </c>
      <c r="N22" s="39" t="s">
        <v>297</v>
      </c>
      <c r="O22" s="39" t="s">
        <v>296</v>
      </c>
      <c r="P22" s="39">
        <v>70.39</v>
      </c>
      <c r="Q22" s="395">
        <f>INDEX($O$48:$O$61,MATCH(O22,$N$48:$N$61,0))</f>
        <v>1963.5833333333335</v>
      </c>
      <c r="R22" s="39" t="s">
        <v>2070</v>
      </c>
    </row>
    <row r="23" spans="2:18" ht="11.25" customHeight="1" x14ac:dyDescent="0.2">
      <c r="E23" s="39" t="str">
        <f>Commodities!$B$63</f>
        <v>PWRWAT</v>
      </c>
      <c r="H23" s="373"/>
      <c r="I23" s="373"/>
      <c r="J23" s="395">
        <f>INDEX($Q$8:$Q$36,MATCH(B21,$N$8:$N$36,0))/3.6</f>
        <v>573.33333333333348</v>
      </c>
      <c r="K23" s="395"/>
      <c r="N23" s="39" t="s">
        <v>275</v>
      </c>
      <c r="O23" s="39" t="s">
        <v>463</v>
      </c>
      <c r="P23" s="39">
        <v>36.43</v>
      </c>
      <c r="Q23" s="395">
        <v>33.4</v>
      </c>
      <c r="R23" s="39" t="s">
        <v>2073</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295</v>
      </c>
      <c r="O24" s="39" t="s">
        <v>294</v>
      </c>
      <c r="P24" s="39">
        <v>59.56</v>
      </c>
      <c r="Q24" s="395">
        <f>INDEX($O$48:$O$61,MATCH(O24,$N$48:$N$61,0))</f>
        <v>1965.9166666666661</v>
      </c>
      <c r="R24" s="39" t="s">
        <v>2070</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2072</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2072</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2071</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2071</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2071</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2071</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2071</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2071</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2071</v>
      </c>
    </row>
    <row r="34" spans="2:18" ht="11.25" customHeight="1" x14ac:dyDescent="0.2">
      <c r="E34" s="39" t="str">
        <f>Commodities!$B$47</f>
        <v>PWROKE</v>
      </c>
      <c r="H34" s="373"/>
      <c r="I34" s="373">
        <f>$M$7</f>
        <v>2.2114176001768026E-3</v>
      </c>
      <c r="N34" s="39" t="s">
        <v>271</v>
      </c>
      <c r="O34" s="39" t="s">
        <v>270</v>
      </c>
      <c r="Q34" s="395">
        <v>231</v>
      </c>
      <c r="R34" s="39" t="s">
        <v>2073</v>
      </c>
    </row>
    <row r="35" spans="2:18" ht="11.25" customHeight="1" x14ac:dyDescent="0.2">
      <c r="E35" s="39" t="str">
        <f>Commodities!$B$63</f>
        <v>PWRWAT</v>
      </c>
      <c r="H35" s="373"/>
      <c r="I35" s="373"/>
      <c r="J35" s="395">
        <f>INDEX($Q$8:$Q$36,MATCH(B33,$N$8:$N$36,0))/3.6</f>
        <v>504.88425925925924</v>
      </c>
      <c r="K35" s="395"/>
      <c r="N35" s="39" t="s">
        <v>1957</v>
      </c>
      <c r="O35" s="39" t="s">
        <v>1955</v>
      </c>
      <c r="Q35" s="39">
        <v>320</v>
      </c>
      <c r="R35" s="39" t="s">
        <v>2071</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265</v>
      </c>
      <c r="O36" s="39" t="s">
        <v>264</v>
      </c>
      <c r="Q36" s="39">
        <v>33</v>
      </c>
      <c r="R36" s="39" t="s">
        <v>2071</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2067</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453</v>
      </c>
      <c r="O48" s="376">
        <v>2124.1666666666661</v>
      </c>
    </row>
    <row r="49" spans="1:15" ht="11.25" customHeight="1" x14ac:dyDescent="0.2">
      <c r="E49" s="39" t="str">
        <f>Commodities!$B$47</f>
        <v>PWROKE</v>
      </c>
      <c r="H49" s="373"/>
      <c r="I49" s="373">
        <f>$M$7</f>
        <v>2.2114176001768026E-3</v>
      </c>
      <c r="N49" t="s">
        <v>446</v>
      </c>
      <c r="O49" s="376">
        <v>2399.083333333333</v>
      </c>
    </row>
    <row r="50" spans="1:15" ht="11.25" customHeight="1" x14ac:dyDescent="0.2">
      <c r="E50" s="39" t="str">
        <f>Commodities!$B$63</f>
        <v>PWRWAT</v>
      </c>
      <c r="H50" s="373"/>
      <c r="I50" s="373"/>
      <c r="J50" s="395">
        <f>INDEX($Q$8:$Q$36,MATCH(B48,$N$8:$N$36,0))/3.6</f>
        <v>546.08796296296282</v>
      </c>
      <c r="K50" s="395"/>
      <c r="N50" t="s">
        <v>503</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447</v>
      </c>
      <c r="O51" s="376">
        <v>2215</v>
      </c>
    </row>
    <row r="52" spans="1:15" ht="11.25" customHeight="1" x14ac:dyDescent="0.2">
      <c r="E52" s="39" t="str">
        <f>Commodities!$B$47</f>
        <v>PWROKE</v>
      </c>
      <c r="H52" s="373"/>
      <c r="I52" s="373">
        <f>$M$7</f>
        <v>2.2114176001768026E-3</v>
      </c>
      <c r="N52" t="s">
        <v>492</v>
      </c>
      <c r="O52" s="376">
        <v>144.08333333333331</v>
      </c>
    </row>
    <row r="53" spans="1:15" ht="11.25" customHeight="1" x14ac:dyDescent="0.2">
      <c r="E53" s="39" t="str">
        <f>Commodities!$B$63</f>
        <v>PWRWAT</v>
      </c>
      <c r="H53" s="373"/>
      <c r="I53" s="373"/>
      <c r="J53" s="395">
        <f>INDEX($Q$8:$Q$36,MATCH(B51,$N$8:$N$36,0))/3.6</f>
        <v>712.59259259259238</v>
      </c>
      <c r="K53" s="395"/>
      <c r="N53" t="s">
        <v>450</v>
      </c>
      <c r="O53" s="376">
        <v>1963.5833333333335</v>
      </c>
    </row>
    <row r="54" spans="1:15" ht="11.25" customHeight="1" x14ac:dyDescent="0.2">
      <c r="A54" s="42" t="str">
        <f>ProcDataGen2012On!A8</f>
        <v>* New Power Plants - Grid</v>
      </c>
      <c r="H54" s="373"/>
      <c r="I54" s="373"/>
      <c r="N54" t="s">
        <v>455</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478</v>
      </c>
      <c r="O55" s="376">
        <v>1817.5833333333333</v>
      </c>
    </row>
    <row r="56" spans="1:15" ht="11.25" customHeight="1" x14ac:dyDescent="0.2">
      <c r="E56" s="39" t="str">
        <f>Commodities!$B$47</f>
        <v>PWROKE</v>
      </c>
      <c r="H56" s="373"/>
      <c r="I56" s="373">
        <f>$M$7</f>
        <v>2.2114176001768026E-3</v>
      </c>
      <c r="N56" t="s">
        <v>471</v>
      </c>
      <c r="O56" s="376">
        <v>111.08333333333336</v>
      </c>
    </row>
    <row r="57" spans="1:15" ht="11.25" customHeight="1" x14ac:dyDescent="0.2">
      <c r="E57" s="39" t="str">
        <f>Commodities!$B$63</f>
        <v>PWRWAT</v>
      </c>
      <c r="H57" s="373"/>
      <c r="I57" s="373"/>
      <c r="J57" s="395">
        <f>INDEX($Q$8:$Q$36,MATCH(B55,$N$8:$N$36,0))/3.6</f>
        <v>9.2777777777777768</v>
      </c>
      <c r="K57" s="395"/>
      <c r="N57" t="s">
        <v>444</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507</v>
      </c>
      <c r="O58" s="376">
        <v>2565.3333333333326</v>
      </c>
    </row>
    <row r="59" spans="1:15" ht="11.25" customHeight="1" x14ac:dyDescent="0.2">
      <c r="E59" s="39" t="str">
        <f>Commodities!$B$47</f>
        <v>PWROKE</v>
      </c>
      <c r="H59" s="373"/>
      <c r="I59" s="373">
        <f>$M$7</f>
        <v>2.2114176001768026E-3</v>
      </c>
      <c r="N59" t="s">
        <v>442</v>
      </c>
      <c r="O59" s="376">
        <v>2248.25</v>
      </c>
    </row>
    <row r="60" spans="1:15" ht="11.25" customHeight="1" x14ac:dyDescent="0.2">
      <c r="E60" s="39" t="str">
        <f>Commodities!$B$63</f>
        <v>PWRWAT</v>
      </c>
      <c r="H60" s="373"/>
      <c r="I60" s="373"/>
      <c r="J60" s="395">
        <f>INDEX($Q$8:$Q$36,MATCH(B58,$N$8:$N$36,0))/3.6</f>
        <v>64.166666666666671</v>
      </c>
      <c r="K60" s="395"/>
      <c r="N60" t="s">
        <v>443</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2068</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1957</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7"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138</v>
      </c>
      <c r="H1" s="39" t="s">
        <v>92</v>
      </c>
      <c r="I1" s="39" t="s">
        <v>92</v>
      </c>
      <c r="J1" s="39" t="s">
        <v>92</v>
      </c>
    </row>
    <row r="2" spans="1:28" ht="11.25" customHeight="1" x14ac:dyDescent="0.2">
      <c r="A2" s="54" t="str">
        <f ca="1">MID(CELL("filename",A1),FIND("]",CELL("filename",A1))+1,255)</f>
        <v>ProcDataLowEAF</v>
      </c>
    </row>
    <row r="3" spans="1:28" ht="34.5" customHeight="1" x14ac:dyDescent="0.2">
      <c r="H3" s="69" t="s">
        <v>1823</v>
      </c>
      <c r="I3" s="69" t="s">
        <v>1831</v>
      </c>
      <c r="J3" s="69" t="s">
        <v>1832</v>
      </c>
      <c r="K3" s="39" t="s">
        <v>385</v>
      </c>
      <c r="L3" s="39" t="s">
        <v>385</v>
      </c>
      <c r="M3" s="39" t="s">
        <v>385</v>
      </c>
      <c r="N3" s="39" t="s">
        <v>385</v>
      </c>
      <c r="O3" s="39" t="s">
        <v>385</v>
      </c>
      <c r="P3" s="39" t="s">
        <v>385</v>
      </c>
      <c r="Q3" s="39" t="s">
        <v>385</v>
      </c>
      <c r="R3" s="39" t="s">
        <v>385</v>
      </c>
      <c r="S3" s="39" t="s">
        <v>385</v>
      </c>
      <c r="T3" s="39" t="s">
        <v>385</v>
      </c>
      <c r="U3" s="39" t="s">
        <v>385</v>
      </c>
      <c r="V3" s="69"/>
      <c r="W3" s="69"/>
      <c r="X3" s="69"/>
      <c r="Y3" s="69"/>
      <c r="Z3" s="69"/>
      <c r="AA3" s="69"/>
      <c r="AB3" s="69"/>
    </row>
    <row r="4" spans="1:28" ht="21.75" customHeight="1" x14ac:dyDescent="0.2">
      <c r="E4" s="68"/>
      <c r="F4" s="68"/>
      <c r="G4" s="68"/>
      <c r="K4" s="67" t="s">
        <v>375</v>
      </c>
      <c r="L4" s="67" t="s">
        <v>375</v>
      </c>
      <c r="M4" s="67" t="s">
        <v>375</v>
      </c>
      <c r="N4" s="67" t="s">
        <v>375</v>
      </c>
      <c r="O4" s="67" t="s">
        <v>375</v>
      </c>
      <c r="P4" s="67" t="s">
        <v>375</v>
      </c>
      <c r="Q4" s="67" t="s">
        <v>375</v>
      </c>
      <c r="R4" s="67" t="s">
        <v>375</v>
      </c>
      <c r="S4" s="67" t="s">
        <v>375</v>
      </c>
      <c r="T4" s="67" t="s">
        <v>375</v>
      </c>
      <c r="U4" s="67" t="s">
        <v>375</v>
      </c>
      <c r="V4" s="67" t="s">
        <v>375</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48">
        <f>ProcDataGenPre2012!R9</f>
        <v>0.65972201228153049</v>
      </c>
      <c r="J9" s="48">
        <f>ProcDataGenPre2012!S9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138</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1823</v>
      </c>
      <c r="I3" s="69" t="s">
        <v>1881</v>
      </c>
      <c r="J3" s="69" t="s">
        <v>1881</v>
      </c>
      <c r="K3" s="69" t="s">
        <v>1881</v>
      </c>
      <c r="L3" s="69" t="s">
        <v>1882</v>
      </c>
      <c r="M3" s="69" t="s">
        <v>1827</v>
      </c>
      <c r="N3" s="69" t="s">
        <v>755</v>
      </c>
      <c r="O3" s="39" t="s">
        <v>1879</v>
      </c>
    </row>
    <row r="4" spans="1:15" ht="21.75" customHeight="1" x14ac:dyDescent="0.2">
      <c r="E4" s="68"/>
      <c r="F4" s="68"/>
      <c r="G4" s="68"/>
      <c r="I4" s="39" t="s">
        <v>1880</v>
      </c>
      <c r="J4" s="39" t="s">
        <v>1880</v>
      </c>
      <c r="K4" s="39" t="s">
        <v>1880</v>
      </c>
      <c r="L4" s="39" t="s">
        <v>1883</v>
      </c>
      <c r="M4" s="69"/>
      <c r="N4" s="69" t="s">
        <v>1878</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f>N9/(O9+0.000000001)*2</f>
        <v>0</v>
      </c>
      <c r="L9" s="39">
        <v>1</v>
      </c>
      <c r="M9" s="39">
        <f>INDEX(ProcDataGenPre2012!$AY9:$BU9,1,MATCH($M$5,ProcDataGenPre2012!$AY$5:$BU$5,0))</f>
        <v>1.4810000000000001</v>
      </c>
      <c r="N9" s="39">
        <f>INDEX(ProcDataGenPre2012!$AY9:$BU9,1,MATCH($N$5,ProcDataGenPre2012!$AY$5:$BU$5,0))</f>
        <v>0</v>
      </c>
      <c r="O9" s="39">
        <f>N9/M9*H9</f>
        <v>0</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INDEX(ProcDataGenPre2012!$AY10:$BU10,1,MATCH($M$5,ProcDataGenPre2012!$AY$5:$BU$5,0))</f>
        <v>0.56999999999999995</v>
      </c>
      <c r="N10" s="39">
        <f>INDEX(ProcDataGenPre2012!$AY10:$BU10,1,MATCH($N$5,ProcDataGenPre2012!$AY$5:$BU$5,0))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INDEX(ProcDataGenPre2012!$AY11:$BU11,1,MATCH($M$5,ProcDataGenPre2012!$AY$5:$BU$5,0))</f>
        <v>0.20499999999999999</v>
      </c>
      <c r="N11" s="39">
        <f>INDEX(ProcDataGenPre2012!$AY11:$BU11,1,MATCH($N$5,ProcDataGenPre2012!$AY$5:$BU$5,0))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INDEX(ProcDataGenPre2012!$AY12:$BU12,1,MATCH($M$5,ProcDataGenPre2012!$AY$5:$BU$5,0))</f>
        <v>2.2320000000000002</v>
      </c>
      <c r="N12" s="39">
        <f>INDEX(ProcDataGenPre2012!$AY12:$BU12,1,MATCH($N$5,ProcDataGenPre2012!$AY$5:$BU$5,0))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INDEX(ProcDataGenPre2012!$AY13:$BU13,1,MATCH($M$5,ProcDataGenPre2012!$AY$5:$BU$5,0))</f>
        <v>2.875</v>
      </c>
      <c r="N13" s="39">
        <f>INDEX(ProcDataGenPre2012!$AY13:$BU13,1,MATCH($N$5,ProcDataGenPre2012!$AY$5:$BU$5,0))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INDEX(ProcDataGenPre2012!$AY14:$BU14,1,MATCH($M$5,ProcDataGenPre2012!$AY$5:$BU$5,0))</f>
        <v>1.2929999999999999</v>
      </c>
      <c r="N14" s="39">
        <f>INDEX(ProcDataGenPre2012!$AY14:$BU14,1,MATCH($N$5,ProcDataGenPre2012!$AY$5:$BU$5,0))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INDEX(ProcDataGenPre2012!$AY15:$BU15,1,MATCH($M$5,ProcDataGenPre2012!$AY$5:$BU$5,0))</f>
        <v>3.84</v>
      </c>
      <c r="N15" s="39">
        <f>INDEX(ProcDataGenPre2012!$AY15:$BU15,1,MATCH($N$5,ProcDataGenPre2012!$AY$5:$BU$5,0))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INDEX(ProcDataGenPre2012!$AY16:$BU16,1,MATCH($M$5,ProcDataGenPre2012!$AY$5:$BU$5,0))</f>
        <v>2.85</v>
      </c>
      <c r="N16" s="39">
        <f>INDEX(ProcDataGenPre2012!$AY16:$BU16,1,MATCH($N$5,ProcDataGenPre2012!$AY$5:$BU$5,0))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INDEX(ProcDataGenPre2012!$AY17:$BU17,1,MATCH($M$5,ProcDataGenPre2012!$AY$5:$BU$5,0))</f>
        <v>3.5579999999999998</v>
      </c>
      <c r="N17" s="39">
        <f>INDEX(ProcDataGenPre2012!$AY17:$BU17,1,MATCH($N$5,ProcDataGenPre2012!$AY$5:$BU$5,0))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INDEX(ProcDataGenPre2012!$AY18:$BU18,1,MATCH($M$5,ProcDataGenPre2012!$AY$5:$BU$5,0))</f>
        <v>1.8330000000000002</v>
      </c>
      <c r="N18" s="39">
        <f>INDEX(ProcDataGenPre2012!$AY18:$BU18,1,MATCH($N$5,ProcDataGenPre2012!$AY$5:$BU$5,0))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INDEX(ProcDataGenPre2012!$AY19:$BU19,1,MATCH($M$5,ProcDataGenPre2012!$AY$5:$BU$5,0))</f>
        <v>2.0099999999999998</v>
      </c>
      <c r="N19" s="39">
        <f>INDEX(ProcDataGenPre2012!$AY19:$BU19,1,MATCH($N$5,ProcDataGenPre2012!$AY$5:$BU$5,0))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INDEX(ProcDataGenPre2012!$AY20:$BU20,1,MATCH($M$5,ProcDataGenPre2012!$AY$5:$BU$5,0))</f>
        <v>3.69</v>
      </c>
      <c r="N20" s="39">
        <f>INDEX(ProcDataGenPre2012!$AY20:$BU20,1,MATCH($N$5,ProcDataGenPre2012!$AY$5:$BU$5,0))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INDEX(ProcDataGenPre2012!$AY21:$BU21,1,MATCH($M$5,ProcDataGenPre2012!$AY$5:$BU$5,0))</f>
        <v>3.45</v>
      </c>
      <c r="N21" s="39">
        <f>INDEX(ProcDataGenPre2012!$AY21:$BU21,1,MATCH($N$5,ProcDataGenPre2012!$AY$5:$BU$5,0))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INDEX(ProcDataGenPre2012!$AY22:$BU22,1,MATCH($M$5,ProcDataGenPre2012!$AY$5:$BU$5,0))</f>
        <v>3.51</v>
      </c>
      <c r="N22" s="39">
        <f>INDEX(ProcDataGenPre2012!$AY22:$BU22,1,MATCH($N$5,ProcDataGenPre2012!$AY$5:$BU$5,0))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INDEX(ProcDataGenPre2012!$AY25:$BU25,1,MATCH($M$5,ProcDataGenPre2012!$AY$5:$BU$5,0))</f>
        <v>0.128</v>
      </c>
      <c r="N25" s="39">
        <f>INDEX(ProcDataGenPre2012!$AY25:$BU25,1,MATCH($N$5,ProcDataGenPre2012!$AY$5:$BU$5,0))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Grand Inga</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138</v>
      </c>
      <c r="H1" s="39" t="s">
        <v>92</v>
      </c>
    </row>
    <row r="2" spans="1:11" ht="11.25" customHeight="1" x14ac:dyDescent="0.2">
      <c r="A2" s="54" t="str">
        <f ca="1">MID(CELL("filename",A1),FIND("]",CELL("filename",A1))+1,255)</f>
        <v>ProcDataEndoRetireIRP</v>
      </c>
    </row>
    <row r="3" spans="1:11" ht="34.5" customHeight="1" x14ac:dyDescent="0.2">
      <c r="H3" s="69" t="s">
        <v>1823</v>
      </c>
      <c r="I3" s="69" t="s">
        <v>1881</v>
      </c>
      <c r="J3" s="69" t="s">
        <v>1881</v>
      </c>
      <c r="K3" s="69" t="s">
        <v>1881</v>
      </c>
    </row>
    <row r="4" spans="1:11" ht="21.75" customHeight="1" x14ac:dyDescent="0.2">
      <c r="E4" s="68"/>
      <c r="F4" s="68"/>
      <c r="G4" s="68"/>
      <c r="I4" s="39" t="s">
        <v>1880</v>
      </c>
      <c r="J4" s="39" t="s">
        <v>1880</v>
      </c>
      <c r="K4" s="39" t="s">
        <v>1880</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Grand Inga</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workbookViewId="0">
      <selection activeCell="I7" sqref="I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138</v>
      </c>
      <c r="H1" s="39" t="s">
        <v>92</v>
      </c>
    </row>
    <row r="2" spans="1:10" ht="11.25" customHeight="1" x14ac:dyDescent="0.2">
      <c r="A2" s="54" t="str">
        <f ca="1">MID(CELL("filename",A1),FIND("]",CELL("filename",A1))+1,255)</f>
        <v>ProcDataRampRates</v>
      </c>
    </row>
    <row r="3" spans="1:10" ht="34.5" customHeight="1" x14ac:dyDescent="0.2">
      <c r="H3" s="69" t="s">
        <v>1823</v>
      </c>
      <c r="I3" s="69" t="s">
        <v>1902</v>
      </c>
      <c r="J3" s="69" t="s">
        <v>1903</v>
      </c>
    </row>
    <row r="4" spans="1:10" ht="21.75" customHeight="1" x14ac:dyDescent="0.2">
      <c r="E4" s="68"/>
      <c r="F4" s="68"/>
      <c r="G4" s="68"/>
      <c r="I4" s="39" t="s">
        <v>1904</v>
      </c>
      <c r="J4" s="39" t="s">
        <v>1905</v>
      </c>
    </row>
    <row r="5" spans="1:10" ht="16.5" customHeight="1" x14ac:dyDescent="0.2">
      <c r="I5" s="39" t="s">
        <v>122</v>
      </c>
      <c r="J5" s="39" t="s">
        <v>122</v>
      </c>
    </row>
    <row r="6" spans="1:10" ht="17.25" customHeight="1" x14ac:dyDescent="0.2">
      <c r="F6" s="39" t="s">
        <v>2491</v>
      </c>
    </row>
    <row r="7" spans="1:10" ht="21.75" customHeight="1" x14ac:dyDescent="0.2">
      <c r="B7" s="57" t="s">
        <v>2479</v>
      </c>
      <c r="C7" s="57" t="s">
        <v>2492</v>
      </c>
      <c r="D7" s="65" t="s">
        <v>2497</v>
      </c>
      <c r="E7" s="57" t="s">
        <v>2489</v>
      </c>
      <c r="F7" s="57" t="s">
        <v>2490</v>
      </c>
      <c r="G7" s="65" t="s">
        <v>2498</v>
      </c>
      <c r="H7" s="39" t="s">
        <v>2501</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53">
        <v>0.01</v>
      </c>
      <c r="J9" s="53">
        <v>0.01</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0.01</v>
      </c>
      <c r="J10" s="39">
        <f>J$9</f>
        <v>0.01</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0.01</v>
      </c>
      <c r="J11" s="39">
        <f t="shared" si="0"/>
        <v>0.01</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0.01</v>
      </c>
      <c r="J12" s="39">
        <f t="shared" si="0"/>
        <v>0.01</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0.01</v>
      </c>
      <c r="J13" s="39">
        <f t="shared" si="0"/>
        <v>0.01</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0.01</v>
      </c>
      <c r="J14" s="39">
        <f t="shared" si="0"/>
        <v>0.01</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0.01</v>
      </c>
      <c r="J15" s="39">
        <f t="shared" si="0"/>
        <v>0.01</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0.01</v>
      </c>
      <c r="J16" s="39">
        <f t="shared" si="0"/>
        <v>0.01</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0.01</v>
      </c>
      <c r="J17" s="39">
        <f t="shared" si="0"/>
        <v>0.01</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0.01</v>
      </c>
      <c r="J18" s="39">
        <f t="shared" si="0"/>
        <v>0.01</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0.01</v>
      </c>
      <c r="J19" s="39">
        <f t="shared" si="0"/>
        <v>0.01</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0.01</v>
      </c>
      <c r="J20" s="39">
        <f t="shared" si="0"/>
        <v>0.01</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0.01</v>
      </c>
      <c r="J21" s="39">
        <f t="shared" si="0"/>
        <v>0.01</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0.01</v>
      </c>
      <c r="J22" s="39">
        <f t="shared" si="0"/>
        <v>0.01</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0.01</v>
      </c>
      <c r="J23" s="39">
        <f t="shared" si="0"/>
        <v>0.01</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0.02</v>
      </c>
      <c r="J28" s="39">
        <f>J$9*2</f>
        <v>0.02</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0.02</v>
      </c>
      <c r="J29" s="334">
        <f>J9*2</f>
        <v>0.02</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0.01</v>
      </c>
      <c r="J32" s="39">
        <f t="shared" si="1"/>
        <v>0.01</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0.01</v>
      </c>
      <c r="J33" s="39">
        <f t="shared" si="1"/>
        <v>0.01</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0.01</v>
      </c>
      <c r="J34" s="39">
        <f t="shared" si="1"/>
        <v>0.01</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0.01</v>
      </c>
      <c r="J37" s="39">
        <f>J$9</f>
        <v>0.01</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Grand Inga</v>
      </c>
      <c r="D44" s="39" t="str">
        <f>ProcDataGen2012On!D22</f>
        <v>PJ,GW</v>
      </c>
      <c r="F44" s="39" t="str">
        <f>ProcDataGen2012On!F22</f>
        <v>ELCC</v>
      </c>
      <c r="I44" s="39">
        <f>I$9*2</f>
        <v>0.02</v>
      </c>
      <c r="J44" s="39">
        <f>J$9*2</f>
        <v>0.02</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0.02</v>
      </c>
      <c r="J46" s="39">
        <f>J$9*2</f>
        <v>0.02</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sheetPr codeName="Sheet62"/>
  <dimension ref="B3:V118"/>
  <sheetViews>
    <sheetView workbookViewId="0"/>
  </sheetViews>
  <sheetFormatPr defaultColWidth="11.42578125" defaultRowHeight="12.75" x14ac:dyDescent="0.2"/>
  <cols>
    <col min="3" max="3" width="34.85546875" customWidth="1"/>
  </cols>
  <sheetData>
    <row r="3" spans="2:13" x14ac:dyDescent="0.2">
      <c r="B3" s="341" t="s">
        <v>2401</v>
      </c>
    </row>
    <row r="6" spans="2:13" x14ac:dyDescent="0.2">
      <c r="B6" s="341" t="s">
        <v>2402</v>
      </c>
      <c r="C6" s="341" t="s">
        <v>2403</v>
      </c>
    </row>
    <row r="7" spans="2:13" x14ac:dyDescent="0.2">
      <c r="D7" s="341" t="s">
        <v>2411</v>
      </c>
    </row>
    <row r="8" spans="2:13" x14ac:dyDescent="0.2">
      <c r="C8" t="s">
        <v>2404</v>
      </c>
    </row>
    <row r="9" spans="2:13" x14ac:dyDescent="0.2">
      <c r="D9">
        <v>2021</v>
      </c>
      <c r="E9">
        <v>2022</v>
      </c>
      <c r="F9">
        <v>2023</v>
      </c>
      <c r="G9">
        <v>2024</v>
      </c>
      <c r="H9">
        <v>2025</v>
      </c>
      <c r="I9">
        <v>2026</v>
      </c>
      <c r="J9">
        <v>2027</v>
      </c>
      <c r="K9">
        <v>2028</v>
      </c>
      <c r="L9">
        <v>2029</v>
      </c>
      <c r="M9">
        <v>2030</v>
      </c>
    </row>
    <row r="10" spans="2:13" x14ac:dyDescent="0.2">
      <c r="C10" t="s">
        <v>2405</v>
      </c>
      <c r="D10">
        <v>0</v>
      </c>
      <c r="E10">
        <v>0</v>
      </c>
      <c r="F10">
        <v>0</v>
      </c>
      <c r="G10">
        <v>1.6</v>
      </c>
      <c r="H10">
        <v>4.0999999999999996</v>
      </c>
      <c r="I10">
        <v>4.2</v>
      </c>
      <c r="J10">
        <v>3.2</v>
      </c>
      <c r="K10">
        <v>3.2</v>
      </c>
      <c r="L10">
        <v>3.2</v>
      </c>
      <c r="M10">
        <v>3.2</v>
      </c>
    </row>
    <row r="11" spans="2:13" x14ac:dyDescent="0.2">
      <c r="C11" t="s">
        <v>2406</v>
      </c>
      <c r="D11">
        <v>0</v>
      </c>
      <c r="E11">
        <v>0</v>
      </c>
      <c r="F11">
        <v>0</v>
      </c>
      <c r="G11">
        <v>1.5</v>
      </c>
      <c r="H11">
        <v>3.5</v>
      </c>
      <c r="I11">
        <v>3.5</v>
      </c>
      <c r="J11">
        <v>2</v>
      </c>
      <c r="K11">
        <v>2</v>
      </c>
      <c r="L11">
        <v>2</v>
      </c>
      <c r="M11">
        <v>2</v>
      </c>
    </row>
    <row r="12" spans="2:13" x14ac:dyDescent="0.2">
      <c r="C12" t="s">
        <v>2407</v>
      </c>
      <c r="D12">
        <v>0</v>
      </c>
      <c r="E12">
        <v>0.5</v>
      </c>
      <c r="F12">
        <v>0.5</v>
      </c>
      <c r="G12">
        <v>0.5</v>
      </c>
      <c r="H12">
        <v>1</v>
      </c>
      <c r="I12">
        <v>1</v>
      </c>
      <c r="J12">
        <v>0.5</v>
      </c>
      <c r="K12">
        <v>0.5</v>
      </c>
      <c r="L12">
        <v>0.5</v>
      </c>
      <c r="M12">
        <v>0.5</v>
      </c>
    </row>
    <row r="13" spans="2:13" x14ac:dyDescent="0.2">
      <c r="C13" t="s">
        <v>2408</v>
      </c>
      <c r="D13">
        <v>0</v>
      </c>
      <c r="E13">
        <v>0</v>
      </c>
      <c r="F13">
        <v>0</v>
      </c>
      <c r="G13">
        <v>0.51300000000000001</v>
      </c>
      <c r="H13">
        <v>0</v>
      </c>
      <c r="I13">
        <v>0</v>
      </c>
      <c r="J13">
        <v>0.45</v>
      </c>
      <c r="K13">
        <v>0.15</v>
      </c>
      <c r="L13">
        <v>1.575</v>
      </c>
      <c r="M13">
        <v>0</v>
      </c>
    </row>
    <row r="16" spans="2:13" x14ac:dyDescent="0.2">
      <c r="C16" t="s">
        <v>232</v>
      </c>
      <c r="E16">
        <v>0.315</v>
      </c>
      <c r="F16">
        <v>0.35</v>
      </c>
      <c r="G16">
        <v>0.3</v>
      </c>
      <c r="H16">
        <v>0.8</v>
      </c>
      <c r="I16">
        <v>0.75</v>
      </c>
      <c r="J16">
        <v>0.22500000000000001</v>
      </c>
      <c r="K16">
        <v>0.2</v>
      </c>
      <c r="L16">
        <v>0.2</v>
      </c>
      <c r="M16">
        <v>0.2</v>
      </c>
    </row>
    <row r="17" spans="3:13" x14ac:dyDescent="0.2">
      <c r="C17" t="s">
        <v>230</v>
      </c>
      <c r="E17">
        <v>4.4999999999999998E-2</v>
      </c>
      <c r="F17">
        <v>0.05</v>
      </c>
      <c r="G17">
        <v>0.05</v>
      </c>
      <c r="H17">
        <v>0.05</v>
      </c>
      <c r="I17">
        <v>0.05</v>
      </c>
      <c r="J17">
        <v>0.05</v>
      </c>
      <c r="K17">
        <v>0.05</v>
      </c>
      <c r="L17">
        <v>0.05</v>
      </c>
      <c r="M17">
        <v>0.05</v>
      </c>
    </row>
    <row r="18" spans="3:13" x14ac:dyDescent="0.2">
      <c r="C18" t="s">
        <v>228</v>
      </c>
      <c r="E18">
        <v>9.0000000000000024E-2</v>
      </c>
      <c r="F18">
        <v>0.10000000000000003</v>
      </c>
      <c r="G18">
        <v>0.15000000000000002</v>
      </c>
      <c r="H18">
        <v>0.15000000000000002</v>
      </c>
      <c r="I18">
        <v>0.2</v>
      </c>
      <c r="J18">
        <v>0.22499999999999998</v>
      </c>
      <c r="K18">
        <v>0.25</v>
      </c>
      <c r="L18">
        <v>0.25</v>
      </c>
      <c r="M18">
        <v>0.25</v>
      </c>
    </row>
    <row r="22" spans="3:13" x14ac:dyDescent="0.2">
      <c r="C22" t="s">
        <v>2409</v>
      </c>
    </row>
    <row r="23" spans="3:13" x14ac:dyDescent="0.2">
      <c r="D23">
        <v>2021</v>
      </c>
      <c r="E23">
        <v>2022</v>
      </c>
      <c r="F23">
        <v>2023</v>
      </c>
      <c r="G23">
        <v>2024</v>
      </c>
      <c r="H23">
        <v>2025</v>
      </c>
      <c r="I23">
        <v>2026</v>
      </c>
      <c r="J23">
        <v>2027</v>
      </c>
      <c r="K23">
        <v>2028</v>
      </c>
      <c r="L23">
        <v>2029</v>
      </c>
      <c r="M23">
        <v>2030</v>
      </c>
    </row>
    <row r="24" spans="3:13" x14ac:dyDescent="0.2">
      <c r="C24" t="s">
        <v>2405</v>
      </c>
      <c r="D24">
        <v>0</v>
      </c>
      <c r="E24">
        <v>0</v>
      </c>
      <c r="F24">
        <v>0</v>
      </c>
      <c r="G24">
        <v>1.6</v>
      </c>
      <c r="H24">
        <v>4.0999999999999996</v>
      </c>
      <c r="I24">
        <v>3.5</v>
      </c>
      <c r="J24">
        <v>2.5</v>
      </c>
      <c r="K24">
        <v>2.5</v>
      </c>
      <c r="L24">
        <v>2.5</v>
      </c>
      <c r="M24">
        <v>2.5</v>
      </c>
    </row>
    <row r="25" spans="3:13" x14ac:dyDescent="0.2">
      <c r="C25" t="s">
        <v>2406</v>
      </c>
      <c r="D25">
        <v>0</v>
      </c>
      <c r="E25">
        <v>0</v>
      </c>
      <c r="F25">
        <v>0</v>
      </c>
      <c r="G25">
        <v>1.5</v>
      </c>
      <c r="H25">
        <v>3.5</v>
      </c>
      <c r="I25">
        <v>3</v>
      </c>
      <c r="J25">
        <v>1.5</v>
      </c>
      <c r="K25">
        <v>1.5</v>
      </c>
      <c r="L25">
        <v>1.5</v>
      </c>
      <c r="M25">
        <v>1.5</v>
      </c>
    </row>
    <row r="26" spans="3:13" x14ac:dyDescent="0.2">
      <c r="C26" t="s">
        <v>2407</v>
      </c>
      <c r="D26">
        <v>0</v>
      </c>
      <c r="E26">
        <v>0.5</v>
      </c>
      <c r="F26">
        <v>0.5</v>
      </c>
      <c r="G26">
        <v>0.5</v>
      </c>
      <c r="H26">
        <v>1</v>
      </c>
      <c r="I26">
        <v>1</v>
      </c>
      <c r="J26">
        <v>0.5</v>
      </c>
      <c r="K26">
        <v>0.5</v>
      </c>
      <c r="L26">
        <v>0.5</v>
      </c>
      <c r="M26">
        <v>0.5</v>
      </c>
    </row>
    <row r="27" spans="3:13" x14ac:dyDescent="0.2">
      <c r="C27" t="s">
        <v>2408</v>
      </c>
      <c r="D27">
        <v>0</v>
      </c>
      <c r="E27">
        <v>0</v>
      </c>
      <c r="F27">
        <v>0</v>
      </c>
      <c r="G27">
        <v>0.51300000000000001</v>
      </c>
      <c r="H27">
        <v>0</v>
      </c>
      <c r="I27">
        <v>0</v>
      </c>
      <c r="J27">
        <v>0.45</v>
      </c>
      <c r="K27">
        <v>0.15</v>
      </c>
      <c r="L27">
        <v>1.575</v>
      </c>
      <c r="M27">
        <v>0</v>
      </c>
    </row>
    <row r="29" spans="3:13" x14ac:dyDescent="0.2">
      <c r="C29" t="s">
        <v>232</v>
      </c>
      <c r="E29">
        <v>0.315</v>
      </c>
      <c r="F29">
        <v>0.35</v>
      </c>
      <c r="G29">
        <v>0.3</v>
      </c>
      <c r="H29">
        <v>0.8</v>
      </c>
      <c r="I29">
        <v>0.75</v>
      </c>
      <c r="J29">
        <v>0.22500000000000001</v>
      </c>
      <c r="K29">
        <v>0.2</v>
      </c>
      <c r="L29">
        <v>0.2</v>
      </c>
      <c r="M29">
        <v>0.2</v>
      </c>
    </row>
    <row r="30" spans="3:13" x14ac:dyDescent="0.2">
      <c r="C30" t="s">
        <v>230</v>
      </c>
      <c r="E30">
        <v>4.4999999999999998E-2</v>
      </c>
      <c r="F30">
        <v>0.05</v>
      </c>
      <c r="G30">
        <v>0.05</v>
      </c>
      <c r="H30">
        <v>0.05</v>
      </c>
      <c r="I30">
        <v>0.05</v>
      </c>
      <c r="J30">
        <v>0.05</v>
      </c>
      <c r="K30">
        <v>0.05</v>
      </c>
      <c r="L30">
        <v>0.05</v>
      </c>
      <c r="M30">
        <v>0.05</v>
      </c>
    </row>
    <row r="31" spans="3:13" x14ac:dyDescent="0.2">
      <c r="C31" t="s">
        <v>228</v>
      </c>
      <c r="E31">
        <v>9.0000000000000024E-2</v>
      </c>
      <c r="F31">
        <v>0.10000000000000003</v>
      </c>
      <c r="G31">
        <v>0.15000000000000002</v>
      </c>
      <c r="H31">
        <v>0.15000000000000002</v>
      </c>
      <c r="I31">
        <v>0.2</v>
      </c>
      <c r="J31">
        <v>0.22499999999999998</v>
      </c>
      <c r="K31">
        <v>0.25</v>
      </c>
      <c r="L31">
        <v>0.25</v>
      </c>
      <c r="M31">
        <v>0.25</v>
      </c>
    </row>
    <row r="33" spans="3:13" x14ac:dyDescent="0.2">
      <c r="C33" t="s">
        <v>2410</v>
      </c>
    </row>
    <row r="34" spans="3:13" x14ac:dyDescent="0.2">
      <c r="D34">
        <v>2021</v>
      </c>
      <c r="E34">
        <v>2022</v>
      </c>
      <c r="F34">
        <v>2023</v>
      </c>
      <c r="G34">
        <v>2024</v>
      </c>
      <c r="H34">
        <v>2025</v>
      </c>
      <c r="I34">
        <v>2026</v>
      </c>
      <c r="J34">
        <v>2027</v>
      </c>
      <c r="K34">
        <v>2028</v>
      </c>
      <c r="L34">
        <v>2029</v>
      </c>
      <c r="M34">
        <v>2030</v>
      </c>
    </row>
    <row r="35" spans="3:13" x14ac:dyDescent="0.2">
      <c r="C35" t="s">
        <v>2405</v>
      </c>
      <c r="D35">
        <v>0</v>
      </c>
      <c r="E35">
        <v>0</v>
      </c>
      <c r="F35">
        <v>0</v>
      </c>
      <c r="G35">
        <v>1.6</v>
      </c>
      <c r="H35">
        <v>4.0999999999999996</v>
      </c>
      <c r="I35">
        <v>3.4</v>
      </c>
      <c r="J35">
        <v>2.4</v>
      </c>
      <c r="K35">
        <v>1.6</v>
      </c>
      <c r="L35">
        <v>1.6</v>
      </c>
      <c r="M35">
        <v>1.6</v>
      </c>
    </row>
    <row r="36" spans="3:13" x14ac:dyDescent="0.2">
      <c r="C36" t="s">
        <v>2406</v>
      </c>
      <c r="D36">
        <v>0</v>
      </c>
      <c r="E36">
        <v>0</v>
      </c>
      <c r="F36">
        <v>0</v>
      </c>
      <c r="G36">
        <v>1.5</v>
      </c>
      <c r="H36">
        <v>3.5</v>
      </c>
      <c r="I36">
        <v>2.5</v>
      </c>
      <c r="J36">
        <v>0</v>
      </c>
      <c r="K36">
        <v>1</v>
      </c>
      <c r="L36">
        <v>0</v>
      </c>
      <c r="M36">
        <v>1</v>
      </c>
    </row>
    <row r="37" spans="3:13" x14ac:dyDescent="0.2">
      <c r="C37" t="s">
        <v>2407</v>
      </c>
      <c r="D37">
        <v>0</v>
      </c>
      <c r="E37">
        <v>0.5</v>
      </c>
      <c r="F37">
        <v>0.5</v>
      </c>
      <c r="G37">
        <v>0.5</v>
      </c>
      <c r="H37">
        <v>1</v>
      </c>
      <c r="I37">
        <v>1</v>
      </c>
      <c r="J37">
        <v>0.5</v>
      </c>
      <c r="K37">
        <v>0.5</v>
      </c>
      <c r="L37">
        <v>0.5</v>
      </c>
      <c r="M37">
        <v>0.5</v>
      </c>
    </row>
    <row r="38" spans="3:13" x14ac:dyDescent="0.2">
      <c r="C38" t="s">
        <v>2408</v>
      </c>
      <c r="D38">
        <v>0</v>
      </c>
      <c r="E38">
        <v>0</v>
      </c>
      <c r="F38">
        <v>0</v>
      </c>
      <c r="G38">
        <v>0.51300000000000001</v>
      </c>
      <c r="H38">
        <v>0</v>
      </c>
      <c r="I38">
        <v>0</v>
      </c>
      <c r="J38">
        <v>0.45</v>
      </c>
      <c r="K38">
        <v>0.15</v>
      </c>
      <c r="L38">
        <v>1.575</v>
      </c>
      <c r="M38">
        <v>0</v>
      </c>
    </row>
    <row r="40" spans="3:13" x14ac:dyDescent="0.2">
      <c r="C40" t="s">
        <v>232</v>
      </c>
      <c r="E40">
        <v>0.315</v>
      </c>
      <c r="F40">
        <v>0.35</v>
      </c>
      <c r="G40">
        <v>0.3</v>
      </c>
      <c r="H40">
        <v>0.8</v>
      </c>
      <c r="I40">
        <v>0.75</v>
      </c>
      <c r="J40">
        <v>0.22500000000000001</v>
      </c>
      <c r="K40">
        <v>0.2</v>
      </c>
      <c r="L40">
        <v>0.2</v>
      </c>
      <c r="M40">
        <v>0.2</v>
      </c>
    </row>
    <row r="41" spans="3:13" x14ac:dyDescent="0.2">
      <c r="C41" t="s">
        <v>230</v>
      </c>
      <c r="E41">
        <v>4.4999999999999998E-2</v>
      </c>
      <c r="F41">
        <v>0.05</v>
      </c>
      <c r="G41">
        <v>0.05</v>
      </c>
      <c r="H41">
        <v>0.05</v>
      </c>
      <c r="I41">
        <v>0.05</v>
      </c>
      <c r="J41">
        <v>0.05</v>
      </c>
      <c r="K41">
        <v>0.05</v>
      </c>
      <c r="L41">
        <v>0.05</v>
      </c>
      <c r="M41">
        <v>0.05</v>
      </c>
    </row>
    <row r="42" spans="3:13" x14ac:dyDescent="0.2">
      <c r="C42" t="s">
        <v>228</v>
      </c>
      <c r="E42">
        <v>9.0000000000000024E-2</v>
      </c>
      <c r="F42">
        <v>0.10000000000000003</v>
      </c>
      <c r="G42">
        <v>0.15000000000000002</v>
      </c>
      <c r="H42">
        <v>0.15000000000000002</v>
      </c>
      <c r="I42">
        <v>0.2</v>
      </c>
      <c r="J42">
        <v>0.22499999999999998</v>
      </c>
      <c r="K42">
        <v>0.25</v>
      </c>
      <c r="L42">
        <v>0.25</v>
      </c>
      <c r="M42">
        <v>0.25</v>
      </c>
    </row>
    <row r="48" spans="3:13" x14ac:dyDescent="0.2">
      <c r="C48" s="341" t="s">
        <v>2416</v>
      </c>
    </row>
    <row r="51" spans="3:18" x14ac:dyDescent="0.2">
      <c r="C51" s="341" t="s">
        <v>2417</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0.68300000000000005</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1.9216533333333332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0.41599999999999998</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3.6117566666666665</v>
      </c>
    </row>
    <row r="58" spans="3:18" x14ac:dyDescent="0.2">
      <c r="C58" t="str">
        <f>ProcDataGen2012On!C22</f>
        <v>Grand Inga</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2206</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2418</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526</v>
      </c>
      <c r="T2" s="79"/>
    </row>
    <row r="3" spans="1:20" x14ac:dyDescent="0.25">
      <c r="B3" s="78" t="s">
        <v>525</v>
      </c>
    </row>
    <row r="7" spans="1:20" x14ac:dyDescent="0.25">
      <c r="K7" s="78">
        <v>1</v>
      </c>
      <c r="L7" s="78">
        <v>3</v>
      </c>
      <c r="M7" s="78">
        <v>4</v>
      </c>
      <c r="N7" s="78">
        <v>5</v>
      </c>
      <c r="Q7" s="78">
        <v>2</v>
      </c>
      <c r="T7" s="83"/>
    </row>
    <row r="8" spans="1:20" x14ac:dyDescent="0.25">
      <c r="F8" s="78" t="s">
        <v>520</v>
      </c>
      <c r="G8" s="78" t="s">
        <v>519</v>
      </c>
      <c r="H8" s="78" t="s">
        <v>518</v>
      </c>
      <c r="I8" s="78" t="s">
        <v>517</v>
      </c>
      <c r="J8" s="78" t="s">
        <v>516</v>
      </c>
      <c r="K8" s="78" t="s">
        <v>439</v>
      </c>
      <c r="L8" s="78" t="s">
        <v>126</v>
      </c>
      <c r="M8" s="78" t="s">
        <v>143</v>
      </c>
      <c r="N8" s="78" t="s">
        <v>125</v>
      </c>
      <c r="O8" s="78" t="s">
        <v>115</v>
      </c>
      <c r="P8" s="78" t="s">
        <v>2247</v>
      </c>
      <c r="Q8" s="78" t="s">
        <v>2247</v>
      </c>
      <c r="T8" s="79"/>
    </row>
    <row r="9" spans="1:20" x14ac:dyDescent="0.25">
      <c r="A9" s="78" t="str">
        <f t="shared" ref="A9:A40" si="0">B9&amp;C9</f>
        <v xml:space="preserve">KrielSeriti </v>
      </c>
      <c r="B9" s="79" t="s">
        <v>447</v>
      </c>
      <c r="C9" s="79" t="s">
        <v>487</v>
      </c>
      <c r="D9" s="78" t="s">
        <v>460</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439</v>
      </c>
      <c r="C10" s="78">
        <v>4573</v>
      </c>
      <c r="D10" s="78" t="s">
        <v>460</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438</v>
      </c>
      <c r="C11" s="78">
        <v>2958731</v>
      </c>
      <c r="D11" s="78" t="s">
        <v>460</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437</v>
      </c>
      <c r="C12" s="78">
        <f>C11/C10</f>
        <v>647</v>
      </c>
      <c r="D12" s="78" t="s">
        <v>460</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436</v>
      </c>
      <c r="C13" s="78">
        <v>20.94</v>
      </c>
      <c r="D13" s="78" t="s">
        <v>460</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435</v>
      </c>
      <c r="C14" s="83">
        <f>C12/C13</f>
        <v>30.897803247373446</v>
      </c>
      <c r="D14" s="78" t="s">
        <v>460</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478</v>
      </c>
      <c r="C15" s="79" t="s">
        <v>459</v>
      </c>
      <c r="D15" s="78" t="s">
        <v>460</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439</v>
      </c>
      <c r="C16" s="78">
        <v>14790</v>
      </c>
      <c r="D16" s="78" t="s">
        <v>460</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438</v>
      </c>
      <c r="C17" s="78">
        <v>3283380</v>
      </c>
      <c r="D17" s="78" t="s">
        <v>460</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437</v>
      </c>
      <c r="C18" s="78">
        <f>C17/C16</f>
        <v>222</v>
      </c>
      <c r="D18" s="78" t="s">
        <v>460</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436</v>
      </c>
      <c r="C19" s="78">
        <v>15.4</v>
      </c>
      <c r="D19" s="78" t="s">
        <v>460</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435</v>
      </c>
      <c r="C20" s="83">
        <f>C18/C19</f>
        <v>14.415584415584416</v>
      </c>
      <c r="D20" s="78" t="s">
        <v>460</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455</v>
      </c>
      <c r="C21" s="79" t="s">
        <v>459</v>
      </c>
      <c r="D21" s="78" t="s">
        <v>460</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439</v>
      </c>
      <c r="C22" s="78">
        <v>3591</v>
      </c>
      <c r="D22" s="78" t="s">
        <v>460</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438</v>
      </c>
      <c r="C23" s="78">
        <v>2542428</v>
      </c>
      <c r="D23" s="78" t="s">
        <v>460</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437</v>
      </c>
      <c r="C24" s="78">
        <f>C23/C22</f>
        <v>708</v>
      </c>
      <c r="D24" s="78" t="s">
        <v>460</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436</v>
      </c>
      <c r="C25" s="78">
        <v>20.350000000000001</v>
      </c>
      <c r="D25" s="78" t="s">
        <v>460</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435</v>
      </c>
      <c r="C26" s="78">
        <f>C24/C25</f>
        <v>34.791154791154788</v>
      </c>
      <c r="D26" s="78" t="s">
        <v>460</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450</v>
      </c>
      <c r="C27" s="79" t="s">
        <v>464</v>
      </c>
      <c r="D27" s="78" t="s">
        <v>460</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439</v>
      </c>
      <c r="C28" s="78">
        <v>5887</v>
      </c>
      <c r="D28" s="78" t="s">
        <v>460</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438</v>
      </c>
      <c r="C29" s="78">
        <v>3726471</v>
      </c>
      <c r="D29" s="78" t="s">
        <v>460</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437</v>
      </c>
      <c r="C30" s="78">
        <f>C29/C28</f>
        <v>633</v>
      </c>
      <c r="D30" s="78" t="s">
        <v>460</v>
      </c>
      <c r="N30" s="78" t="s">
        <v>116</v>
      </c>
      <c r="O30" s="78">
        <v>2217</v>
      </c>
    </row>
    <row r="31" spans="1:20" x14ac:dyDescent="0.25">
      <c r="A31" s="78" t="str">
        <f t="shared" si="0"/>
        <v>CV as received19.81</v>
      </c>
      <c r="B31" s="78" t="s">
        <v>436</v>
      </c>
      <c r="C31" s="78">
        <v>19.809999999999999</v>
      </c>
      <c r="D31" s="78" t="s">
        <v>460</v>
      </c>
      <c r="N31" s="78" t="s">
        <v>524</v>
      </c>
      <c r="O31" s="78">
        <v>20</v>
      </c>
    </row>
    <row r="32" spans="1:20" x14ac:dyDescent="0.25">
      <c r="A32" s="78" t="str">
        <f t="shared" si="0"/>
        <v>Rand/GJ31.9535588086825</v>
      </c>
      <c r="B32" s="78" t="s">
        <v>435</v>
      </c>
      <c r="C32" s="78">
        <f>C30/C31</f>
        <v>31.953558808682487</v>
      </c>
      <c r="D32" s="78" t="s">
        <v>460</v>
      </c>
      <c r="N32" s="78" t="s">
        <v>523</v>
      </c>
      <c r="O32" s="83">
        <f>O30-O31</f>
        <v>2197</v>
      </c>
    </row>
    <row r="33" spans="1:23" x14ac:dyDescent="0.25">
      <c r="A33" s="78" t="str">
        <f t="shared" si="0"/>
        <v>Kendal South 32</v>
      </c>
      <c r="B33" s="78" t="s">
        <v>449</v>
      </c>
      <c r="C33" s="78" t="s">
        <v>496</v>
      </c>
      <c r="D33" s="78" t="s">
        <v>460</v>
      </c>
      <c r="I33" s="78" t="s">
        <v>522</v>
      </c>
      <c r="N33" s="78" t="s">
        <v>521</v>
      </c>
      <c r="O33" s="78">
        <f>O29/O32</f>
        <v>1.0233065407373692</v>
      </c>
      <c r="T33" s="83"/>
    </row>
    <row r="34" spans="1:23" x14ac:dyDescent="0.25">
      <c r="A34" s="78" t="str">
        <f t="shared" si="0"/>
        <v>Ktons10290</v>
      </c>
      <c r="B34" s="78" t="s">
        <v>439</v>
      </c>
      <c r="C34" s="78">
        <v>10290</v>
      </c>
      <c r="D34" s="78" t="s">
        <v>460</v>
      </c>
    </row>
    <row r="35" spans="1:23" x14ac:dyDescent="0.25">
      <c r="A35" s="78" t="str">
        <f t="shared" si="0"/>
        <v>Rand '0004712820</v>
      </c>
      <c r="B35" s="78" t="s">
        <v>438</v>
      </c>
      <c r="C35" s="78">
        <v>4712820</v>
      </c>
      <c r="D35" s="78" t="s">
        <v>460</v>
      </c>
      <c r="F35" s="78" t="s">
        <v>520</v>
      </c>
      <c r="G35" s="78" t="s">
        <v>519</v>
      </c>
      <c r="H35" s="78" t="s">
        <v>518</v>
      </c>
      <c r="I35" s="78" t="s">
        <v>517</v>
      </c>
      <c r="J35" s="78" t="s">
        <v>516</v>
      </c>
      <c r="K35" s="78" t="s">
        <v>515</v>
      </c>
      <c r="L35" s="78" t="s">
        <v>439</v>
      </c>
      <c r="M35" s="78" t="s">
        <v>126</v>
      </c>
      <c r="N35" s="78" t="s">
        <v>514</v>
      </c>
      <c r="O35" s="78" t="s">
        <v>125</v>
      </c>
      <c r="P35" s="78" t="s">
        <v>115</v>
      </c>
      <c r="Q35" s="78" t="s">
        <v>513</v>
      </c>
      <c r="R35" s="78" t="s">
        <v>512</v>
      </c>
      <c r="S35" s="78" t="s">
        <v>511</v>
      </c>
      <c r="T35" s="78" t="s">
        <v>145</v>
      </c>
      <c r="U35" s="83"/>
    </row>
    <row r="36" spans="1:23" x14ac:dyDescent="0.25">
      <c r="A36" s="78" t="str">
        <f t="shared" si="0"/>
        <v>rands/ton458</v>
      </c>
      <c r="B36" s="78" t="s">
        <v>437</v>
      </c>
      <c r="C36" s="78">
        <f>C35/C34</f>
        <v>458</v>
      </c>
      <c r="D36" s="78" t="s">
        <v>460</v>
      </c>
      <c r="F36" s="78" t="s">
        <v>510</v>
      </c>
      <c r="G36" s="78">
        <v>49</v>
      </c>
      <c r="H36" s="78" t="s">
        <v>434</v>
      </c>
      <c r="I36" s="78" t="s">
        <v>440</v>
      </c>
      <c r="J36" s="78" t="s">
        <v>453</v>
      </c>
      <c r="K36" s="78" t="s">
        <v>509</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436</v>
      </c>
      <c r="C37" s="78">
        <v>18.48</v>
      </c>
      <c r="D37" s="78" t="s">
        <v>460</v>
      </c>
      <c r="F37" s="78" t="s">
        <v>508</v>
      </c>
      <c r="G37" s="78">
        <v>73</v>
      </c>
      <c r="H37" s="78" t="s">
        <v>434</v>
      </c>
      <c r="I37" s="78" t="s">
        <v>440</v>
      </c>
      <c r="J37" s="78" t="s">
        <v>507</v>
      </c>
      <c r="K37" s="78" t="s">
        <v>506</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435</v>
      </c>
      <c r="C38" s="78">
        <f>C36/C37</f>
        <v>24.783549783549784</v>
      </c>
      <c r="D38" s="78" t="s">
        <v>460</v>
      </c>
      <c r="F38" s="78" t="s">
        <v>505</v>
      </c>
      <c r="G38" s="78">
        <v>31</v>
      </c>
      <c r="H38" s="78" t="s">
        <v>457</v>
      </c>
      <c r="I38" s="406" t="s">
        <v>459</v>
      </c>
      <c r="J38" s="78" t="s">
        <v>503</v>
      </c>
      <c r="K38" s="406" t="s">
        <v>2136</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2135</v>
      </c>
    </row>
    <row r="39" spans="1:23" x14ac:dyDescent="0.25">
      <c r="A39" s="78" t="str">
        <f t="shared" si="0"/>
        <v>DuvhaSouth 32</v>
      </c>
      <c r="B39" s="79" t="s">
        <v>503</v>
      </c>
      <c r="C39" s="79" t="s">
        <v>496</v>
      </c>
      <c r="D39" s="78" t="s">
        <v>457</v>
      </c>
      <c r="F39" s="78" t="s">
        <v>504</v>
      </c>
      <c r="G39" s="78">
        <v>91</v>
      </c>
      <c r="H39" s="78" t="s">
        <v>434</v>
      </c>
      <c r="I39" s="78" t="s">
        <v>440</v>
      </c>
      <c r="J39" s="78" t="s">
        <v>503</v>
      </c>
      <c r="K39" s="78" t="s">
        <v>502</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439</v>
      </c>
      <c r="C40" s="78">
        <v>5895</v>
      </c>
      <c r="D40" s="78" t="s">
        <v>457</v>
      </c>
      <c r="F40" s="78" t="s">
        <v>501</v>
      </c>
      <c r="G40" s="78">
        <v>109</v>
      </c>
      <c r="H40" s="78" t="s">
        <v>434</v>
      </c>
      <c r="I40" s="78" t="str">
        <f>INDEX($C$9:$C$128,$G40)</f>
        <v>various</v>
      </c>
      <c r="J40" s="78" t="str">
        <f>INDEX($B$9:$B$128,$G40)</f>
        <v>Grootvlei</v>
      </c>
      <c r="K40" s="78" t="s">
        <v>500</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438</v>
      </c>
      <c r="C41" s="78">
        <v>1229749</v>
      </c>
      <c r="D41" s="78" t="s">
        <v>457</v>
      </c>
      <c r="F41" s="78" t="s">
        <v>499</v>
      </c>
      <c r="G41" s="78">
        <v>85</v>
      </c>
      <c r="H41" s="78" t="s">
        <v>434</v>
      </c>
      <c r="I41" s="78" t="s">
        <v>440</v>
      </c>
      <c r="J41" s="78" t="s">
        <v>446</v>
      </c>
      <c r="K41" s="78" t="s">
        <v>498</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437</v>
      </c>
      <c r="C42" s="83">
        <f>C41/C40</f>
        <v>208.60882103477525</v>
      </c>
      <c r="D42" s="78" t="s">
        <v>457</v>
      </c>
      <c r="F42" s="78" t="s">
        <v>497</v>
      </c>
      <c r="G42" s="78">
        <v>25</v>
      </c>
      <c r="H42" s="78" t="s">
        <v>460</v>
      </c>
      <c r="I42" s="78" t="s">
        <v>496</v>
      </c>
      <c r="J42" s="78" t="s">
        <v>492</v>
      </c>
      <c r="K42" s="78" t="s">
        <v>495</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494</v>
      </c>
    </row>
    <row r="43" spans="1:23" x14ac:dyDescent="0.25">
      <c r="A43" s="78" t="str">
        <f t="shared" si="11"/>
        <v>CV as received20.78</v>
      </c>
      <c r="B43" s="78" t="s">
        <v>436</v>
      </c>
      <c r="C43" s="78">
        <v>20.78</v>
      </c>
      <c r="D43" s="78" t="s">
        <v>457</v>
      </c>
      <c r="F43" s="78" t="s">
        <v>493</v>
      </c>
      <c r="G43" s="78">
        <v>67</v>
      </c>
      <c r="H43" s="78" t="s">
        <v>434</v>
      </c>
      <c r="I43" s="78" t="s">
        <v>440</v>
      </c>
      <c r="J43" s="78" t="s">
        <v>492</v>
      </c>
      <c r="K43" s="78" t="s">
        <v>491</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435</v>
      </c>
      <c r="C44" s="83">
        <f>C42/C43</f>
        <v>10.038923052684083</v>
      </c>
      <c r="D44" s="78" t="s">
        <v>457</v>
      </c>
      <c r="F44" s="78" t="s">
        <v>490</v>
      </c>
      <c r="G44" s="78">
        <v>103</v>
      </c>
      <c r="H44" s="78" t="s">
        <v>434</v>
      </c>
      <c r="I44" s="78" t="s">
        <v>440</v>
      </c>
      <c r="J44" s="78" t="s">
        <v>443</v>
      </c>
      <c r="K44" s="78" t="s">
        <v>489</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471</v>
      </c>
      <c r="C45" s="79" t="s">
        <v>472</v>
      </c>
      <c r="D45" s="78" t="s">
        <v>457</v>
      </c>
      <c r="F45" s="78" t="s">
        <v>488</v>
      </c>
      <c r="G45" s="78">
        <v>1</v>
      </c>
      <c r="H45" s="78" t="s">
        <v>460</v>
      </c>
      <c r="I45" s="78" t="s">
        <v>487</v>
      </c>
      <c r="J45" s="78" t="s">
        <v>447</v>
      </c>
      <c r="K45" s="78" t="s">
        <v>486</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439</v>
      </c>
      <c r="C46" s="78">
        <v>14425</v>
      </c>
      <c r="D46" s="78" t="s">
        <v>457</v>
      </c>
      <c r="F46" s="78" t="s">
        <v>485</v>
      </c>
      <c r="G46" s="78">
        <v>79</v>
      </c>
      <c r="H46" s="78" t="s">
        <v>434</v>
      </c>
      <c r="I46" s="78" t="s">
        <v>440</v>
      </c>
      <c r="J46" s="78" t="s">
        <v>447</v>
      </c>
      <c r="K46" s="78" t="s">
        <v>484</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438</v>
      </c>
      <c r="C47" s="78">
        <v>4709451</v>
      </c>
      <c r="D47" s="78" t="s">
        <v>457</v>
      </c>
      <c r="I47" s="78" t="s">
        <v>483</v>
      </c>
      <c r="J47" s="78" t="s">
        <v>441</v>
      </c>
      <c r="K47" s="78" t="s">
        <v>222</v>
      </c>
      <c r="N47" s="78">
        <v>19.5</v>
      </c>
      <c r="P47" s="84">
        <v>156</v>
      </c>
      <c r="R47" s="84">
        <v>16.05</v>
      </c>
      <c r="T47" s="78" t="s">
        <v>482</v>
      </c>
      <c r="V47" s="78">
        <f>-PMT(10%,30,20)/11*1000</f>
        <v>192.87136045933443</v>
      </c>
      <c r="W47" s="78">
        <f>V47/N47</f>
        <v>9.8908389979145852</v>
      </c>
    </row>
    <row r="48" spans="1:23" x14ac:dyDescent="0.25">
      <c r="A48" s="78" t="str">
        <f t="shared" si="11"/>
        <v>rands/ton326.478405545927</v>
      </c>
      <c r="B48" s="78" t="s">
        <v>437</v>
      </c>
      <c r="C48" s="83">
        <f>C47/C46</f>
        <v>326.47840554592722</v>
      </c>
      <c r="D48" s="78" t="s">
        <v>457</v>
      </c>
      <c r="F48" s="78" t="s">
        <v>481</v>
      </c>
      <c r="G48" s="78">
        <v>115</v>
      </c>
      <c r="H48" s="78" t="s">
        <v>434</v>
      </c>
      <c r="I48" s="78" t="s">
        <v>440</v>
      </c>
      <c r="J48" s="78" t="s">
        <v>441</v>
      </c>
      <c r="K48" s="78" t="s">
        <v>480</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436</v>
      </c>
      <c r="C49" s="78">
        <v>18.690000000000001</v>
      </c>
      <c r="D49" s="78" t="s">
        <v>457</v>
      </c>
      <c r="F49" s="78" t="s">
        <v>479</v>
      </c>
      <c r="G49" s="78">
        <v>7</v>
      </c>
      <c r="H49" s="78" t="s">
        <v>460</v>
      </c>
      <c r="I49" s="78" t="s">
        <v>459</v>
      </c>
      <c r="J49" s="78" t="s">
        <v>478</v>
      </c>
      <c r="K49" s="78" t="s">
        <v>477</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435</v>
      </c>
      <c r="C50" s="78">
        <f>C48/C49</f>
        <v>17.4680794834632</v>
      </c>
      <c r="D50" s="78" t="s">
        <v>457</v>
      </c>
      <c r="F50" s="78" t="s">
        <v>476</v>
      </c>
      <c r="G50" s="78">
        <v>97</v>
      </c>
      <c r="H50" s="78" t="s">
        <v>434</v>
      </c>
      <c r="I50" s="78" t="s">
        <v>440</v>
      </c>
      <c r="J50" s="78" t="s">
        <v>444</v>
      </c>
      <c r="K50" s="78" t="s">
        <v>475</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474</v>
      </c>
    </row>
    <row r="51" spans="1:20" x14ac:dyDescent="0.25">
      <c r="A51" s="78" t="str">
        <f t="shared" si="11"/>
        <v>MedupiExxaro</v>
      </c>
      <c r="B51" s="79" t="s">
        <v>463</v>
      </c>
      <c r="C51" s="79" t="s">
        <v>464</v>
      </c>
      <c r="D51" s="78" t="s">
        <v>457</v>
      </c>
      <c r="F51" s="78" t="s">
        <v>473</v>
      </c>
      <c r="G51" s="78">
        <v>37</v>
      </c>
      <c r="H51" s="78" t="s">
        <v>457</v>
      </c>
      <c r="I51" s="78" t="s">
        <v>472</v>
      </c>
      <c r="J51" s="78" t="s">
        <v>471</v>
      </c>
      <c r="K51" s="78" t="s">
        <v>470</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439</v>
      </c>
      <c r="C52" s="78">
        <v>9539</v>
      </c>
      <c r="D52" s="78" t="s">
        <v>457</v>
      </c>
      <c r="F52" s="78" t="s">
        <v>469</v>
      </c>
      <c r="G52" s="78">
        <v>19</v>
      </c>
      <c r="H52" s="78" t="s">
        <v>460</v>
      </c>
      <c r="I52" s="78" t="s">
        <v>464</v>
      </c>
      <c r="J52" s="78" t="s">
        <v>450</v>
      </c>
      <c r="K52" s="78" t="s">
        <v>468</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438</v>
      </c>
      <c r="C53" s="78">
        <v>3812228</v>
      </c>
      <c r="D53" s="78" t="s">
        <v>457</v>
      </c>
      <c r="F53" s="78" t="s">
        <v>467</v>
      </c>
      <c r="G53" s="78">
        <v>61</v>
      </c>
      <c r="H53" s="78" t="s">
        <v>434</v>
      </c>
      <c r="I53" s="78" t="s">
        <v>440</v>
      </c>
      <c r="J53" s="78" t="s">
        <v>450</v>
      </c>
      <c r="K53" s="78" t="s">
        <v>466</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437</v>
      </c>
      <c r="C54" s="78">
        <f>C53/C52</f>
        <v>399.64650382639689</v>
      </c>
      <c r="D54" s="78" t="s">
        <v>457</v>
      </c>
      <c r="F54" s="78" t="s">
        <v>465</v>
      </c>
      <c r="G54" s="78">
        <v>43</v>
      </c>
      <c r="H54" s="78" t="s">
        <v>457</v>
      </c>
      <c r="I54" s="78" t="s">
        <v>464</v>
      </c>
      <c r="J54" s="78" t="s">
        <v>463</v>
      </c>
      <c r="K54" s="78" t="s">
        <v>462</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436</v>
      </c>
      <c r="C55" s="78">
        <v>18.690000000000001</v>
      </c>
      <c r="D55" s="78" t="s">
        <v>457</v>
      </c>
      <c r="F55" s="78" t="s">
        <v>461</v>
      </c>
      <c r="G55" s="78">
        <v>13</v>
      </c>
      <c r="H55" s="78" t="s">
        <v>460</v>
      </c>
      <c r="I55" s="78" t="s">
        <v>459</v>
      </c>
      <c r="J55" s="78" t="s">
        <v>455</v>
      </c>
      <c r="K55" s="78" t="s">
        <v>458</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435</v>
      </c>
      <c r="C56" s="78">
        <f>C54/C55</f>
        <v>21.382905501679875</v>
      </c>
      <c r="D56" s="78" t="s">
        <v>457</v>
      </c>
      <c r="F56" s="78" t="s">
        <v>456</v>
      </c>
      <c r="G56" s="78">
        <v>55</v>
      </c>
      <c r="H56" s="78" t="s">
        <v>434</v>
      </c>
      <c r="I56" s="78" t="s">
        <v>440</v>
      </c>
      <c r="J56" s="78" t="s">
        <v>455</v>
      </c>
      <c r="K56" s="78" t="s">
        <v>454</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453</v>
      </c>
      <c r="C57" s="79" t="s">
        <v>440</v>
      </c>
      <c r="D57" s="78" t="s">
        <v>434</v>
      </c>
      <c r="L57" s="78" t="s">
        <v>1950</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439</v>
      </c>
      <c r="C58" s="78">
        <v>5858</v>
      </c>
      <c r="D58" s="78" t="s">
        <v>434</v>
      </c>
      <c r="L58" s="78" t="s">
        <v>1951</v>
      </c>
      <c r="M58" s="78">
        <f>M57*0.918</f>
        <v>407.22704139352174</v>
      </c>
      <c r="O58" s="78">
        <f>O57*0.918</f>
        <v>21.21975850082335</v>
      </c>
    </row>
    <row r="59" spans="1:20" x14ac:dyDescent="0.25">
      <c r="A59" s="78" t="str">
        <f t="shared" si="11"/>
        <v>Rand '0003113714</v>
      </c>
      <c r="B59" s="78" t="s">
        <v>438</v>
      </c>
      <c r="C59" s="78">
        <v>3113714</v>
      </c>
      <c r="D59" s="78" t="s">
        <v>434</v>
      </c>
      <c r="L59" s="78" t="s">
        <v>1952</v>
      </c>
      <c r="M59" s="78">
        <f>M57*0.82</f>
        <v>363.75400211621763</v>
      </c>
      <c r="O59" s="78">
        <f>O57*0.82</f>
        <v>18.954468377641771</v>
      </c>
    </row>
    <row r="60" spans="1:20" x14ac:dyDescent="0.25">
      <c r="A60" s="78" t="str">
        <f t="shared" si="11"/>
        <v>rands/ton531.531922157733</v>
      </c>
      <c r="B60" s="78" t="s">
        <v>437</v>
      </c>
      <c r="C60" s="78">
        <f>C59/C58</f>
        <v>531.53192215773299</v>
      </c>
      <c r="D60" s="78" t="s">
        <v>434</v>
      </c>
      <c r="Q60" s="78" t="s">
        <v>452</v>
      </c>
    </row>
    <row r="61" spans="1:20" x14ac:dyDescent="0.25">
      <c r="A61" s="78" t="str">
        <f t="shared" si="11"/>
        <v>CV as received20.52</v>
      </c>
      <c r="B61" s="78" t="s">
        <v>436</v>
      </c>
      <c r="C61" s="78">
        <v>20.52</v>
      </c>
      <c r="D61" s="78" t="s">
        <v>434</v>
      </c>
      <c r="Q61" s="82">
        <v>0.4</v>
      </c>
    </row>
    <row r="62" spans="1:20" x14ac:dyDescent="0.25">
      <c r="A62" s="78" t="str">
        <f t="shared" si="11"/>
        <v>Rand/GJ25.9031151148993</v>
      </c>
      <c r="B62" s="78" t="s">
        <v>435</v>
      </c>
      <c r="C62" s="78">
        <f>C60/C61</f>
        <v>25.903115114899268</v>
      </c>
      <c r="D62" s="78" t="s">
        <v>434</v>
      </c>
    </row>
    <row r="63" spans="1:20" x14ac:dyDescent="0.25">
      <c r="A63" s="78" t="str">
        <f t="shared" si="11"/>
        <v>Tutuka various</v>
      </c>
      <c r="B63" s="79" t="s">
        <v>451</v>
      </c>
      <c r="C63" s="79" t="s">
        <v>440</v>
      </c>
      <c r="D63" s="78" t="s">
        <v>434</v>
      </c>
    </row>
    <row r="64" spans="1:20" x14ac:dyDescent="0.25">
      <c r="A64" s="78" t="str">
        <f t="shared" si="11"/>
        <v>Ktons5417</v>
      </c>
      <c r="B64" s="78" t="s">
        <v>439</v>
      </c>
      <c r="C64" s="78">
        <v>5417</v>
      </c>
      <c r="D64" s="78" t="s">
        <v>434</v>
      </c>
    </row>
    <row r="65" spans="1:4" x14ac:dyDescent="0.25">
      <c r="A65" s="78" t="str">
        <f t="shared" si="11"/>
        <v>Rand '0003377630</v>
      </c>
      <c r="B65" s="78" t="s">
        <v>438</v>
      </c>
      <c r="C65" s="78">
        <v>3377630</v>
      </c>
      <c r="D65" s="78" t="s">
        <v>434</v>
      </c>
    </row>
    <row r="66" spans="1:4" x14ac:dyDescent="0.25">
      <c r="A66" s="78" t="str">
        <f t="shared" si="11"/>
        <v>rands/ton623.52409082518</v>
      </c>
      <c r="B66" s="78" t="s">
        <v>437</v>
      </c>
      <c r="C66" s="78">
        <f>C65/C64</f>
        <v>623.52409082518</v>
      </c>
      <c r="D66" s="78" t="s">
        <v>434</v>
      </c>
    </row>
    <row r="67" spans="1:4" x14ac:dyDescent="0.25">
      <c r="A67" s="78" t="str">
        <f t="shared" si="11"/>
        <v>CV as received20.35</v>
      </c>
      <c r="B67" s="78" t="s">
        <v>436</v>
      </c>
      <c r="C67" s="78">
        <v>20.350000000000001</v>
      </c>
      <c r="D67" s="78" t="s">
        <v>434</v>
      </c>
    </row>
    <row r="68" spans="1:4" x14ac:dyDescent="0.25">
      <c r="A68" s="78" t="str">
        <f t="shared" si="11"/>
        <v>Rand/GJ30.6400044631538</v>
      </c>
      <c r="B68" s="78" t="s">
        <v>435</v>
      </c>
      <c r="C68" s="78">
        <f>C66/C67</f>
        <v>30.640004463153804</v>
      </c>
      <c r="D68" s="78" t="s">
        <v>434</v>
      </c>
    </row>
    <row r="69" spans="1:4" x14ac:dyDescent="0.25">
      <c r="A69" s="78" t="str">
        <f t="shared" si="11"/>
        <v>Matlavarious</v>
      </c>
      <c r="B69" s="79" t="s">
        <v>450</v>
      </c>
      <c r="C69" s="79" t="s">
        <v>440</v>
      </c>
      <c r="D69" s="78" t="s">
        <v>434</v>
      </c>
    </row>
    <row r="70" spans="1:4" x14ac:dyDescent="0.25">
      <c r="A70" s="78" t="str">
        <f t="shared" si="11"/>
        <v>Ktons3538</v>
      </c>
      <c r="B70" s="78" t="s">
        <v>439</v>
      </c>
      <c r="C70" s="78">
        <v>3538</v>
      </c>
      <c r="D70" s="78" t="s">
        <v>434</v>
      </c>
    </row>
    <row r="71" spans="1:4" x14ac:dyDescent="0.25">
      <c r="A71" s="78" t="str">
        <f t="shared" si="11"/>
        <v>Rand '0001916967</v>
      </c>
      <c r="B71" s="78" t="s">
        <v>438</v>
      </c>
      <c r="C71" s="78">
        <v>1916967</v>
      </c>
      <c r="D71" s="78" t="s">
        <v>434</v>
      </c>
    </row>
    <row r="72" spans="1:4" x14ac:dyDescent="0.25">
      <c r="A72" s="78" t="str">
        <f t="shared" si="11"/>
        <v>rands/ton541.82221594121</v>
      </c>
      <c r="B72" s="78" t="s">
        <v>437</v>
      </c>
      <c r="C72" s="78">
        <f>C71/C70</f>
        <v>541.82221594120972</v>
      </c>
      <c r="D72" s="78" t="s">
        <v>434</v>
      </c>
    </row>
    <row r="73" spans="1:4" x14ac:dyDescent="0.25">
      <c r="A73" s="78" t="str">
        <f t="shared" ref="A73:A104" si="15">B73&amp;C73</f>
        <v>CV as received19.81</v>
      </c>
      <c r="B73" s="78" t="s">
        <v>436</v>
      </c>
      <c r="C73" s="78">
        <v>19.809999999999999</v>
      </c>
      <c r="D73" s="78" t="s">
        <v>434</v>
      </c>
    </row>
    <row r="74" spans="1:4" x14ac:dyDescent="0.25">
      <c r="A74" s="78" t="str">
        <f t="shared" si="15"/>
        <v>Rand/GJ27.3509447723983</v>
      </c>
      <c r="B74" s="78" t="s">
        <v>435</v>
      </c>
      <c r="C74" s="78">
        <f>C72/C73</f>
        <v>27.350944772398272</v>
      </c>
      <c r="D74" s="78" t="s">
        <v>434</v>
      </c>
    </row>
    <row r="75" spans="1:4" x14ac:dyDescent="0.25">
      <c r="A75" s="78" t="str">
        <f t="shared" si="15"/>
        <v>Kendal various</v>
      </c>
      <c r="B75" s="79" t="s">
        <v>449</v>
      </c>
      <c r="C75" s="79" t="s">
        <v>440</v>
      </c>
      <c r="D75" s="78" t="s">
        <v>434</v>
      </c>
    </row>
    <row r="76" spans="1:4" x14ac:dyDescent="0.25">
      <c r="A76" s="78" t="str">
        <f t="shared" si="15"/>
        <v>Ktons3993</v>
      </c>
      <c r="B76" s="78" t="s">
        <v>439</v>
      </c>
      <c r="C76" s="78">
        <v>3993</v>
      </c>
      <c r="D76" s="78" t="s">
        <v>434</v>
      </c>
    </row>
    <row r="77" spans="1:4" x14ac:dyDescent="0.25">
      <c r="A77" s="78" t="str">
        <f t="shared" si="15"/>
        <v>Rand '0001711509</v>
      </c>
      <c r="B77" s="78" t="s">
        <v>438</v>
      </c>
      <c r="C77" s="78">
        <v>1711509</v>
      </c>
      <c r="D77" s="78" t="s">
        <v>434</v>
      </c>
    </row>
    <row r="78" spans="1:4" x14ac:dyDescent="0.25">
      <c r="A78" s="78" t="str">
        <f t="shared" si="15"/>
        <v>rands/ton428.627347858753</v>
      </c>
      <c r="B78" s="78" t="s">
        <v>437</v>
      </c>
      <c r="C78" s="78">
        <f>C77/C76</f>
        <v>428.62734785875284</v>
      </c>
      <c r="D78" s="78" t="s">
        <v>434</v>
      </c>
    </row>
    <row r="79" spans="1:4" x14ac:dyDescent="0.25">
      <c r="A79" s="78" t="str">
        <f t="shared" si="15"/>
        <v>CV as received18.48</v>
      </c>
      <c r="B79" s="78" t="s">
        <v>436</v>
      </c>
      <c r="C79" s="78">
        <v>18.48</v>
      </c>
      <c r="D79" s="78" t="s">
        <v>434</v>
      </c>
    </row>
    <row r="80" spans="1:4" x14ac:dyDescent="0.25">
      <c r="A80" s="78" t="str">
        <f t="shared" si="15"/>
        <v>Rand/GJ23.1941205551273</v>
      </c>
      <c r="B80" s="78" t="s">
        <v>435</v>
      </c>
      <c r="C80" s="78">
        <f>C78/C79</f>
        <v>23.194120555127316</v>
      </c>
      <c r="D80" s="78" t="s">
        <v>434</v>
      </c>
    </row>
    <row r="81" spans="1:4" x14ac:dyDescent="0.25">
      <c r="A81" s="78" t="str">
        <f t="shared" si="15"/>
        <v>Camden various</v>
      </c>
      <c r="B81" s="79" t="s">
        <v>448</v>
      </c>
      <c r="C81" s="78" t="s">
        <v>440</v>
      </c>
      <c r="D81" s="78" t="s">
        <v>434</v>
      </c>
    </row>
    <row r="82" spans="1:4" x14ac:dyDescent="0.25">
      <c r="A82" s="78" t="str">
        <f t="shared" si="15"/>
        <v>Ktons4508</v>
      </c>
      <c r="B82" s="80" t="s">
        <v>439</v>
      </c>
      <c r="C82" s="78">
        <v>4508</v>
      </c>
      <c r="D82" s="78" t="s">
        <v>434</v>
      </c>
    </row>
    <row r="83" spans="1:4" x14ac:dyDescent="0.25">
      <c r="A83" s="78" t="str">
        <f t="shared" si="15"/>
        <v>Rand '0002713371</v>
      </c>
      <c r="B83" s="80" t="s">
        <v>438</v>
      </c>
      <c r="C83" s="78">
        <v>2713371</v>
      </c>
      <c r="D83" s="78" t="s">
        <v>434</v>
      </c>
    </row>
    <row r="84" spans="1:4" x14ac:dyDescent="0.25">
      <c r="A84" s="78" t="str">
        <f t="shared" si="15"/>
        <v>rands/ton601.901286601597</v>
      </c>
      <c r="B84" s="80" t="s">
        <v>437</v>
      </c>
      <c r="C84" s="78">
        <f>C83/C82</f>
        <v>601.90128660159712</v>
      </c>
      <c r="D84" s="78" t="s">
        <v>434</v>
      </c>
    </row>
    <row r="85" spans="1:4" x14ac:dyDescent="0.25">
      <c r="A85" s="78" t="str">
        <f t="shared" si="15"/>
        <v>CV as received18.65</v>
      </c>
      <c r="B85" s="80" t="s">
        <v>436</v>
      </c>
      <c r="C85" s="78">
        <v>18.649999999999999</v>
      </c>
      <c r="D85" s="78" t="s">
        <v>434</v>
      </c>
    </row>
    <row r="86" spans="1:4" x14ac:dyDescent="0.25">
      <c r="A86" s="78" t="str">
        <f t="shared" si="15"/>
        <v>Rand/GJ32.273527431721</v>
      </c>
      <c r="B86" s="80" t="s">
        <v>435</v>
      </c>
      <c r="C86" s="78">
        <f>C84/C85</f>
        <v>32.273527431721028</v>
      </c>
      <c r="D86" s="78" t="s">
        <v>434</v>
      </c>
    </row>
    <row r="87" spans="1:4" x14ac:dyDescent="0.25">
      <c r="A87" s="78" t="str">
        <f t="shared" si="15"/>
        <v>Krielvarious</v>
      </c>
      <c r="B87" s="79" t="s">
        <v>447</v>
      </c>
      <c r="C87" s="79" t="s">
        <v>440</v>
      </c>
      <c r="D87" s="78" t="s">
        <v>434</v>
      </c>
    </row>
    <row r="88" spans="1:4" x14ac:dyDescent="0.25">
      <c r="A88" s="78" t="str">
        <f t="shared" si="15"/>
        <v>Ktons2559</v>
      </c>
      <c r="B88" s="78" t="s">
        <v>439</v>
      </c>
      <c r="C88" s="78">
        <v>2559</v>
      </c>
      <c r="D88" s="78" t="s">
        <v>434</v>
      </c>
    </row>
    <row r="89" spans="1:4" x14ac:dyDescent="0.25">
      <c r="A89" s="78" t="str">
        <f t="shared" si="15"/>
        <v>Rand '0001308824</v>
      </c>
      <c r="B89" s="78" t="s">
        <v>438</v>
      </c>
      <c r="C89" s="78">
        <v>1308824</v>
      </c>
      <c r="D89" s="78" t="s">
        <v>434</v>
      </c>
    </row>
    <row r="90" spans="1:4" x14ac:dyDescent="0.25">
      <c r="A90" s="78" t="str">
        <f t="shared" si="15"/>
        <v>rands/ton511.459163735834</v>
      </c>
      <c r="B90" s="78" t="s">
        <v>437</v>
      </c>
      <c r="C90" s="78">
        <f>C89/C88</f>
        <v>511.4591637358343</v>
      </c>
      <c r="D90" s="78" t="s">
        <v>434</v>
      </c>
    </row>
    <row r="91" spans="1:4" x14ac:dyDescent="0.25">
      <c r="A91" s="78" t="str">
        <f t="shared" si="15"/>
        <v>CV as received20.94</v>
      </c>
      <c r="B91" s="78" t="s">
        <v>436</v>
      </c>
      <c r="C91" s="78">
        <v>20.94</v>
      </c>
      <c r="D91" s="78" t="s">
        <v>434</v>
      </c>
    </row>
    <row r="92" spans="1:4" x14ac:dyDescent="0.25">
      <c r="A92" s="78" t="str">
        <f t="shared" si="15"/>
        <v>Rand/GJ24.4249839415394</v>
      </c>
      <c r="B92" s="78" t="s">
        <v>435</v>
      </c>
      <c r="C92" s="78">
        <f>C90/C91</f>
        <v>24.424983941539363</v>
      </c>
      <c r="D92" s="78" t="s">
        <v>434</v>
      </c>
    </row>
    <row r="93" spans="1:4" x14ac:dyDescent="0.25">
      <c r="A93" s="78" t="str">
        <f t="shared" si="15"/>
        <v>Hendrinavarious</v>
      </c>
      <c r="B93" s="79" t="s">
        <v>446</v>
      </c>
      <c r="C93" s="79" t="s">
        <v>440</v>
      </c>
      <c r="D93" s="78" t="s">
        <v>434</v>
      </c>
    </row>
    <row r="94" spans="1:4" x14ac:dyDescent="0.25">
      <c r="A94" s="78" t="str">
        <f t="shared" si="15"/>
        <v>Ktons4843</v>
      </c>
      <c r="B94" s="78" t="s">
        <v>439</v>
      </c>
      <c r="C94" s="78">
        <v>4843</v>
      </c>
      <c r="D94" s="78" t="s">
        <v>434</v>
      </c>
    </row>
    <row r="95" spans="1:4" x14ac:dyDescent="0.25">
      <c r="A95" s="78" t="str">
        <f t="shared" si="15"/>
        <v>Rand '0002867288</v>
      </c>
      <c r="B95" s="78" t="s">
        <v>438</v>
      </c>
      <c r="C95" s="78">
        <v>2867288</v>
      </c>
      <c r="D95" s="78" t="s">
        <v>434</v>
      </c>
    </row>
    <row r="96" spans="1:4" x14ac:dyDescent="0.25">
      <c r="A96" s="78" t="str">
        <f t="shared" si="15"/>
        <v>rands/ton592.047904191617</v>
      </c>
      <c r="B96" s="78" t="s">
        <v>437</v>
      </c>
      <c r="C96" s="78">
        <f>C95/C94</f>
        <v>592.04790419161679</v>
      </c>
      <c r="D96" s="78" t="s">
        <v>434</v>
      </c>
    </row>
    <row r="97" spans="1:4" x14ac:dyDescent="0.25">
      <c r="A97" s="78" t="str">
        <f t="shared" si="15"/>
        <v>CV as received20.64</v>
      </c>
      <c r="B97" s="78" t="s">
        <v>436</v>
      </c>
      <c r="C97" s="78">
        <v>20.64</v>
      </c>
      <c r="D97" s="78" t="s">
        <v>434</v>
      </c>
    </row>
    <row r="98" spans="1:4" x14ac:dyDescent="0.25">
      <c r="A98" s="78" t="str">
        <f t="shared" si="15"/>
        <v>Rand/GJ28.684491482152</v>
      </c>
      <c r="B98" s="78" t="s">
        <v>435</v>
      </c>
      <c r="C98" s="78">
        <f>C96/C97</f>
        <v>28.684491482151977</v>
      </c>
      <c r="D98" s="78" t="s">
        <v>434</v>
      </c>
    </row>
    <row r="99" spans="1:4" x14ac:dyDescent="0.25">
      <c r="A99" s="78" t="str">
        <f t="shared" si="15"/>
        <v>duvhavarious</v>
      </c>
      <c r="B99" s="79" t="s">
        <v>445</v>
      </c>
      <c r="C99" s="79" t="s">
        <v>440</v>
      </c>
      <c r="D99" s="78" t="s">
        <v>434</v>
      </c>
    </row>
    <row r="100" spans="1:4" x14ac:dyDescent="0.25">
      <c r="A100" s="78" t="str">
        <f t="shared" si="15"/>
        <v>Ktons104</v>
      </c>
      <c r="B100" s="80" t="s">
        <v>439</v>
      </c>
      <c r="C100" s="78">
        <v>104</v>
      </c>
      <c r="D100" s="78" t="s">
        <v>434</v>
      </c>
    </row>
    <row r="101" spans="1:4" x14ac:dyDescent="0.25">
      <c r="A101" s="78" t="str">
        <f t="shared" si="15"/>
        <v>Rand '00038987</v>
      </c>
      <c r="B101" s="80" t="s">
        <v>438</v>
      </c>
      <c r="C101" s="78">
        <v>38987</v>
      </c>
      <c r="D101" s="78" t="s">
        <v>434</v>
      </c>
    </row>
    <row r="102" spans="1:4" x14ac:dyDescent="0.25">
      <c r="A102" s="78" t="str">
        <f t="shared" si="15"/>
        <v>rands/ton374.875</v>
      </c>
      <c r="B102" s="80" t="s">
        <v>437</v>
      </c>
      <c r="C102" s="78">
        <f>C101/C100</f>
        <v>374.875</v>
      </c>
      <c r="D102" s="78" t="s">
        <v>434</v>
      </c>
    </row>
    <row r="103" spans="1:4" x14ac:dyDescent="0.25">
      <c r="A103" s="78" t="str">
        <f t="shared" si="15"/>
        <v>CV as received20.78</v>
      </c>
      <c r="B103" s="80" t="s">
        <v>436</v>
      </c>
      <c r="C103" s="78">
        <v>20.78</v>
      </c>
      <c r="D103" s="78" t="s">
        <v>434</v>
      </c>
    </row>
    <row r="104" spans="1:4" x14ac:dyDescent="0.25">
      <c r="A104" s="78" t="str">
        <f t="shared" si="15"/>
        <v>Rand/GJ18.0401828681424</v>
      </c>
      <c r="B104" s="80" t="s">
        <v>435</v>
      </c>
      <c r="C104" s="78">
        <f>C102/C103</f>
        <v>18.040182868142445</v>
      </c>
      <c r="D104" s="78" t="s">
        <v>434</v>
      </c>
    </row>
    <row r="105" spans="1:4" x14ac:dyDescent="0.25">
      <c r="A105" s="78" t="str">
        <f t="shared" ref="A105:A128" si="16">B105&amp;C105</f>
        <v>Majubavarious</v>
      </c>
      <c r="B105" s="81" t="s">
        <v>444</v>
      </c>
      <c r="C105" s="79" t="s">
        <v>440</v>
      </c>
      <c r="D105" s="78" t="s">
        <v>434</v>
      </c>
    </row>
    <row r="106" spans="1:4" x14ac:dyDescent="0.25">
      <c r="A106" s="78" t="str">
        <f t="shared" si="16"/>
        <v>Ktons14509</v>
      </c>
      <c r="B106" s="80" t="s">
        <v>439</v>
      </c>
      <c r="C106" s="78">
        <v>14509</v>
      </c>
      <c r="D106" s="78" t="s">
        <v>434</v>
      </c>
    </row>
    <row r="107" spans="1:4" x14ac:dyDescent="0.25">
      <c r="A107" s="78" t="str">
        <f t="shared" si="16"/>
        <v>Rand '0008677704</v>
      </c>
      <c r="B107" s="80" t="s">
        <v>438</v>
      </c>
      <c r="C107" s="78">
        <v>8677704</v>
      </c>
      <c r="D107" s="78" t="s">
        <v>434</v>
      </c>
    </row>
    <row r="108" spans="1:4" x14ac:dyDescent="0.25">
      <c r="A108" s="78" t="str">
        <f t="shared" si="16"/>
        <v>rands/ton598.091115859122</v>
      </c>
      <c r="B108" s="80" t="s">
        <v>437</v>
      </c>
      <c r="C108" s="78">
        <f>C107/C106</f>
        <v>598.09111585912194</v>
      </c>
      <c r="D108" s="78" t="s">
        <v>434</v>
      </c>
    </row>
    <row r="109" spans="1:4" x14ac:dyDescent="0.25">
      <c r="A109" s="78" t="str">
        <f t="shared" si="16"/>
        <v>CV as received18.62</v>
      </c>
      <c r="B109" s="80" t="s">
        <v>436</v>
      </c>
      <c r="C109" s="78">
        <v>18.62</v>
      </c>
      <c r="D109" s="78" t="s">
        <v>434</v>
      </c>
    </row>
    <row r="110" spans="1:4" x14ac:dyDescent="0.25">
      <c r="A110" s="78" t="str">
        <f t="shared" si="16"/>
        <v>Rand/GJ32.1208977367949</v>
      </c>
      <c r="B110" s="80" t="s">
        <v>435</v>
      </c>
      <c r="C110" s="78">
        <f>C108/C109</f>
        <v>32.120897736794944</v>
      </c>
      <c r="D110" s="78" t="s">
        <v>434</v>
      </c>
    </row>
    <row r="111" spans="1:4" x14ac:dyDescent="0.25">
      <c r="A111" s="78" t="str">
        <f t="shared" si="16"/>
        <v>Komativarious</v>
      </c>
      <c r="B111" s="79" t="s">
        <v>443</v>
      </c>
      <c r="C111" s="79" t="s">
        <v>440</v>
      </c>
      <c r="D111" s="78" t="s">
        <v>434</v>
      </c>
    </row>
    <row r="112" spans="1:4" x14ac:dyDescent="0.25">
      <c r="A112" s="78" t="str">
        <f t="shared" si="16"/>
        <v>Ktons1265</v>
      </c>
      <c r="B112" s="80" t="s">
        <v>439</v>
      </c>
      <c r="C112" s="78">
        <v>1265</v>
      </c>
      <c r="D112" s="78" t="s">
        <v>434</v>
      </c>
    </row>
    <row r="113" spans="1:4" x14ac:dyDescent="0.25">
      <c r="A113" s="78" t="str">
        <f t="shared" si="16"/>
        <v>Rand '000863148</v>
      </c>
      <c r="B113" s="80" t="s">
        <v>438</v>
      </c>
      <c r="C113" s="78">
        <v>863148</v>
      </c>
      <c r="D113" s="78" t="s">
        <v>434</v>
      </c>
    </row>
    <row r="114" spans="1:4" x14ac:dyDescent="0.25">
      <c r="A114" s="78" t="str">
        <f t="shared" si="16"/>
        <v>rands/ton682.330434782609</v>
      </c>
      <c r="B114" s="80" t="s">
        <v>437</v>
      </c>
      <c r="C114" s="78">
        <f>C113/C112</f>
        <v>682.33043478260868</v>
      </c>
      <c r="D114" s="78" t="s">
        <v>434</v>
      </c>
    </row>
    <row r="115" spans="1:4" x14ac:dyDescent="0.25">
      <c r="A115" s="78" t="str">
        <f t="shared" si="16"/>
        <v>CV as received19.68</v>
      </c>
      <c r="B115" s="80" t="s">
        <v>436</v>
      </c>
      <c r="C115" s="78">
        <v>19.68</v>
      </c>
      <c r="D115" s="78" t="s">
        <v>434</v>
      </c>
    </row>
    <row r="116" spans="1:4" x14ac:dyDescent="0.25">
      <c r="A116" s="78" t="str">
        <f t="shared" si="16"/>
        <v>Rand/GJ34.6712619300106</v>
      </c>
      <c r="B116" s="80" t="s">
        <v>435</v>
      </c>
      <c r="C116" s="78">
        <f>C114/C115</f>
        <v>34.671261930010601</v>
      </c>
      <c r="D116" s="78" t="s">
        <v>434</v>
      </c>
    </row>
    <row r="117" spans="1:4" x14ac:dyDescent="0.25">
      <c r="A117" s="78" t="str">
        <f t="shared" si="16"/>
        <v>Grootvleivarious</v>
      </c>
      <c r="B117" s="79" t="s">
        <v>442</v>
      </c>
      <c r="C117" s="79" t="s">
        <v>440</v>
      </c>
      <c r="D117" s="78" t="s">
        <v>434</v>
      </c>
    </row>
    <row r="118" spans="1:4" x14ac:dyDescent="0.25">
      <c r="A118" s="78" t="str">
        <f t="shared" si="16"/>
        <v>Ktons1334</v>
      </c>
      <c r="B118" s="78" t="s">
        <v>439</v>
      </c>
      <c r="C118" s="78">
        <v>1334</v>
      </c>
      <c r="D118" s="78" t="s">
        <v>434</v>
      </c>
    </row>
    <row r="119" spans="1:4" x14ac:dyDescent="0.25">
      <c r="A119" s="78" t="str">
        <f t="shared" si="16"/>
        <v>Rand '000816929</v>
      </c>
      <c r="B119" s="78" t="s">
        <v>438</v>
      </c>
      <c r="C119" s="78">
        <v>816929</v>
      </c>
      <c r="D119" s="78" t="s">
        <v>434</v>
      </c>
    </row>
    <row r="120" spans="1:4" x14ac:dyDescent="0.25">
      <c r="A120" s="78" t="str">
        <f t="shared" si="16"/>
        <v>rands/ton612.390554722639</v>
      </c>
      <c r="B120" s="78" t="s">
        <v>437</v>
      </c>
      <c r="C120" s="78">
        <f>C119/C118</f>
        <v>612.39055472263863</v>
      </c>
      <c r="D120" s="78" t="s">
        <v>434</v>
      </c>
    </row>
    <row r="121" spans="1:4" x14ac:dyDescent="0.25">
      <c r="A121" s="78" t="str">
        <f t="shared" si="16"/>
        <v>CV as received20.58</v>
      </c>
      <c r="B121" s="78" t="s">
        <v>436</v>
      </c>
      <c r="C121" s="78">
        <v>20.58</v>
      </c>
      <c r="D121" s="78" t="s">
        <v>434</v>
      </c>
    </row>
    <row r="122" spans="1:4" x14ac:dyDescent="0.25">
      <c r="A122" s="78" t="str">
        <f t="shared" si="16"/>
        <v>Rand/GJ29.7565867212166</v>
      </c>
      <c r="B122" s="78" t="s">
        <v>435</v>
      </c>
      <c r="C122" s="78">
        <f>C120/C121</f>
        <v>29.756586721216649</v>
      </c>
      <c r="D122" s="78" t="s">
        <v>434</v>
      </c>
    </row>
    <row r="123" spans="1:4" x14ac:dyDescent="0.25">
      <c r="A123" s="78" t="str">
        <f t="shared" si="16"/>
        <v>Kusile various</v>
      </c>
      <c r="B123" s="79" t="s">
        <v>441</v>
      </c>
      <c r="C123" s="79" t="s">
        <v>440</v>
      </c>
      <c r="D123" s="78" t="s">
        <v>434</v>
      </c>
    </row>
    <row r="124" spans="1:4" x14ac:dyDescent="0.25">
      <c r="A124" s="78" t="str">
        <f t="shared" si="16"/>
        <v>Ktons2158</v>
      </c>
      <c r="B124" s="78" t="s">
        <v>439</v>
      </c>
      <c r="C124" s="78">
        <v>2158</v>
      </c>
      <c r="D124" s="78" t="s">
        <v>434</v>
      </c>
    </row>
    <row r="125" spans="1:4" x14ac:dyDescent="0.25">
      <c r="A125" s="78" t="str">
        <f t="shared" si="16"/>
        <v>Rand '0001192351</v>
      </c>
      <c r="B125" s="78" t="s">
        <v>438</v>
      </c>
      <c r="C125" s="78">
        <v>1192351</v>
      </c>
      <c r="D125" s="78" t="s">
        <v>434</v>
      </c>
    </row>
    <row r="126" spans="1:4" x14ac:dyDescent="0.25">
      <c r="A126" s="78" t="str">
        <f t="shared" si="16"/>
        <v>rands/ton552.525949953661</v>
      </c>
      <c r="B126" s="78" t="s">
        <v>437</v>
      </c>
      <c r="C126" s="78">
        <f>C125/C124</f>
        <v>552.52594995366076</v>
      </c>
      <c r="D126" s="78" t="s">
        <v>434</v>
      </c>
    </row>
    <row r="127" spans="1:4" x14ac:dyDescent="0.25">
      <c r="A127" s="78" t="str">
        <f t="shared" si="16"/>
        <v>CV as received17.53</v>
      </c>
      <c r="B127" s="78" t="s">
        <v>436</v>
      </c>
      <c r="C127" s="78">
        <v>17.53</v>
      </c>
      <c r="D127" s="78" t="s">
        <v>434</v>
      </c>
    </row>
    <row r="128" spans="1:4" x14ac:dyDescent="0.25">
      <c r="A128" s="78" t="str">
        <f t="shared" si="16"/>
        <v>Rand/GJ31.5188790618175</v>
      </c>
      <c r="B128" s="78" t="s">
        <v>435</v>
      </c>
      <c r="C128" s="78">
        <f>C126/C127</f>
        <v>31.518879061817497</v>
      </c>
      <c r="D128" s="78" t="s">
        <v>434</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652</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14" t="s">
        <v>651</v>
      </c>
      <c r="B2" s="514"/>
      <c r="C2" s="514"/>
      <c r="D2" s="515"/>
      <c r="E2" s="122"/>
      <c r="F2" s="122"/>
      <c r="G2" s="516" t="s">
        <v>650</v>
      </c>
      <c r="H2" s="517"/>
      <c r="I2" s="517"/>
      <c r="J2" s="517"/>
      <c r="K2" s="517"/>
      <c r="L2" s="517"/>
      <c r="M2" s="517"/>
      <c r="N2" s="517"/>
      <c r="O2" s="121"/>
      <c r="Q2" s="87" t="s">
        <v>649</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20" t="s">
        <v>648</v>
      </c>
      <c r="B3" s="522" t="s">
        <v>647</v>
      </c>
      <c r="C3" s="524" t="s">
        <v>646</v>
      </c>
      <c r="D3" s="526" t="s">
        <v>645</v>
      </c>
      <c r="E3" s="522" t="s">
        <v>644</v>
      </c>
      <c r="F3" s="522" t="s">
        <v>643</v>
      </c>
      <c r="G3" s="518"/>
      <c r="H3" s="519"/>
      <c r="I3" s="519"/>
      <c r="J3" s="519"/>
      <c r="K3" s="519"/>
      <c r="L3" s="519"/>
      <c r="M3" s="519"/>
      <c r="N3" s="519"/>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21"/>
      <c r="B4" s="523"/>
      <c r="C4" s="525"/>
      <c r="D4" s="527"/>
      <c r="E4" s="523"/>
      <c r="F4" s="523"/>
      <c r="G4" s="119" t="s">
        <v>642</v>
      </c>
      <c r="H4" s="119" t="s">
        <v>641</v>
      </c>
      <c r="I4" s="119" t="s">
        <v>640</v>
      </c>
      <c r="J4" s="119" t="s">
        <v>639</v>
      </c>
      <c r="K4" s="119" t="s">
        <v>638</v>
      </c>
      <c r="L4" s="119" t="s">
        <v>637</v>
      </c>
      <c r="M4" s="119" t="s">
        <v>636</v>
      </c>
      <c r="N4" s="119" t="s">
        <v>635</v>
      </c>
      <c r="O4" s="118" t="s">
        <v>634</v>
      </c>
      <c r="P4" s="87" t="s">
        <v>2115</v>
      </c>
      <c r="Q4" s="87">
        <v>2017</v>
      </c>
      <c r="R4" s="54">
        <v>2012</v>
      </c>
      <c r="S4" s="54"/>
      <c r="T4" s="54"/>
      <c r="U4" s="54"/>
      <c r="V4" s="54"/>
      <c r="W4" s="54" t="s">
        <v>633</v>
      </c>
      <c r="X4" s="54"/>
      <c r="Y4" s="54"/>
      <c r="Z4" s="54"/>
      <c r="AA4" s="54"/>
      <c r="AB4" s="54" t="s">
        <v>632</v>
      </c>
      <c r="AC4" s="54"/>
      <c r="AD4" s="54"/>
      <c r="AE4" s="54"/>
      <c r="AF4" s="54"/>
      <c r="AG4" s="54"/>
      <c r="AH4" s="54"/>
      <c r="AI4" s="54"/>
      <c r="AJ4" s="54"/>
      <c r="AK4" s="54"/>
      <c r="AL4" s="54"/>
      <c r="AM4" s="54"/>
    </row>
    <row r="5" spans="1:39" ht="14.1" customHeight="1" x14ac:dyDescent="0.2">
      <c r="A5" s="91" t="s">
        <v>631</v>
      </c>
      <c r="B5" s="94">
        <v>1980</v>
      </c>
      <c r="C5" s="93">
        <v>26197</v>
      </c>
      <c r="D5" s="93">
        <v>26197</v>
      </c>
      <c r="E5" s="92" t="s">
        <v>630</v>
      </c>
      <c r="F5" s="91" t="s">
        <v>581</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629</v>
      </c>
      <c r="B6" s="94">
        <v>3450</v>
      </c>
      <c r="C6" s="93">
        <v>29238</v>
      </c>
      <c r="D6" s="93">
        <v>29238</v>
      </c>
      <c r="E6" s="92" t="s">
        <v>628</v>
      </c>
      <c r="F6" s="91" t="s">
        <v>581</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627</v>
      </c>
      <c r="B7" s="94">
        <v>1895</v>
      </c>
      <c r="C7" s="93">
        <v>25700</v>
      </c>
      <c r="D7" s="93">
        <v>25700</v>
      </c>
      <c r="E7" s="92" t="s">
        <v>626</v>
      </c>
      <c r="F7" s="91" t="s">
        <v>581</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625</v>
      </c>
      <c r="B8" s="94">
        <v>3840</v>
      </c>
      <c r="C8" s="93">
        <v>32417</v>
      </c>
      <c r="D8" s="93">
        <v>32417</v>
      </c>
      <c r="E8" s="92" t="s">
        <v>624</v>
      </c>
      <c r="F8" s="91" t="s">
        <v>581</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623</v>
      </c>
      <c r="B9" s="94">
        <v>2850</v>
      </c>
      <c r="C9" s="93">
        <v>27886</v>
      </c>
      <c r="D9" s="93">
        <v>27886</v>
      </c>
      <c r="E9" s="92" t="s">
        <v>622</v>
      </c>
      <c r="F9" s="91" t="s">
        <v>581</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621</v>
      </c>
      <c r="B10" s="94">
        <v>3558</v>
      </c>
      <c r="C10" s="93">
        <v>31403</v>
      </c>
      <c r="D10" s="93">
        <v>31403</v>
      </c>
      <c r="E10" s="92" t="s">
        <v>620</v>
      </c>
      <c r="F10" s="91" t="s">
        <v>581</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619</v>
      </c>
      <c r="B11" s="94">
        <v>3690</v>
      </c>
      <c r="C11" s="93">
        <v>32115</v>
      </c>
      <c r="D11" s="93">
        <v>32115</v>
      </c>
      <c r="E11" s="92" t="s">
        <v>618</v>
      </c>
      <c r="F11" s="91" t="s">
        <v>581</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617</v>
      </c>
      <c r="B12" s="94">
        <v>3843</v>
      </c>
      <c r="C12" s="93">
        <v>35156</v>
      </c>
      <c r="D12" s="93">
        <v>35156</v>
      </c>
      <c r="E12" s="92" t="s">
        <v>616</v>
      </c>
      <c r="F12" s="91" t="s">
        <v>581</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615</v>
      </c>
      <c r="B13" s="94">
        <v>3450</v>
      </c>
      <c r="C13" s="93">
        <v>29127</v>
      </c>
      <c r="D13" s="93">
        <v>29127</v>
      </c>
      <c r="E13" s="92" t="s">
        <v>614</v>
      </c>
      <c r="F13" s="91" t="s">
        <v>581</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613</v>
      </c>
      <c r="B14" s="94">
        <v>4764</v>
      </c>
      <c r="C14" s="93">
        <v>42238</v>
      </c>
      <c r="D14" s="93">
        <v>42239</v>
      </c>
      <c r="E14" s="92" t="s">
        <v>612</v>
      </c>
      <c r="F14" s="91" t="s">
        <v>581</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611</v>
      </c>
      <c r="B15" s="94">
        <v>3510</v>
      </c>
      <c r="C15" s="93">
        <v>31199</v>
      </c>
      <c r="D15" s="93">
        <v>31199</v>
      </c>
      <c r="E15" s="92" t="s">
        <v>610</v>
      </c>
      <c r="F15" s="91" t="s">
        <v>581</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551</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609</v>
      </c>
      <c r="B17" s="94">
        <v>1800</v>
      </c>
      <c r="C17" s="93">
        <v>30884</v>
      </c>
      <c r="D17" s="93">
        <v>30884</v>
      </c>
      <c r="E17" s="92" t="s">
        <v>608</v>
      </c>
      <c r="F17" s="91" t="s">
        <v>581</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607</v>
      </c>
      <c r="B18" s="94">
        <v>171</v>
      </c>
      <c r="C18" s="93">
        <v>27893</v>
      </c>
      <c r="D18" s="93">
        <v>27893</v>
      </c>
      <c r="E18" s="92" t="s">
        <v>606</v>
      </c>
      <c r="F18" s="91" t="s">
        <v>581</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605</v>
      </c>
      <c r="B19" s="103"/>
      <c r="C19" s="93">
        <v>39356</v>
      </c>
      <c r="D19" s="93">
        <v>39356</v>
      </c>
      <c r="E19" s="92" t="s">
        <v>604</v>
      </c>
      <c r="F19" s="91" t="s">
        <v>581</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603</v>
      </c>
      <c r="B20" s="103"/>
      <c r="C20" s="93">
        <v>39356</v>
      </c>
      <c r="D20" s="93">
        <v>39356</v>
      </c>
      <c r="E20" s="92" t="s">
        <v>602</v>
      </c>
      <c r="F20" s="91" t="s">
        <v>581</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601</v>
      </c>
      <c r="B21" s="94">
        <v>171</v>
      </c>
      <c r="C21" s="93">
        <v>28033</v>
      </c>
      <c r="D21" s="93">
        <v>28033</v>
      </c>
      <c r="E21" s="92" t="s">
        <v>600</v>
      </c>
      <c r="F21" s="91" t="s">
        <v>581</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599</v>
      </c>
      <c r="B22" s="94">
        <v>42</v>
      </c>
      <c r="C22" s="93">
        <v>31048</v>
      </c>
      <c r="D22" s="93">
        <v>31048</v>
      </c>
      <c r="E22" s="106">
        <v>0</v>
      </c>
      <c r="F22" s="91" t="s">
        <v>581</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598</v>
      </c>
      <c r="B23" s="94">
        <v>6</v>
      </c>
      <c r="C23" s="93">
        <v>28887</v>
      </c>
      <c r="D23" s="93">
        <v>28887</v>
      </c>
      <c r="E23" s="106">
        <v>0</v>
      </c>
      <c r="F23" s="91" t="s">
        <v>581</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597</v>
      </c>
      <c r="B24" s="94">
        <v>360</v>
      </c>
      <c r="C24" s="93">
        <v>26184</v>
      </c>
      <c r="D24" s="93">
        <v>26184</v>
      </c>
      <c r="E24" s="92" t="s">
        <v>596</v>
      </c>
      <c r="F24" s="91" t="s">
        <v>581</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595</v>
      </c>
      <c r="B25" s="94">
        <v>2</v>
      </c>
      <c r="C25" s="93">
        <v>30376</v>
      </c>
      <c r="D25" s="93">
        <v>30376</v>
      </c>
      <c r="E25" s="106">
        <v>0</v>
      </c>
      <c r="F25" s="91" t="s">
        <v>581</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594</v>
      </c>
      <c r="B26" s="94">
        <v>11</v>
      </c>
      <c r="C26" s="93">
        <v>28946</v>
      </c>
      <c r="D26" s="93">
        <v>28946</v>
      </c>
      <c r="E26" s="106">
        <v>0</v>
      </c>
      <c r="F26" s="91" t="s">
        <v>581</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593</v>
      </c>
      <c r="B27" s="94">
        <v>240</v>
      </c>
      <c r="C27" s="93">
        <v>28126</v>
      </c>
      <c r="D27" s="93">
        <v>28126</v>
      </c>
      <c r="E27" s="92" t="s">
        <v>592</v>
      </c>
      <c r="F27" s="91" t="s">
        <v>581</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591</v>
      </c>
      <c r="B28" s="94">
        <v>1000</v>
      </c>
      <c r="C28" s="93">
        <v>29754</v>
      </c>
      <c r="D28" s="93">
        <v>29754</v>
      </c>
      <c r="E28" s="92" t="s">
        <v>590</v>
      </c>
      <c r="F28" s="91" t="s">
        <v>581</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589</v>
      </c>
      <c r="B29" s="94">
        <v>400</v>
      </c>
      <c r="C29" s="93">
        <v>32251</v>
      </c>
      <c r="D29" s="93">
        <v>32251</v>
      </c>
      <c r="E29" s="92" t="s">
        <v>588</v>
      </c>
      <c r="F29" s="91" t="s">
        <v>581</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587</v>
      </c>
      <c r="B30" s="94">
        <v>1600</v>
      </c>
      <c r="C30" s="93">
        <v>24462</v>
      </c>
      <c r="D30" s="93">
        <v>38504</v>
      </c>
      <c r="E30" s="92" t="s">
        <v>586</v>
      </c>
      <c r="F30" s="91" t="s">
        <v>581</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585</v>
      </c>
      <c r="B31" s="94">
        <v>1200</v>
      </c>
      <c r="C31" s="93">
        <v>25384</v>
      </c>
      <c r="D31" s="93">
        <v>25384</v>
      </c>
      <c r="E31" s="92" t="s">
        <v>584</v>
      </c>
      <c r="F31" s="91" t="s">
        <v>581</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583</v>
      </c>
      <c r="B32" s="94">
        <v>1000</v>
      </c>
      <c r="C32" s="93">
        <v>22591</v>
      </c>
      <c r="D32" s="93">
        <v>22591</v>
      </c>
      <c r="E32" s="92" t="s">
        <v>582</v>
      </c>
      <c r="F32" s="91" t="s">
        <v>581</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12"/>
      <c r="H33" s="513"/>
      <c r="I33" s="513"/>
      <c r="J33" s="513"/>
      <c r="K33" s="513"/>
      <c r="L33" s="513"/>
      <c r="M33" s="513"/>
      <c r="N33" s="513"/>
      <c r="O33" s="102"/>
      <c r="Q33" s="87">
        <f>SUM(Q5:Q32)/1000000</f>
        <v>215.96330573</v>
      </c>
      <c r="AB33" s="107"/>
    </row>
    <row r="34" spans="1:30" x14ac:dyDescent="0.2">
      <c r="N34" s="87" t="s">
        <v>580</v>
      </c>
      <c r="O34" s="108">
        <f>(SUM(O5:O15)+SUM(O30:O32))/1000000</f>
        <v>198.375956</v>
      </c>
      <c r="Q34" s="108">
        <f>(SUM(Q5:Q16)+SUM(Q30:Q32))/1000000</f>
        <v>199.79182747999999</v>
      </c>
      <c r="S34" s="87" t="s">
        <v>579</v>
      </c>
      <c r="W34" s="76">
        <f>SUM(W5:W32)</f>
        <v>199.67433227309505</v>
      </c>
      <c r="X34" s="76"/>
      <c r="Y34" s="76"/>
      <c r="Z34" s="76"/>
      <c r="AA34" s="76"/>
      <c r="AB34" s="107">
        <f>SUM(AB5:AB16)+SUM(AB30:AB32)</f>
        <v>196.63039812000002</v>
      </c>
    </row>
    <row r="35" spans="1:30" x14ac:dyDescent="0.2">
      <c r="A35" s="91" t="s">
        <v>453</v>
      </c>
      <c r="B35" s="94">
        <v>1980</v>
      </c>
      <c r="C35" s="93">
        <v>26197</v>
      </c>
      <c r="D35" s="93">
        <v>26197</v>
      </c>
      <c r="E35" s="92" t="s">
        <v>549</v>
      </c>
      <c r="F35" s="91" t="s">
        <v>555</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524</v>
      </c>
      <c r="W35" s="76">
        <f>NERSA2018!K150/1000000</f>
        <v>1.707095</v>
      </c>
      <c r="X35" s="76"/>
      <c r="Y35" s="76"/>
      <c r="Z35" s="76"/>
      <c r="AA35" s="76"/>
      <c r="AB35" s="107"/>
      <c r="AC35" s="98"/>
      <c r="AD35" s="101"/>
    </row>
    <row r="36" spans="1:30" x14ac:dyDescent="0.2">
      <c r="A36" s="91" t="s">
        <v>503</v>
      </c>
      <c r="B36" s="94">
        <v>3450</v>
      </c>
      <c r="C36" s="93">
        <v>29238</v>
      </c>
      <c r="D36" s="93">
        <v>29238</v>
      </c>
      <c r="E36" s="92" t="s">
        <v>548</v>
      </c>
      <c r="F36" s="91" t="s">
        <v>555</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578</v>
      </c>
      <c r="W36" s="76">
        <f>W35+W34</f>
        <v>201.38142727309506</v>
      </c>
      <c r="X36" s="76"/>
      <c r="Y36" s="76"/>
      <c r="Z36" s="76"/>
      <c r="AA36" s="76"/>
      <c r="AB36" s="107"/>
      <c r="AC36" s="98"/>
      <c r="AD36" s="101"/>
    </row>
    <row r="37" spans="1:30" x14ac:dyDescent="0.2">
      <c r="A37" s="91" t="s">
        <v>446</v>
      </c>
      <c r="B37" s="94">
        <v>1895</v>
      </c>
      <c r="C37" s="93">
        <v>25700</v>
      </c>
      <c r="D37" s="93">
        <v>25700</v>
      </c>
      <c r="E37" s="92" t="s">
        <v>547</v>
      </c>
      <c r="F37" s="91" t="s">
        <v>555</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550</v>
      </c>
      <c r="W37" s="76">
        <f>HistoricalDispatch!B4/1000000</f>
        <v>201.59838799999949</v>
      </c>
      <c r="X37" s="76"/>
      <c r="Y37" s="76"/>
      <c r="Z37" s="76"/>
      <c r="AA37" s="76"/>
      <c r="AB37" s="107"/>
      <c r="AC37" s="98"/>
      <c r="AD37" s="101"/>
    </row>
    <row r="38" spans="1:30" x14ac:dyDescent="0.2">
      <c r="A38" s="91" t="s">
        <v>492</v>
      </c>
      <c r="B38" s="94">
        <v>3840</v>
      </c>
      <c r="C38" s="93">
        <v>32417</v>
      </c>
      <c r="D38" s="93">
        <v>32417</v>
      </c>
      <c r="E38" s="92" t="s">
        <v>546</v>
      </c>
      <c r="F38" s="91" t="s">
        <v>555</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447</v>
      </c>
      <c r="B39" s="94">
        <v>2850</v>
      </c>
      <c r="C39" s="93">
        <v>27886</v>
      </c>
      <c r="D39" s="93">
        <v>27886</v>
      </c>
      <c r="E39" s="92" t="s">
        <v>545</v>
      </c>
      <c r="F39" s="91" t="s">
        <v>555</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478</v>
      </c>
      <c r="B40" s="94">
        <v>3558</v>
      </c>
      <c r="C40" s="93">
        <v>31403</v>
      </c>
      <c r="D40" s="93">
        <v>31403</v>
      </c>
      <c r="E40" s="92" t="s">
        <v>544</v>
      </c>
      <c r="F40" s="91" t="s">
        <v>555</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471</v>
      </c>
      <c r="B41" s="94">
        <v>3690</v>
      </c>
      <c r="C41" s="93">
        <v>32115</v>
      </c>
      <c r="D41" s="93">
        <v>32115</v>
      </c>
      <c r="E41" s="92" t="s">
        <v>543</v>
      </c>
      <c r="F41" s="91" t="s">
        <v>555</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444</v>
      </c>
      <c r="B42" s="94">
        <v>3843</v>
      </c>
      <c r="C42" s="93">
        <v>35156</v>
      </c>
      <c r="D42" s="93">
        <v>35156</v>
      </c>
      <c r="E42" s="92" t="s">
        <v>542</v>
      </c>
      <c r="F42" s="91" t="s">
        <v>555</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450</v>
      </c>
      <c r="B43" s="94">
        <v>3450</v>
      </c>
      <c r="C43" s="93">
        <v>29127</v>
      </c>
      <c r="D43" s="93">
        <v>29127</v>
      </c>
      <c r="E43" s="92" t="s">
        <v>541</v>
      </c>
      <c r="F43" s="91" t="s">
        <v>555</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463</v>
      </c>
      <c r="B44" s="94">
        <v>4764</v>
      </c>
      <c r="C44" s="93">
        <v>42238</v>
      </c>
      <c r="D44" s="93">
        <v>42239</v>
      </c>
      <c r="E44" s="92" t="s">
        <v>540</v>
      </c>
      <c r="F44" s="91" t="s">
        <v>555</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455</v>
      </c>
      <c r="B45" s="94">
        <v>3510</v>
      </c>
      <c r="C45" s="93">
        <v>31199</v>
      </c>
      <c r="D45" s="93">
        <v>31199</v>
      </c>
      <c r="E45" s="92" t="s">
        <v>539</v>
      </c>
      <c r="F45" s="91" t="s">
        <v>555</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551</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577</v>
      </c>
      <c r="B47" s="94">
        <v>1800</v>
      </c>
      <c r="C47" s="93">
        <v>30884</v>
      </c>
      <c r="D47" s="93">
        <v>30884</v>
      </c>
      <c r="E47" s="92" t="s">
        <v>576</v>
      </c>
      <c r="F47" s="91" t="s">
        <v>555</v>
      </c>
      <c r="G47" s="105"/>
      <c r="H47" s="105"/>
      <c r="I47" s="105"/>
      <c r="J47" s="105"/>
      <c r="K47" s="105"/>
      <c r="L47" s="105"/>
      <c r="M47" s="105"/>
      <c r="N47" s="105"/>
      <c r="O47" s="105"/>
      <c r="Q47" s="90"/>
      <c r="W47" s="98"/>
      <c r="X47" s="98"/>
      <c r="Y47" s="98"/>
      <c r="Z47" s="98"/>
      <c r="AA47" s="98"/>
      <c r="AB47" s="98"/>
      <c r="AC47" s="98"/>
      <c r="AD47" s="101"/>
    </row>
    <row r="48" spans="1:30" x14ac:dyDescent="0.2">
      <c r="A48" s="91" t="s">
        <v>575</v>
      </c>
      <c r="B48" s="94">
        <v>171</v>
      </c>
      <c r="C48" s="93">
        <v>27893</v>
      </c>
      <c r="D48" s="93">
        <v>27893</v>
      </c>
      <c r="E48" s="92" t="s">
        <v>574</v>
      </c>
      <c r="F48" s="91" t="s">
        <v>555</v>
      </c>
      <c r="G48" s="105"/>
      <c r="H48" s="105"/>
      <c r="I48" s="105"/>
      <c r="J48" s="105"/>
      <c r="K48" s="105"/>
      <c r="L48" s="105"/>
      <c r="M48" s="105"/>
      <c r="N48" s="105"/>
      <c r="O48" s="105"/>
      <c r="Q48" s="90"/>
      <c r="W48" s="98"/>
      <c r="X48" s="98"/>
      <c r="Y48" s="98"/>
      <c r="Z48" s="98"/>
      <c r="AA48" s="98"/>
      <c r="AB48" s="98"/>
      <c r="AC48" s="98"/>
      <c r="AD48" s="101"/>
    </row>
    <row r="49" spans="1:30" x14ac:dyDescent="0.2">
      <c r="A49" s="91" t="s">
        <v>573</v>
      </c>
      <c r="B49" s="103"/>
      <c r="C49" s="93">
        <v>39356</v>
      </c>
      <c r="D49" s="93">
        <v>39356</v>
      </c>
      <c r="E49" s="92" t="s">
        <v>572</v>
      </c>
      <c r="F49" s="91" t="s">
        <v>555</v>
      </c>
      <c r="G49" s="105"/>
      <c r="H49" s="105"/>
      <c r="I49" s="105"/>
      <c r="J49" s="105"/>
      <c r="K49" s="105"/>
      <c r="L49" s="105"/>
      <c r="M49" s="105"/>
      <c r="N49" s="105"/>
      <c r="O49" s="105"/>
      <c r="Q49" s="90"/>
      <c r="W49" s="98"/>
      <c r="X49" s="98"/>
      <c r="Y49" s="98"/>
      <c r="Z49" s="98"/>
      <c r="AA49" s="98"/>
      <c r="AB49" s="98"/>
      <c r="AC49" s="98"/>
      <c r="AD49" s="101"/>
    </row>
    <row r="50" spans="1:30" x14ac:dyDescent="0.2">
      <c r="A50" s="91" t="s">
        <v>571</v>
      </c>
      <c r="B50" s="103"/>
      <c r="C50" s="93">
        <v>39356</v>
      </c>
      <c r="D50" s="93">
        <v>39356</v>
      </c>
      <c r="E50" s="92" t="s">
        <v>570</v>
      </c>
      <c r="F50" s="91" t="s">
        <v>555</v>
      </c>
      <c r="G50" s="105"/>
      <c r="H50" s="105"/>
      <c r="I50" s="105"/>
      <c r="J50" s="105"/>
      <c r="K50" s="105"/>
      <c r="L50" s="105"/>
      <c r="M50" s="105"/>
      <c r="N50" s="105"/>
      <c r="O50" s="105"/>
      <c r="Q50" s="90"/>
      <c r="W50" s="98"/>
      <c r="X50" s="98"/>
      <c r="Y50" s="98"/>
      <c r="Z50" s="98"/>
      <c r="AA50" s="98"/>
      <c r="AB50" s="98"/>
      <c r="AC50" s="98"/>
      <c r="AD50" s="101"/>
    </row>
    <row r="51" spans="1:30" x14ac:dyDescent="0.2">
      <c r="A51" s="91" t="s">
        <v>569</v>
      </c>
      <c r="B51" s="94">
        <v>171</v>
      </c>
      <c r="C51" s="93">
        <v>28033</v>
      </c>
      <c r="D51" s="93">
        <v>28033</v>
      </c>
      <c r="E51" s="92" t="s">
        <v>568</v>
      </c>
      <c r="F51" s="91" t="s">
        <v>555</v>
      </c>
      <c r="G51" s="105"/>
      <c r="H51" s="105"/>
      <c r="I51" s="105"/>
      <c r="J51" s="105"/>
      <c r="K51" s="105"/>
      <c r="L51" s="105"/>
      <c r="M51" s="105"/>
      <c r="N51" s="105"/>
      <c r="O51" s="105"/>
      <c r="Q51" s="90"/>
      <c r="W51" s="98"/>
      <c r="X51" s="98"/>
      <c r="Y51" s="98"/>
      <c r="Z51" s="98"/>
      <c r="AA51" s="98"/>
      <c r="AB51" s="98"/>
      <c r="AC51" s="98"/>
      <c r="AD51" s="101"/>
    </row>
    <row r="52" spans="1:30" x14ac:dyDescent="0.2">
      <c r="A52" s="91" t="s">
        <v>567</v>
      </c>
      <c r="B52" s="94">
        <v>42</v>
      </c>
      <c r="C52" s="93">
        <v>31048</v>
      </c>
      <c r="D52" s="93">
        <v>31048</v>
      </c>
      <c r="E52" s="106">
        <v>0</v>
      </c>
      <c r="F52" s="91" t="s">
        <v>555</v>
      </c>
      <c r="G52" s="105"/>
      <c r="H52" s="105"/>
      <c r="I52" s="105"/>
      <c r="J52" s="105"/>
      <c r="K52" s="105"/>
      <c r="L52" s="105"/>
      <c r="M52" s="105"/>
      <c r="N52" s="105"/>
      <c r="O52" s="105"/>
      <c r="Q52" s="90"/>
      <c r="W52" s="98"/>
      <c r="X52" s="98"/>
      <c r="Y52" s="98"/>
      <c r="Z52" s="98"/>
      <c r="AA52" s="98"/>
      <c r="AB52" s="98"/>
      <c r="AC52" s="98"/>
      <c r="AD52" s="101"/>
    </row>
    <row r="53" spans="1:30" x14ac:dyDescent="0.2">
      <c r="A53" s="91" t="s">
        <v>566</v>
      </c>
      <c r="B53" s="94">
        <v>6</v>
      </c>
      <c r="C53" s="93">
        <v>28887</v>
      </c>
      <c r="D53" s="93">
        <v>28887</v>
      </c>
      <c r="E53" s="106">
        <v>0</v>
      </c>
      <c r="F53" s="91" t="s">
        <v>555</v>
      </c>
      <c r="G53" s="105"/>
      <c r="H53" s="105"/>
      <c r="I53" s="105"/>
      <c r="J53" s="105"/>
      <c r="K53" s="105"/>
      <c r="L53" s="105"/>
      <c r="M53" s="105"/>
      <c r="N53" s="105"/>
      <c r="O53" s="105"/>
      <c r="Q53" s="90"/>
      <c r="W53" s="98"/>
      <c r="X53" s="98"/>
      <c r="Y53" s="98"/>
      <c r="Z53" s="98"/>
      <c r="AA53" s="98"/>
      <c r="AB53" s="98"/>
      <c r="AC53" s="98"/>
      <c r="AD53" s="101"/>
    </row>
    <row r="54" spans="1:30" x14ac:dyDescent="0.2">
      <c r="A54" s="91" t="s">
        <v>565</v>
      </c>
      <c r="B54" s="94">
        <v>360</v>
      </c>
      <c r="C54" s="93">
        <v>26184</v>
      </c>
      <c r="D54" s="93">
        <v>26184</v>
      </c>
      <c r="E54" s="92" t="s">
        <v>564</v>
      </c>
      <c r="F54" s="91" t="s">
        <v>555</v>
      </c>
      <c r="G54" s="105"/>
      <c r="H54" s="105"/>
      <c r="I54" s="105"/>
      <c r="J54" s="105"/>
      <c r="K54" s="105"/>
      <c r="L54" s="105"/>
      <c r="M54" s="105"/>
      <c r="N54" s="105"/>
      <c r="O54" s="105"/>
      <c r="Q54" s="90"/>
      <c r="W54" s="98"/>
      <c r="X54" s="98"/>
      <c r="Y54" s="98"/>
      <c r="Z54" s="98"/>
      <c r="AA54" s="98"/>
      <c r="AB54" s="98"/>
      <c r="AC54" s="98"/>
      <c r="AD54" s="101"/>
    </row>
    <row r="55" spans="1:30" x14ac:dyDescent="0.2">
      <c r="A55" s="91" t="s">
        <v>563</v>
      </c>
      <c r="B55" s="94">
        <v>2</v>
      </c>
      <c r="C55" s="93">
        <v>30376</v>
      </c>
      <c r="D55" s="93">
        <v>30376</v>
      </c>
      <c r="E55" s="106">
        <v>0</v>
      </c>
      <c r="F55" s="91" t="s">
        <v>555</v>
      </c>
      <c r="G55" s="105"/>
      <c r="H55" s="105"/>
      <c r="I55" s="105"/>
      <c r="J55" s="105"/>
      <c r="K55" s="105"/>
      <c r="L55" s="105"/>
      <c r="M55" s="105"/>
      <c r="N55" s="105"/>
      <c r="O55" s="105"/>
      <c r="Q55" s="90"/>
      <c r="W55" s="98"/>
      <c r="X55" s="98"/>
      <c r="Y55" s="98"/>
      <c r="Z55" s="98"/>
      <c r="AA55" s="98"/>
      <c r="AB55" s="98"/>
      <c r="AC55" s="98"/>
      <c r="AD55" s="101"/>
    </row>
    <row r="56" spans="1:30" x14ac:dyDescent="0.2">
      <c r="A56" s="91" t="s">
        <v>562</v>
      </c>
      <c r="B56" s="94">
        <v>11</v>
      </c>
      <c r="C56" s="93">
        <v>28946</v>
      </c>
      <c r="D56" s="93">
        <v>28946</v>
      </c>
      <c r="E56" s="106">
        <v>0</v>
      </c>
      <c r="F56" s="91" t="s">
        <v>555</v>
      </c>
      <c r="G56" s="105"/>
      <c r="H56" s="105"/>
      <c r="I56" s="105"/>
      <c r="J56" s="105"/>
      <c r="K56" s="105"/>
      <c r="L56" s="105"/>
      <c r="M56" s="105"/>
      <c r="N56" s="105"/>
      <c r="O56" s="105"/>
      <c r="Q56" s="90"/>
      <c r="W56" s="98"/>
      <c r="X56" s="98"/>
      <c r="Y56" s="98"/>
      <c r="Z56" s="98"/>
      <c r="AA56" s="98"/>
      <c r="AB56" s="98"/>
      <c r="AC56" s="98"/>
      <c r="AD56" s="101"/>
    </row>
    <row r="57" spans="1:30" x14ac:dyDescent="0.2">
      <c r="A57" s="91" t="s">
        <v>561</v>
      </c>
      <c r="B57" s="94">
        <v>240</v>
      </c>
      <c r="C57" s="93">
        <v>28126</v>
      </c>
      <c r="D57" s="93">
        <v>28126</v>
      </c>
      <c r="E57" s="92" t="s">
        <v>560</v>
      </c>
      <c r="F57" s="91" t="s">
        <v>555</v>
      </c>
      <c r="G57" s="105"/>
      <c r="H57" s="105"/>
      <c r="I57" s="105"/>
      <c r="J57" s="105"/>
      <c r="K57" s="105"/>
      <c r="L57" s="105"/>
      <c r="M57" s="105"/>
      <c r="N57" s="105"/>
      <c r="O57" s="105"/>
      <c r="Q57" s="90"/>
      <c r="W57" s="98"/>
      <c r="X57" s="98"/>
      <c r="Y57" s="98"/>
      <c r="Z57" s="98"/>
      <c r="AA57" s="98"/>
      <c r="AB57" s="98"/>
      <c r="AC57" s="98"/>
      <c r="AD57" s="101"/>
    </row>
    <row r="58" spans="1:30" x14ac:dyDescent="0.2">
      <c r="A58" s="91" t="s">
        <v>559</v>
      </c>
      <c r="B58" s="94">
        <v>1000</v>
      </c>
      <c r="C58" s="93">
        <v>29754</v>
      </c>
      <c r="D58" s="93">
        <v>29754</v>
      </c>
      <c r="E58" s="92" t="s">
        <v>558</v>
      </c>
      <c r="F58" s="91" t="s">
        <v>555</v>
      </c>
      <c r="G58" s="105"/>
      <c r="H58" s="105"/>
      <c r="I58" s="105"/>
      <c r="J58" s="105"/>
      <c r="K58" s="105"/>
      <c r="L58" s="105"/>
      <c r="M58" s="105"/>
      <c r="N58" s="105"/>
      <c r="O58" s="105"/>
      <c r="Q58" s="90"/>
      <c r="W58" s="98"/>
      <c r="X58" s="98"/>
      <c r="Y58" s="98"/>
      <c r="Z58" s="98"/>
      <c r="AA58" s="98"/>
      <c r="AB58" s="98"/>
      <c r="AC58" s="98"/>
      <c r="AD58" s="101"/>
    </row>
    <row r="59" spans="1:30" x14ac:dyDescent="0.2">
      <c r="A59" s="91" t="s">
        <v>557</v>
      </c>
      <c r="B59" s="94">
        <v>400</v>
      </c>
      <c r="C59" s="93">
        <v>32251</v>
      </c>
      <c r="D59" s="93">
        <v>32251</v>
      </c>
      <c r="E59" s="92" t="s">
        <v>556</v>
      </c>
      <c r="F59" s="91" t="s">
        <v>555</v>
      </c>
      <c r="G59" s="90"/>
      <c r="H59" s="90"/>
      <c r="I59" s="90"/>
      <c r="J59" s="90"/>
      <c r="K59" s="90"/>
      <c r="L59" s="90"/>
      <c r="M59" s="90"/>
      <c r="N59" s="90"/>
      <c r="O59" s="90"/>
      <c r="Q59" s="90"/>
      <c r="W59" s="98"/>
      <c r="X59" s="98"/>
      <c r="Y59" s="98"/>
      <c r="Z59" s="98"/>
      <c r="AA59" s="98"/>
      <c r="AB59" s="98"/>
      <c r="AC59" s="98"/>
      <c r="AD59" s="101"/>
    </row>
    <row r="60" spans="1:30" x14ac:dyDescent="0.2">
      <c r="A60" s="91" t="s">
        <v>507</v>
      </c>
      <c r="B60" s="94">
        <v>1600</v>
      </c>
      <c r="C60" s="93">
        <v>24462</v>
      </c>
      <c r="D60" s="93">
        <v>38504</v>
      </c>
      <c r="E60" s="92" t="s">
        <v>538</v>
      </c>
      <c r="F60" s="91" t="s">
        <v>555</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442</v>
      </c>
      <c r="B61" s="94">
        <v>1200</v>
      </c>
      <c r="C61" s="93">
        <v>25384</v>
      </c>
      <c r="D61" s="93">
        <v>25384</v>
      </c>
      <c r="E61" s="92" t="s">
        <v>537</v>
      </c>
      <c r="F61" s="91" t="s">
        <v>555</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443</v>
      </c>
      <c r="B62" s="94">
        <v>1000</v>
      </c>
      <c r="C62" s="93">
        <v>22591</v>
      </c>
      <c r="D62" s="93">
        <v>22591</v>
      </c>
      <c r="E62" s="92" t="s">
        <v>536</v>
      </c>
      <c r="F62" s="91" t="s">
        <v>555</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12"/>
      <c r="H63" s="513"/>
      <c r="I63" s="513"/>
      <c r="J63" s="513"/>
      <c r="K63" s="513"/>
      <c r="L63" s="513"/>
      <c r="M63" s="513"/>
      <c r="N63" s="513"/>
      <c r="O63" s="102"/>
      <c r="W63" s="101"/>
      <c r="X63" s="101"/>
      <c r="Y63" s="101"/>
      <c r="Z63" s="101"/>
      <c r="AA63" s="101"/>
    </row>
    <row r="65" spans="1:29" x14ac:dyDescent="0.2">
      <c r="A65" s="87" t="s">
        <v>554</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453</v>
      </c>
      <c r="J66" s="54">
        <f>INDEX(EskomCoalNERSACombined!$C$44:$C$56,MATCH(A66,EskomCoalNERSACombined!$B$44:$B$56,0))</f>
        <v>2232</v>
      </c>
      <c r="O66" s="54">
        <v>2232</v>
      </c>
      <c r="Q66" s="54">
        <f>SUMIF(EskomCoalNERSACombined!$B$44:$B$58,A135,EskomCoalNERSACombined!$G$44:$G$58)</f>
        <v>2232</v>
      </c>
      <c r="R66" s="54">
        <f>INDEX(ProcDataGenPre2012!$AY$9:$BI$22,MATCH($A66,ProcDataGenPre2012!$C$9:$C$22,0),MATCH(R$65,ProcDataGenPre2012!$AY$5:$BI$5,0))*1000</f>
        <v>2232</v>
      </c>
      <c r="S66" s="54">
        <f>INDEX(ProcDataGenPre2012!$AY$9:$BI$22,MATCH($A66,ProcDataGenPre2012!$C$9:$C$22,0),MATCH(S$65,ProcDataGenPre2012!$AY$5:$BI$5,0))*1000</f>
        <v>2232</v>
      </c>
      <c r="T66" s="54">
        <f>INDEX(ProcDataGenPre2012!$AY$9:$BI$22,MATCH($A66,ProcDataGenPre2012!$C$9:$C$22,0),MATCH(T$65,ProcDataGenPre2012!$AY$5:$BI$5,0))*1000</f>
        <v>2232</v>
      </c>
      <c r="U66" s="54">
        <f>INDEX(ProcDataGenPre2012!$AY$9:$BI$22,MATCH($A66,ProcDataGenPre2012!$C$9:$C$22,0),MATCH(U$65,ProcDataGenPre2012!$AY$5:$BI$5,0))*1000</f>
        <v>2232</v>
      </c>
      <c r="V66" s="54">
        <f>INDEX(ProcDataGenPre2012!$AY$9:$BI$22,MATCH($A66,ProcDataGenPre2012!$C$9:$C$22,0),MATCH(V$65,ProcDataGenPre2012!$AY$5:$BI$5,0))*1000</f>
        <v>2232</v>
      </c>
      <c r="W66" s="54">
        <f>INDEX(ProcDataGenPre2012!$AY$9:$BI$22,MATCH($A66,ProcDataGenPre2012!$C$9:$C$22,0),MATCH(W$65,ProcDataGenPre2012!$AY$5:$BI$5,0))*1000</f>
        <v>2232</v>
      </c>
      <c r="X66" s="54">
        <f>INDEX(ProcDataGenPre2012!$AY$9:$BI$22,MATCH($A66,ProcDataGenPre2012!$C$9:$C$22,0),MATCH(X$65,ProcDataGenPre2012!$AY$5:$BI$5,0))*1000</f>
        <v>1488</v>
      </c>
      <c r="Y66" s="54">
        <f>INDEX(ProcDataGenPre2012!$AY$9:$BI$22,MATCH($A66,ProcDataGenPre2012!$C$9:$C$22,0),MATCH(Y$65,ProcDataGenPre2012!$AY$5:$BI$5,0))*1000</f>
        <v>743.99999999999989</v>
      </c>
      <c r="Z66" s="54">
        <f>INDEX(ProcDataGenPre2012!$AY$9:$BI$22,MATCH($A66,ProcDataGenPre2012!$C$9:$C$22,0),MATCH(Z$65,ProcDataGenPre2012!$AY$5:$BI$5,0))*1000</f>
        <v>743.99999999999989</v>
      </c>
      <c r="AA66" s="54">
        <f>INDEX(ProcDataGenPre2012!$AY$9:$BI$22,MATCH($A66,ProcDataGenPre2012!$C$9:$C$22,0),MATCH(AA$65,ProcDataGenPre2012!$AY$5:$BI$5,0))*1000</f>
        <v>0</v>
      </c>
      <c r="AB66" s="54">
        <f>INDEX(ProcDataGenPre2012!$AY$9:$BI$22,MATCH($A66,ProcDataGenPre2012!$C$9:$C$22,0),MATCH(AB$65,ProcDataGenPre2012!$AY$5:$BI$5,0))*1000</f>
        <v>0</v>
      </c>
      <c r="AC66" s="54">
        <f>INDEX(ProcDataGenPre2012!$AY$9:$BJ$22,MATCH($A66,ProcDataGenPre2012!$C$9:$C$22,0),MATCH(AC$65,ProcDataGenPre2012!$AY$5:$BJ$5,0))*1000</f>
        <v>0</v>
      </c>
    </row>
    <row r="67" spans="1:29" x14ac:dyDescent="0.2">
      <c r="A67" s="91" t="s">
        <v>503</v>
      </c>
      <c r="J67" s="54">
        <f>INDEX(EskomCoalNERSACombined!$C$44:$C$56,MATCH(A67,EskomCoalNERSACombined!$B$44:$B$56,0))</f>
        <v>3450</v>
      </c>
      <c r="O67" s="54">
        <v>2875</v>
      </c>
      <c r="Q67" s="54">
        <f>SUMIF(EskomCoalNERSACombined!$B$44:$B$58,A136,EskomCoalNERSACombined!$G$44:$G$58)</f>
        <v>2875</v>
      </c>
      <c r="R67" s="54">
        <f>INDEX(ProcDataGenPre2012!$AY$9:$BI$22,MATCH($A67,ProcDataGenPre2012!$C$9:$C$22,0),MATCH(R$65,ProcDataGenPre2012!$AY$5:$BI$5,0))*1000</f>
        <v>2875</v>
      </c>
      <c r="S67" s="54">
        <f>INDEX(ProcDataGenPre2012!$AY$9:$BI$22,MATCH($A67,ProcDataGenPre2012!$C$9:$C$22,0),MATCH(S$65,ProcDataGenPre2012!$AY$5:$BI$5,0))*1000</f>
        <v>2875</v>
      </c>
      <c r="T67" s="54">
        <f>INDEX(ProcDataGenPre2012!$AY$9:$BI$22,MATCH($A67,ProcDataGenPre2012!$C$9:$C$22,0),MATCH(T$65,ProcDataGenPre2012!$AY$5:$BI$5,0))*1000</f>
        <v>2875</v>
      </c>
      <c r="U67" s="54">
        <f>INDEX(ProcDataGenPre2012!$AY$9:$BI$22,MATCH($A67,ProcDataGenPre2012!$C$9:$C$22,0),MATCH(U$65,ProcDataGenPre2012!$AY$5:$BI$5,0))*1000</f>
        <v>2875</v>
      </c>
      <c r="V67" s="54">
        <f>INDEX(ProcDataGenPre2012!$AY$9:$BI$22,MATCH($A67,ProcDataGenPre2012!$C$9:$C$22,0),MATCH(V$65,ProcDataGenPre2012!$AY$5:$BI$5,0))*1000</f>
        <v>2875</v>
      </c>
      <c r="W67" s="54">
        <f>INDEX(ProcDataGenPre2012!$AY$9:$BI$22,MATCH($A67,ProcDataGenPre2012!$C$9:$C$22,0),MATCH(W$65,ProcDataGenPre2012!$AY$5:$BI$5,0))*1000</f>
        <v>2875</v>
      </c>
      <c r="X67" s="54">
        <f>INDEX(ProcDataGenPre2012!$AY$9:$BI$22,MATCH($A67,ProcDataGenPre2012!$C$9:$C$22,0),MATCH(X$65,ProcDataGenPre2012!$AY$5:$BI$5,0))*1000</f>
        <v>2875</v>
      </c>
      <c r="Y67" s="54">
        <f>INDEX(ProcDataGenPre2012!$AY$9:$BI$22,MATCH($A67,ProcDataGenPre2012!$C$9:$C$22,0),MATCH(Y$65,ProcDataGenPre2012!$AY$5:$BI$5,0))*1000</f>
        <v>2875</v>
      </c>
      <c r="Z67" s="54">
        <f>INDEX(ProcDataGenPre2012!$AY$9:$BI$22,MATCH($A67,ProcDataGenPre2012!$C$9:$C$22,0),MATCH(Z$65,ProcDataGenPre2012!$AY$5:$BI$5,0))*1000</f>
        <v>2875</v>
      </c>
      <c r="AA67" s="54">
        <f>INDEX(ProcDataGenPre2012!$AY$9:$BI$22,MATCH($A67,ProcDataGenPre2012!$C$9:$C$22,0),MATCH(AA$65,ProcDataGenPre2012!$AY$5:$BI$5,0))*1000</f>
        <v>2875</v>
      </c>
      <c r="AB67" s="54">
        <f>INDEX(ProcDataGenPre2012!$AY$9:$BI$22,MATCH($A67,ProcDataGenPre2012!$C$9:$C$22,0),MATCH(AB$65,ProcDataGenPre2012!$AY$5:$BI$5,0))*1000</f>
        <v>2875</v>
      </c>
      <c r="AC67" s="54">
        <f>INDEX(ProcDataGenPre2012!$AY$9:$BJ$22,MATCH($A67,ProcDataGenPre2012!$C$9:$C$22,0),MATCH(AC$65,ProcDataGenPre2012!$AY$5:$BJ$5,0))*1000</f>
        <v>1725</v>
      </c>
    </row>
    <row r="68" spans="1:29" x14ac:dyDescent="0.2">
      <c r="A68" s="91" t="s">
        <v>446</v>
      </c>
      <c r="J68" s="54">
        <f>INDEX(EskomCoalNERSACombined!$C$44:$C$56,MATCH(A68,EskomCoalNERSACombined!$B$44:$B$56,0))</f>
        <v>1865</v>
      </c>
      <c r="O68" s="54">
        <v>1638</v>
      </c>
      <c r="Q68" s="54">
        <f>SUMIF(EskomCoalNERSACombined!$B$44:$B$58,A137,EskomCoalNERSACombined!$G$44:$G$58)</f>
        <v>1293</v>
      </c>
      <c r="R68" s="54">
        <f>INDEX(ProcDataGenPre2012!$AY$9:$BI$22,MATCH($A68,ProcDataGenPre2012!$C$9:$C$22,0),MATCH(R$65,ProcDataGenPre2012!$AY$5:$BI$5,0))*1000</f>
        <v>1293</v>
      </c>
      <c r="S68" s="100">
        <f>INDEX(ProcDataGenPre2012!$AY$9:$BI$22,MATCH($A68,ProcDataGenPre2012!$C$9:$C$22,0),MATCH(S$65,ProcDataGenPre2012!$AY$5:$BI$5,0))*1000</f>
        <v>1108.2857142857142</v>
      </c>
      <c r="T68" s="100">
        <f>INDEX(ProcDataGenPre2012!$AY$9:$BI$22,MATCH($A68,ProcDataGenPre2012!$C$9:$C$22,0),MATCH(T$65,ProcDataGenPre2012!$AY$5:$BI$5,0))*1000</f>
        <v>1108.2857142857142</v>
      </c>
      <c r="U68" s="100">
        <f>INDEX(ProcDataGenPre2012!$AY$9:$BI$22,MATCH($A68,ProcDataGenPre2012!$C$9:$C$22,0),MATCH(U$65,ProcDataGenPre2012!$AY$5:$BI$5,0))*1000</f>
        <v>923.57142857142856</v>
      </c>
      <c r="V68" s="100">
        <f>INDEX(ProcDataGenPre2012!$AY$9:$BI$22,MATCH($A68,ProcDataGenPre2012!$C$9:$C$22,0),MATCH(V$65,ProcDataGenPre2012!$AY$5:$BI$5,0))*1000</f>
        <v>738.85714285714289</v>
      </c>
      <c r="W68" s="100">
        <f>INDEX(ProcDataGenPre2012!$AY$9:$BI$22,MATCH($A68,ProcDataGenPre2012!$C$9:$C$22,0),MATCH(W$65,ProcDataGenPre2012!$AY$5:$BI$5,0))*1000</f>
        <v>0</v>
      </c>
      <c r="X68" s="100">
        <f>INDEX(ProcDataGenPre2012!$AY$9:$BI$22,MATCH($A68,ProcDataGenPre2012!$C$9:$C$22,0),MATCH(X$65,ProcDataGenPre2012!$AY$5:$BI$5,0))*1000</f>
        <v>0</v>
      </c>
      <c r="Y68" s="100">
        <f>INDEX(ProcDataGenPre2012!$AY$9:$BI$22,MATCH($A68,ProcDataGenPre2012!$C$9:$C$22,0),MATCH(Y$65,ProcDataGenPre2012!$AY$5:$BI$5,0))*1000</f>
        <v>0</v>
      </c>
      <c r="Z68" s="100">
        <f>INDEX(ProcDataGenPre2012!$AY$9:$BI$22,MATCH($A68,ProcDataGenPre2012!$C$9:$C$22,0),MATCH(Z$65,ProcDataGenPre2012!$AY$5:$BI$5,0))*1000</f>
        <v>0</v>
      </c>
      <c r="AA68" s="100">
        <f>INDEX(ProcDataGenPre2012!$AY$9:$BI$22,MATCH($A68,ProcDataGenPre2012!$C$9:$C$22,0),MATCH(AA$65,ProcDataGenPre2012!$AY$5:$BI$5,0))*1000</f>
        <v>0</v>
      </c>
      <c r="AB68" s="54">
        <f>INDEX(ProcDataGenPre2012!$AY$9:$BI$22,MATCH($A68,ProcDataGenPre2012!$C$9:$C$22,0),MATCH(AB$65,ProcDataGenPre2012!$AY$5:$BI$5,0))*1000</f>
        <v>0</v>
      </c>
      <c r="AC68" s="54">
        <f>INDEX(ProcDataGenPre2012!$AY$9:$BJ$22,MATCH($A68,ProcDataGenPre2012!$C$9:$C$22,0),MATCH(AC$65,ProcDataGenPre2012!$AY$5:$BJ$5,0))*1000</f>
        <v>0</v>
      </c>
    </row>
    <row r="69" spans="1:29" x14ac:dyDescent="0.2">
      <c r="A69" s="91" t="s">
        <v>492</v>
      </c>
      <c r="J69" s="54">
        <f>INDEX(EskomCoalNERSACombined!$C$44:$C$56,MATCH(A69,EskomCoalNERSACombined!$B$44:$B$56,0))</f>
        <v>3840</v>
      </c>
      <c r="O69" s="54">
        <v>3840</v>
      </c>
      <c r="Q69" s="54">
        <f>SUMIF(EskomCoalNERSACombined!$B$44:$B$58,A138,EskomCoalNERSACombined!$G$44:$G$58)</f>
        <v>3840</v>
      </c>
      <c r="R69" s="54">
        <f>INDEX(ProcDataGenPre2012!$AY$9:$BI$22,MATCH($A69,ProcDataGenPre2012!$C$9:$C$22,0),MATCH(R$65,ProcDataGenPre2012!$AY$5:$BI$5,0))*1000</f>
        <v>3840</v>
      </c>
      <c r="S69" s="54">
        <f>INDEX(ProcDataGenPre2012!$AY$9:$BI$22,MATCH($A69,ProcDataGenPre2012!$C$9:$C$22,0),MATCH(S$65,ProcDataGenPre2012!$AY$5:$BI$5,0))*1000</f>
        <v>3840</v>
      </c>
      <c r="T69" s="54">
        <f>INDEX(ProcDataGenPre2012!$AY$9:$BI$22,MATCH($A69,ProcDataGenPre2012!$C$9:$C$22,0),MATCH(T$65,ProcDataGenPre2012!$AY$5:$BI$5,0))*1000</f>
        <v>3840</v>
      </c>
      <c r="U69" s="54">
        <f>INDEX(ProcDataGenPre2012!$AY$9:$BI$22,MATCH($A69,ProcDataGenPre2012!$C$9:$C$22,0),MATCH(U$65,ProcDataGenPre2012!$AY$5:$BI$5,0))*1000</f>
        <v>3840</v>
      </c>
      <c r="V69" s="54">
        <f>INDEX(ProcDataGenPre2012!$AY$9:$BI$22,MATCH($A69,ProcDataGenPre2012!$C$9:$C$22,0),MATCH(V$65,ProcDataGenPre2012!$AY$5:$BI$5,0))*1000</f>
        <v>3840</v>
      </c>
      <c r="W69" s="54">
        <f>INDEX(ProcDataGenPre2012!$AY$9:$BI$22,MATCH($A69,ProcDataGenPre2012!$C$9:$C$22,0),MATCH(W$65,ProcDataGenPre2012!$AY$5:$BI$5,0))*1000</f>
        <v>3840</v>
      </c>
      <c r="X69" s="54">
        <f>INDEX(ProcDataGenPre2012!$AY$9:$BI$22,MATCH($A69,ProcDataGenPre2012!$C$9:$C$22,0),MATCH(X$65,ProcDataGenPre2012!$AY$5:$BI$5,0))*1000</f>
        <v>3840</v>
      </c>
      <c r="Y69" s="54">
        <f>INDEX(ProcDataGenPre2012!$AY$9:$BI$22,MATCH($A69,ProcDataGenPre2012!$C$9:$C$22,0),MATCH(Y$65,ProcDataGenPre2012!$AY$5:$BI$5,0))*1000</f>
        <v>3840</v>
      </c>
      <c r="Z69" s="54">
        <f>INDEX(ProcDataGenPre2012!$AY$9:$BI$22,MATCH($A69,ProcDataGenPre2012!$C$9:$C$22,0),MATCH(Z$65,ProcDataGenPre2012!$AY$5:$BI$5,0))*1000</f>
        <v>3840</v>
      </c>
      <c r="AA69" s="54">
        <f>INDEX(ProcDataGenPre2012!$AY$9:$BI$22,MATCH($A69,ProcDataGenPre2012!$C$9:$C$22,0),MATCH(AA$65,ProcDataGenPre2012!$AY$5:$BI$5,0))*1000</f>
        <v>3840</v>
      </c>
      <c r="AB69" s="54">
        <f>INDEX(ProcDataGenPre2012!$AY$9:$BI$22,MATCH($A69,ProcDataGenPre2012!$C$9:$C$22,0),MATCH(AB$65,ProcDataGenPre2012!$AY$5:$BI$5,0))*1000</f>
        <v>3840</v>
      </c>
      <c r="AC69" s="54">
        <f>INDEX(ProcDataGenPre2012!$AY$9:$BJ$22,MATCH($A69,ProcDataGenPre2012!$C$9:$C$22,0),MATCH(AC$65,ProcDataGenPre2012!$AY$5:$BJ$5,0))*1000</f>
        <v>3840</v>
      </c>
    </row>
    <row r="70" spans="1:29" x14ac:dyDescent="0.2">
      <c r="A70" s="91" t="s">
        <v>447</v>
      </c>
      <c r="J70" s="54">
        <f>INDEX(EskomCoalNERSACombined!$C$44:$C$56,MATCH(A70,EskomCoalNERSACombined!$B$44:$B$56,0))</f>
        <v>2850</v>
      </c>
      <c r="O70" s="54">
        <v>2850</v>
      </c>
      <c r="Q70" s="54">
        <f>SUMIF(EskomCoalNERSACombined!$B$44:$B$58,A139,EskomCoalNERSACombined!$G$44:$G$58)</f>
        <v>2850</v>
      </c>
      <c r="R70" s="54">
        <f>INDEX(ProcDataGenPre2012!$AY$9:$BI$22,MATCH($A70,ProcDataGenPre2012!$C$9:$C$22,0),MATCH(R$65,ProcDataGenPre2012!$AY$5:$BI$5,0))*1000</f>
        <v>2850</v>
      </c>
      <c r="S70" s="54">
        <f>INDEX(ProcDataGenPre2012!$AY$9:$BI$22,MATCH($A70,ProcDataGenPre2012!$C$9:$C$22,0),MATCH(S$65,ProcDataGenPre2012!$AY$5:$BI$5,0))*1000</f>
        <v>2850</v>
      </c>
      <c r="T70" s="54">
        <f>INDEX(ProcDataGenPre2012!$AY$9:$BI$22,MATCH($A70,ProcDataGenPre2012!$C$9:$C$22,0),MATCH(T$65,ProcDataGenPre2012!$AY$5:$BI$5,0))*1000</f>
        <v>2850</v>
      </c>
      <c r="U70" s="54">
        <f>INDEX(ProcDataGenPre2012!$AY$9:$BI$22,MATCH($A70,ProcDataGenPre2012!$C$9:$C$22,0),MATCH(U$65,ProcDataGenPre2012!$AY$5:$BI$5,0))*1000</f>
        <v>2850</v>
      </c>
      <c r="V70" s="54">
        <f>INDEX(ProcDataGenPre2012!$AY$9:$BI$22,MATCH($A70,ProcDataGenPre2012!$C$9:$C$22,0),MATCH(V$65,ProcDataGenPre2012!$AY$5:$BI$5,0))*1000</f>
        <v>2850</v>
      </c>
      <c r="W70" s="54">
        <f>INDEX(ProcDataGenPre2012!$AY$9:$BI$22,MATCH($A70,ProcDataGenPre2012!$C$9:$C$22,0),MATCH(W$65,ProcDataGenPre2012!$AY$5:$BI$5,0))*1000</f>
        <v>2850</v>
      </c>
      <c r="X70" s="54">
        <f>INDEX(ProcDataGenPre2012!$AY$9:$BI$22,MATCH($A70,ProcDataGenPre2012!$C$9:$C$22,0),MATCH(X$65,ProcDataGenPre2012!$AY$5:$BI$5,0))*1000</f>
        <v>2375</v>
      </c>
      <c r="Y70" s="54">
        <f>INDEX(ProcDataGenPre2012!$AY$9:$BI$22,MATCH($A70,ProcDataGenPre2012!$C$9:$C$22,0),MATCH(Y$65,ProcDataGenPre2012!$AY$5:$BI$5,0))*1000</f>
        <v>1900</v>
      </c>
      <c r="Z70" s="54">
        <f>INDEX(ProcDataGenPre2012!$AY$9:$BI$22,MATCH($A70,ProcDataGenPre2012!$C$9:$C$22,0),MATCH(Z$65,ProcDataGenPre2012!$AY$5:$BI$5,0))*1000</f>
        <v>1424.9999999999998</v>
      </c>
      <c r="AA70" s="54">
        <f>INDEX(ProcDataGenPre2012!$AY$9:$BI$22,MATCH($A70,ProcDataGenPre2012!$C$9:$C$22,0),MATCH(AA$65,ProcDataGenPre2012!$AY$5:$BI$5,0))*1000</f>
        <v>474.99999999999977</v>
      </c>
      <c r="AB70" s="54">
        <f>INDEX(ProcDataGenPre2012!$AY$9:$BI$22,MATCH($A70,ProcDataGenPre2012!$C$9:$C$22,0),MATCH(AB$65,ProcDataGenPre2012!$AY$5:$BI$5,0))*1000</f>
        <v>0</v>
      </c>
      <c r="AC70" s="54">
        <f>INDEX(ProcDataGenPre2012!$AY$9:$BJ$22,MATCH($A70,ProcDataGenPre2012!$C$9:$C$22,0),MATCH(AC$65,ProcDataGenPre2012!$AY$5:$BJ$5,0))*1000</f>
        <v>0</v>
      </c>
    </row>
    <row r="71" spans="1:29" x14ac:dyDescent="0.2">
      <c r="A71" s="91" t="s">
        <v>478</v>
      </c>
      <c r="J71" s="54">
        <f>INDEX(EskomCoalNERSACombined!$C$44:$C$56,MATCH(A71,EskomCoalNERSACombined!$B$44:$B$56,0))</f>
        <v>3558</v>
      </c>
      <c r="O71" s="54">
        <v>3558</v>
      </c>
      <c r="Q71" s="54">
        <f>SUMIF(EskomCoalNERSACombined!$B$44:$B$58,A140,EskomCoalNERSACombined!$G$44:$G$58)</f>
        <v>3558</v>
      </c>
      <c r="R71" s="54">
        <f>INDEX(ProcDataGenPre2012!$AY$9:$BI$22,MATCH($A71,ProcDataGenPre2012!$C$9:$C$22,0),MATCH(R$65,ProcDataGenPre2012!$AY$5:$BI$5,0))*1000</f>
        <v>3558</v>
      </c>
      <c r="S71" s="54">
        <f>INDEX(ProcDataGenPre2012!$AY$9:$BI$22,MATCH($A71,ProcDataGenPre2012!$C$9:$C$22,0),MATCH(S$65,ProcDataGenPre2012!$AY$5:$BI$5,0))*1000</f>
        <v>3558</v>
      </c>
      <c r="T71" s="54">
        <f>INDEX(ProcDataGenPre2012!$AY$9:$BI$22,MATCH($A71,ProcDataGenPre2012!$C$9:$C$22,0),MATCH(T$65,ProcDataGenPre2012!$AY$5:$BI$5,0))*1000</f>
        <v>3558</v>
      </c>
      <c r="U71" s="54">
        <f>INDEX(ProcDataGenPre2012!$AY$9:$BI$22,MATCH($A71,ProcDataGenPre2012!$C$9:$C$22,0),MATCH(U$65,ProcDataGenPre2012!$AY$5:$BI$5,0))*1000</f>
        <v>3558</v>
      </c>
      <c r="V71" s="54">
        <f>INDEX(ProcDataGenPre2012!$AY$9:$BI$22,MATCH($A71,ProcDataGenPre2012!$C$9:$C$22,0),MATCH(V$65,ProcDataGenPre2012!$AY$5:$BI$5,0))*1000</f>
        <v>3558</v>
      </c>
      <c r="W71" s="54">
        <f>INDEX(ProcDataGenPre2012!$AY$9:$BI$22,MATCH($A71,ProcDataGenPre2012!$C$9:$C$22,0),MATCH(W$65,ProcDataGenPre2012!$AY$5:$BI$5,0))*1000</f>
        <v>3558</v>
      </c>
      <c r="X71" s="54">
        <f>INDEX(ProcDataGenPre2012!$AY$9:$BI$22,MATCH($A71,ProcDataGenPre2012!$C$9:$C$22,0),MATCH(X$65,ProcDataGenPre2012!$AY$5:$BI$5,0))*1000</f>
        <v>3558</v>
      </c>
      <c r="Y71" s="54">
        <f>INDEX(ProcDataGenPre2012!$AY$9:$BI$22,MATCH($A71,ProcDataGenPre2012!$C$9:$C$22,0),MATCH(Y$65,ProcDataGenPre2012!$AY$5:$BI$5,0))*1000</f>
        <v>3558</v>
      </c>
      <c r="Z71" s="54">
        <f>INDEX(ProcDataGenPre2012!$AY$9:$BI$22,MATCH($A71,ProcDataGenPre2012!$C$9:$C$22,0),MATCH(Z$65,ProcDataGenPre2012!$AY$5:$BI$5,0))*1000</f>
        <v>3558</v>
      </c>
      <c r="AA71" s="54">
        <f>INDEX(ProcDataGenPre2012!$AY$9:$BI$22,MATCH($A71,ProcDataGenPre2012!$C$9:$C$22,0),MATCH(AA$65,ProcDataGenPre2012!$AY$5:$BI$5,0))*1000</f>
        <v>3558</v>
      </c>
      <c r="AB71" s="54">
        <f>INDEX(ProcDataGenPre2012!$AY$9:$BI$22,MATCH($A71,ProcDataGenPre2012!$C$9:$C$22,0),MATCH(AB$65,ProcDataGenPre2012!$AY$5:$BI$5,0))*1000</f>
        <v>3558</v>
      </c>
      <c r="AC71" s="54">
        <f>INDEX(ProcDataGenPre2012!$AY$9:$BJ$22,MATCH($A71,ProcDataGenPre2012!$C$9:$C$22,0),MATCH(AC$65,ProcDataGenPre2012!$AY$5:$BJ$5,0))*1000</f>
        <v>3558</v>
      </c>
    </row>
    <row r="72" spans="1:29" x14ac:dyDescent="0.2">
      <c r="A72" s="91" t="s">
        <v>471</v>
      </c>
      <c r="J72" s="54">
        <f>INDEX(EskomCoalNERSACombined!$C$44:$C$56,MATCH(A72,EskomCoalNERSACombined!$B$44:$B$56,0))</f>
        <v>3690</v>
      </c>
      <c r="O72" s="54">
        <v>3690</v>
      </c>
      <c r="Q72" s="54">
        <f>SUMIF(EskomCoalNERSACombined!$B$44:$B$58,A141,EskomCoalNERSACombined!$G$44:$G$58)</f>
        <v>3690</v>
      </c>
      <c r="R72" s="54">
        <f>INDEX(ProcDataGenPre2012!$AY$9:$BI$22,MATCH($A72,ProcDataGenPre2012!$C$9:$C$22,0),MATCH(R$65,ProcDataGenPre2012!$AY$5:$BI$5,0))*1000</f>
        <v>3690</v>
      </c>
      <c r="S72" s="54">
        <f>INDEX(ProcDataGenPre2012!$AY$9:$BI$22,MATCH($A72,ProcDataGenPre2012!$C$9:$C$22,0),MATCH(S$65,ProcDataGenPre2012!$AY$5:$BI$5,0))*1000</f>
        <v>3690</v>
      </c>
      <c r="T72" s="54">
        <f>INDEX(ProcDataGenPre2012!$AY$9:$BI$22,MATCH($A72,ProcDataGenPre2012!$C$9:$C$22,0),MATCH(T$65,ProcDataGenPre2012!$AY$5:$BI$5,0))*1000</f>
        <v>3690</v>
      </c>
      <c r="U72" s="54">
        <f>INDEX(ProcDataGenPre2012!$AY$9:$BI$22,MATCH($A72,ProcDataGenPre2012!$C$9:$C$22,0),MATCH(U$65,ProcDataGenPre2012!$AY$5:$BI$5,0))*1000</f>
        <v>3690</v>
      </c>
      <c r="V72" s="54">
        <f>INDEX(ProcDataGenPre2012!$AY$9:$BI$22,MATCH($A72,ProcDataGenPre2012!$C$9:$C$22,0),MATCH(V$65,ProcDataGenPre2012!$AY$5:$BI$5,0))*1000</f>
        <v>3690</v>
      </c>
      <c r="W72" s="54">
        <f>INDEX(ProcDataGenPre2012!$AY$9:$BI$22,MATCH($A72,ProcDataGenPre2012!$C$9:$C$22,0),MATCH(W$65,ProcDataGenPre2012!$AY$5:$BI$5,0))*1000</f>
        <v>3690</v>
      </c>
      <c r="X72" s="54">
        <f>INDEX(ProcDataGenPre2012!$AY$9:$BI$22,MATCH($A72,ProcDataGenPre2012!$C$9:$C$22,0),MATCH(X$65,ProcDataGenPre2012!$AY$5:$BI$5,0))*1000</f>
        <v>3690</v>
      </c>
      <c r="Y72" s="54">
        <f>INDEX(ProcDataGenPre2012!$AY$9:$BI$22,MATCH($A72,ProcDataGenPre2012!$C$9:$C$22,0),MATCH(Y$65,ProcDataGenPre2012!$AY$5:$BI$5,0))*1000</f>
        <v>3690</v>
      </c>
      <c r="Z72" s="54">
        <f>INDEX(ProcDataGenPre2012!$AY$9:$BI$22,MATCH($A72,ProcDataGenPre2012!$C$9:$C$22,0),MATCH(Z$65,ProcDataGenPre2012!$AY$5:$BI$5,0))*1000</f>
        <v>3690</v>
      </c>
      <c r="AA72" s="54">
        <f>INDEX(ProcDataGenPre2012!$AY$9:$BI$22,MATCH($A72,ProcDataGenPre2012!$C$9:$C$22,0),MATCH(AA$65,ProcDataGenPre2012!$AY$5:$BI$5,0))*1000</f>
        <v>3690</v>
      </c>
      <c r="AB72" s="54">
        <f>INDEX(ProcDataGenPre2012!$AY$9:$BI$22,MATCH($A72,ProcDataGenPre2012!$C$9:$C$22,0),MATCH(AB$65,ProcDataGenPre2012!$AY$5:$BI$5,0))*1000</f>
        <v>3690</v>
      </c>
      <c r="AC72" s="54">
        <f>INDEX(ProcDataGenPre2012!$AY$9:$BJ$22,MATCH($A72,ProcDataGenPre2012!$C$9:$C$22,0),MATCH(AC$65,ProcDataGenPre2012!$AY$5:$BJ$5,0))*1000</f>
        <v>3690</v>
      </c>
    </row>
    <row r="73" spans="1:29" x14ac:dyDescent="0.2">
      <c r="A73" s="91" t="s">
        <v>444</v>
      </c>
      <c r="J73" s="54">
        <f>INDEX(EskomCoalNERSACombined!$C$44:$C$56,MATCH(A73,EskomCoalNERSACombined!$B$44:$B$56,0))</f>
        <v>3843</v>
      </c>
      <c r="O73" s="54">
        <v>3843</v>
      </c>
      <c r="Q73" s="54">
        <f>SUMIF(EskomCoalNERSACombined!$B$44:$B$58,A142,EskomCoalNERSACombined!$G$44:$G$58)</f>
        <v>3843</v>
      </c>
      <c r="R73" s="54">
        <f>INDEX(ProcDataGenPre2012!$AY$9:$BI$22,MATCH("Majuba dry",ProcDataGenPre2012!$C$9:$C$22,0),MATCH(R$65,ProcDataGenPre2012!$AY$5:$BI$5,0))*1000+INDEX(ProcDataGenPre2012!$AY$9:$BI$22,MATCH("Majuba wet",ProcDataGenPre2012!$C$9:$C$22,0),MATCH(R$65,ProcDataGenPre2012!$AY$5:$BI$5,0))*1000</f>
        <v>3843</v>
      </c>
      <c r="S73" s="54">
        <f>INDEX(ProcDataGenPre2012!$AY$9:$BI$22,MATCH("Majuba dry",ProcDataGenPre2012!$C$9:$C$22,0),MATCH(S$65,ProcDataGenPre2012!$AY$5:$BI$5,0))*1000+INDEX(ProcDataGenPre2012!$AY$9:$BI$22,MATCH("Majuba wet",ProcDataGenPre2012!$C$9:$C$22,0),MATCH(S$65,ProcDataGenPre2012!$AY$5:$BI$5,0))*1000</f>
        <v>3843</v>
      </c>
      <c r="T73" s="54">
        <f>INDEX(ProcDataGenPre2012!$AY$9:$BI$22,MATCH("Majuba dry",ProcDataGenPre2012!$C$9:$C$22,0),MATCH(T$65,ProcDataGenPre2012!$AY$5:$BI$5,0))*1000+INDEX(ProcDataGenPre2012!$AY$9:$BI$22,MATCH("Majuba wet",ProcDataGenPre2012!$C$9:$C$22,0),MATCH(T$65,ProcDataGenPre2012!$AY$5:$BI$5,0))*1000</f>
        <v>3843</v>
      </c>
      <c r="U73" s="54">
        <f>INDEX(ProcDataGenPre2012!$AY$9:$BI$22,MATCH("Majuba dry",ProcDataGenPre2012!$C$9:$C$22,0),MATCH(U$65,ProcDataGenPre2012!$AY$5:$BI$5,0))*1000+INDEX(ProcDataGenPre2012!$AY$9:$BI$22,MATCH("Majuba wet",ProcDataGenPre2012!$C$9:$C$22,0),MATCH(U$65,ProcDataGenPre2012!$AY$5:$BI$5,0))*1000</f>
        <v>3843</v>
      </c>
      <c r="V73" s="54">
        <f>INDEX(ProcDataGenPre2012!$AY$9:$BI$22,MATCH("Majuba dry",ProcDataGenPre2012!$C$9:$C$22,0),MATCH(V$65,ProcDataGenPre2012!$AY$5:$BI$5,0))*1000+INDEX(ProcDataGenPre2012!$AY$9:$BI$22,MATCH("Majuba wet",ProcDataGenPre2012!$C$9:$C$22,0),MATCH(V$65,ProcDataGenPre2012!$AY$5:$BI$5,0))*1000</f>
        <v>3843</v>
      </c>
      <c r="W73" s="54">
        <f>INDEX(ProcDataGenPre2012!$AY$9:$BI$22,MATCH("Majuba dry",ProcDataGenPre2012!$C$9:$C$22,0),MATCH(W$65,ProcDataGenPre2012!$AY$5:$BI$5,0))*1000+INDEX(ProcDataGenPre2012!$AY$9:$BI$22,MATCH("Majuba wet",ProcDataGenPre2012!$C$9:$C$22,0),MATCH(W$65,ProcDataGenPre2012!$AY$5:$BI$5,0))*1000</f>
        <v>3843</v>
      </c>
      <c r="X73" s="54">
        <f>INDEX(ProcDataGenPre2012!$AY$9:$BI$22,MATCH("Majuba dry",ProcDataGenPre2012!$C$9:$C$22,0),MATCH(X$65,ProcDataGenPre2012!$AY$5:$BI$5,0))*1000+INDEX(ProcDataGenPre2012!$AY$9:$BI$22,MATCH("Majuba wet",ProcDataGenPre2012!$C$9:$C$22,0),MATCH(X$65,ProcDataGenPre2012!$AY$5:$BI$5,0))*1000</f>
        <v>3843</v>
      </c>
      <c r="Y73" s="54">
        <f>INDEX(ProcDataGenPre2012!$AY$9:$BI$22,MATCH("Majuba dry",ProcDataGenPre2012!$C$9:$C$22,0),MATCH(Y$65,ProcDataGenPre2012!$AY$5:$BI$5,0))*1000+INDEX(ProcDataGenPre2012!$AY$9:$BI$22,MATCH("Majuba wet",ProcDataGenPre2012!$C$9:$C$22,0),MATCH(Y$65,ProcDataGenPre2012!$AY$5:$BI$5,0))*1000</f>
        <v>3843</v>
      </c>
      <c r="Z73" s="54">
        <f>INDEX(ProcDataGenPre2012!$AY$9:$BI$22,MATCH("Majuba dry",ProcDataGenPre2012!$C$9:$C$22,0),MATCH(Z$65,ProcDataGenPre2012!$AY$5:$BI$5,0))*1000+INDEX(ProcDataGenPre2012!$AY$9:$BI$22,MATCH("Majuba wet",ProcDataGenPre2012!$C$9:$C$22,0),MATCH(Z$65,ProcDataGenPre2012!$AY$5:$BI$5,0))*1000</f>
        <v>3843</v>
      </c>
      <c r="AA73" s="54">
        <f>INDEX(ProcDataGenPre2012!$AY$9:$BI$22,MATCH("Majuba dry",ProcDataGenPre2012!$C$9:$C$22,0),MATCH(AA$65,ProcDataGenPre2012!$AY$5:$BI$5,0))*1000+INDEX(ProcDataGenPre2012!$AY$9:$BI$22,MATCH("Majuba wet",ProcDataGenPre2012!$C$9:$C$22,0),MATCH(AA$65,ProcDataGenPre2012!$AY$5:$BI$5,0))*1000</f>
        <v>3843</v>
      </c>
      <c r="AB73" s="54">
        <f>INDEX(ProcDataGenPre2012!$AY$9:$BI$22,MATCH("Majuba dry",ProcDataGenPre2012!$C$9:$C$22,0),MATCH(AB$65,ProcDataGenPre2012!$AY$5:$BI$5,0))*1000+INDEX(ProcDataGenPre2012!$AY$9:$BI$22,MATCH("Majuba wet",ProcDataGenPre2012!$C$9:$C$22,0),MATCH(AB$65,ProcDataGenPre2012!$AY$5:$BI$5,0))*1000</f>
        <v>3843</v>
      </c>
      <c r="AC73" s="54">
        <f>INDEX(ProcDataGenPre2012!$AY$9:$BJ$22,MATCH("Majuba dry",ProcDataGenPre2012!$C$9:$C$22,0),MATCH(AC$65,ProcDataGenPre2012!$AY$5:$BJ$5,0))*1000+INDEX(ProcDataGenPre2012!$AY$9:$BJ$22,MATCH("Majuba wet",ProcDataGenPre2012!$C$9:$C$22,0),MATCH(AC$65,ProcDataGenPre2012!$AY$5:$BJ$5,0))*1000</f>
        <v>3843</v>
      </c>
    </row>
    <row r="74" spans="1:29" x14ac:dyDescent="0.2">
      <c r="A74" s="91" t="s">
        <v>450</v>
      </c>
      <c r="J74" s="54">
        <f>INDEX(EskomCoalNERSACombined!$C$44:$C$56,MATCH(A74,EskomCoalNERSACombined!$B$44:$B$56,0))</f>
        <v>3450</v>
      </c>
      <c r="O74" s="54">
        <v>3450</v>
      </c>
      <c r="Q74" s="54">
        <f>SUMIF(EskomCoalNERSACombined!$B$44:$B$58,A143,EskomCoalNERSACombined!$G$44:$G$58)</f>
        <v>3450</v>
      </c>
      <c r="R74" s="54">
        <f>INDEX(ProcDataGenPre2012!$AY$9:$BI$22,MATCH("Majuba dry",ProcDataGenPre2012!$C$9:$C$22,0),MATCH(R$65,ProcDataGenPre2012!$AY$5:$BI$5,0))*1000+INDEX(ProcDataGenPre2012!$AY$9:$BI$22,MATCH("Majuba wet",ProcDataGenPre2012!$C$9:$C$22,0),MATCH(R$65,ProcDataGenPre2012!$AY$5:$BI$5,0))*1000</f>
        <v>3843</v>
      </c>
      <c r="S74" s="54">
        <f>INDEX(ProcDataGenPre2012!$AY$9:$BI$22,MATCH($A74,ProcDataGenPre2012!$C$9:$C$22,0),MATCH(S$65,ProcDataGenPre2012!$AY$5:$BI$5,0))*1000</f>
        <v>3450</v>
      </c>
      <c r="T74" s="54">
        <f>INDEX(ProcDataGenPre2012!$AY$9:$BI$22,MATCH($A74,ProcDataGenPre2012!$C$9:$C$22,0),MATCH(T$65,ProcDataGenPre2012!$AY$5:$BI$5,0))*1000</f>
        <v>3450</v>
      </c>
      <c r="U74" s="54">
        <f>INDEX(ProcDataGenPre2012!$AY$9:$BI$22,MATCH($A74,ProcDataGenPre2012!$C$9:$C$22,0),MATCH(U$65,ProcDataGenPre2012!$AY$5:$BI$5,0))*1000</f>
        <v>3450</v>
      </c>
      <c r="V74" s="54">
        <f>INDEX(ProcDataGenPre2012!$AY$9:$BI$22,MATCH($A74,ProcDataGenPre2012!$C$9:$C$22,0),MATCH(V$65,ProcDataGenPre2012!$AY$5:$BI$5,0))*1000</f>
        <v>3450</v>
      </c>
      <c r="W74" s="54">
        <f>INDEX(ProcDataGenPre2012!$AY$9:$BI$22,MATCH($A74,ProcDataGenPre2012!$C$9:$C$22,0),MATCH(W$65,ProcDataGenPre2012!$AY$5:$BI$5,0))*1000</f>
        <v>3450</v>
      </c>
      <c r="X74" s="54">
        <f>INDEX(ProcDataGenPre2012!$AY$9:$BI$22,MATCH($A74,ProcDataGenPre2012!$C$9:$C$22,0),MATCH(X$65,ProcDataGenPre2012!$AY$5:$BI$5,0))*1000</f>
        <v>3450</v>
      </c>
      <c r="Y74" s="54">
        <f>INDEX(ProcDataGenPre2012!$AY$9:$BI$22,MATCH($A74,ProcDataGenPre2012!$C$9:$C$22,0),MATCH(Y$65,ProcDataGenPre2012!$AY$5:$BI$5,0))*1000</f>
        <v>3450</v>
      </c>
      <c r="Z74" s="54">
        <f>INDEX(ProcDataGenPre2012!$AY$9:$BI$22,MATCH($A74,ProcDataGenPre2012!$C$9:$C$22,0),MATCH(Z$65,ProcDataGenPre2012!$AY$5:$BI$5,0))*1000</f>
        <v>3450</v>
      </c>
      <c r="AA74" s="54">
        <f>INDEX(ProcDataGenPre2012!$AY$9:$BI$22,MATCH($A74,ProcDataGenPre2012!$C$9:$C$22,0),MATCH(AA$65,ProcDataGenPre2012!$AY$5:$BI$5,0))*1000</f>
        <v>3450</v>
      </c>
      <c r="AB74" s="54">
        <f>INDEX(ProcDataGenPre2012!$AY$9:$BI$22,MATCH($A74,ProcDataGenPre2012!$C$9:$C$22,0),MATCH(AB$65,ProcDataGenPre2012!$AY$5:$BI$5,0))*1000</f>
        <v>2875</v>
      </c>
      <c r="AC74" s="54">
        <f>INDEX(ProcDataGenPre2012!$AY$9:$BJ$22,MATCH($A74,ProcDataGenPre2012!$C$9:$C$22,0),MATCH(AC$65,ProcDataGenPre2012!$AY$5:$BJ$5,0))*1000</f>
        <v>1724.9999999999998</v>
      </c>
    </row>
    <row r="75" spans="1:29" x14ac:dyDescent="0.2">
      <c r="A75" s="91" t="s">
        <v>463</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455</v>
      </c>
      <c r="J76" s="54">
        <f>INDEX(EskomCoalNERSACombined!$C$44:$C$56,MATCH(A76,EskomCoalNERSACombined!$B$44:$B$56,0))</f>
        <v>3510</v>
      </c>
      <c r="O76" s="54">
        <v>3510</v>
      </c>
      <c r="Q76" s="54">
        <f>SUMIF(EskomCoalNERSACombined!$B$44:$B$58,A145,EskomCoalNERSACombined!$G$44:$G$58)</f>
        <v>3510</v>
      </c>
      <c r="R76" s="54">
        <f>INDEX(ProcDataGenPre2012!$AY$9:$BA$22,MATCH($A76,ProcDataGenPre2012!$C$9:$C$22,0),MATCH(R$65,ProcDataGenPre2012!$AY$5:$BI$5,0))*1000</f>
        <v>3510</v>
      </c>
      <c r="S76" s="54">
        <f>INDEX(ProcDataGenPre2012!$AY$9:$BI$22,MATCH($A76,ProcDataGenPre2012!$C$9:$C$22,0),MATCH(S$65,ProcDataGenPre2012!$AY$5:$BI$5,0))*1000</f>
        <v>3510</v>
      </c>
      <c r="T76" s="54">
        <f>INDEX(ProcDataGenPre2012!$AY$9:$BI$22,MATCH($A76,ProcDataGenPre2012!$C$9:$C$22,0),MATCH(T$65,ProcDataGenPre2012!$AY$5:$BI$5,0))*1000</f>
        <v>3510</v>
      </c>
      <c r="U76" s="54">
        <f>INDEX(ProcDataGenPre2012!$AY$9:$BI$22,MATCH($A76,ProcDataGenPre2012!$C$9:$C$22,0),MATCH(U$65,ProcDataGenPre2012!$AY$5:$BI$5,0))*1000</f>
        <v>3510</v>
      </c>
      <c r="V76" s="54">
        <f>INDEX(ProcDataGenPre2012!$AY$9:$BI$22,MATCH($A76,ProcDataGenPre2012!$C$9:$C$22,0),MATCH(V$65,ProcDataGenPre2012!$AY$5:$BI$5,0))*1000</f>
        <v>3510</v>
      </c>
      <c r="W76" s="54">
        <f>INDEX(ProcDataGenPre2012!$AY$9:$BI$22,MATCH($A76,ProcDataGenPre2012!$C$9:$C$22,0),MATCH(W$65,ProcDataGenPre2012!$AY$5:$BI$5,0))*1000</f>
        <v>3510</v>
      </c>
      <c r="X76" s="54">
        <f>INDEX(ProcDataGenPre2012!$AY$9:$BI$22,MATCH($A76,ProcDataGenPre2012!$C$9:$C$22,0),MATCH(X$65,ProcDataGenPre2012!$AY$5:$BI$5,0))*1000</f>
        <v>3510</v>
      </c>
      <c r="Y76" s="54">
        <f>INDEX(ProcDataGenPre2012!$AY$9:$BI$22,MATCH($A76,ProcDataGenPre2012!$C$9:$C$22,0),MATCH(Y$65,ProcDataGenPre2012!$AY$5:$BI$5,0))*1000</f>
        <v>3510</v>
      </c>
      <c r="Z76" s="54">
        <f>INDEX(ProcDataGenPre2012!$AY$9:$BI$22,MATCH($A76,ProcDataGenPre2012!$C$9:$C$22,0),MATCH(Z$65,ProcDataGenPre2012!$AY$5:$BI$5,0))*1000</f>
        <v>3510</v>
      </c>
      <c r="AA76" s="54">
        <f>INDEX(ProcDataGenPre2012!$AY$9:$BI$22,MATCH($A76,ProcDataGenPre2012!$C$9:$C$22,0),MATCH(AA$65,ProcDataGenPre2012!$AY$5:$BI$5,0))*1000</f>
        <v>3510</v>
      </c>
      <c r="AB76" s="54">
        <f>INDEX(ProcDataGenPre2012!$AY$9:$BI$22,MATCH($A76,ProcDataGenPre2012!$C$9:$C$22,0),MATCH(AB$65,ProcDataGenPre2012!$AY$5:$BI$5,0))*1000</f>
        <v>0</v>
      </c>
      <c r="AC76" s="54">
        <f>INDEX(ProcDataGenPre2012!$AY$9:$BJ$22,MATCH($A76,ProcDataGenPre2012!$C$9:$C$22,0),MATCH(AC$65,ProcDataGenPre2012!$AY$5:$BJ$5,0))*1000</f>
        <v>0</v>
      </c>
    </row>
    <row r="77" spans="1:29" x14ac:dyDescent="0.2">
      <c r="A77" s="91" t="s">
        <v>551</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507</v>
      </c>
      <c r="J78" s="54">
        <f>INDEX(EskomCoalNERSACombined!$C$44:$C$56,MATCH(A78,EskomCoalNERSACombined!$B$44:$B$56,0))</f>
        <v>1450</v>
      </c>
      <c r="O78" s="54">
        <v>1481</v>
      </c>
      <c r="Q78" s="54">
        <f>SUMIF(EskomCoalNERSACombined!$B$44:$B$58,A146,EskomCoalNERSACombined!$G$44:$G$58)</f>
        <v>1481</v>
      </c>
      <c r="R78" s="54">
        <f>INDEX(ProcDataGenPre2012!$AY$9:$BA$22,MATCH($A78,ProcDataGenPre2012!$C$9:$C$22,0),MATCH(R$65,ProcDataGenPre2012!$AY$5:$BI$5,0))*1000</f>
        <v>1481</v>
      </c>
      <c r="S78" s="54">
        <f>INDEX(ProcDataGenPre2012!$AY$9:$BI$22,MATCH($A78,ProcDataGenPre2012!$C$9:$C$22,0),MATCH(S$65,ProcDataGenPre2012!$AY$5:$BI$5,0))*1000</f>
        <v>1481</v>
      </c>
      <c r="T78" s="54">
        <f>INDEX(ProcDataGenPre2012!$AY$9:$BI$22,MATCH($A78,ProcDataGenPre2012!$C$9:$C$22,0),MATCH(T$65,ProcDataGenPre2012!$AY$5:$BI$5,0))*1000</f>
        <v>1481</v>
      </c>
      <c r="U78" s="54">
        <f>INDEX(ProcDataGenPre2012!$AY$9:$BI$22,MATCH($A78,ProcDataGenPre2012!$C$9:$C$22,0),MATCH(U$65,ProcDataGenPre2012!$AY$5:$BI$5,0))*1000</f>
        <v>1110.7500000000002</v>
      </c>
      <c r="V78" s="54">
        <f>INDEX(ProcDataGenPre2012!$AY$9:$BI$22,MATCH($A78,ProcDataGenPre2012!$C$9:$C$22,0),MATCH(V$65,ProcDataGenPre2012!$AY$5:$BI$5,0))*1000</f>
        <v>555.37500000000011</v>
      </c>
      <c r="W78" s="54">
        <f>INDEX(ProcDataGenPre2012!$AY$9:$BI$22,MATCH($A78,ProcDataGenPre2012!$C$9:$C$22,0),MATCH(W$65,ProcDataGenPre2012!$AY$5:$BI$5,0))*1000</f>
        <v>0</v>
      </c>
      <c r="X78" s="54">
        <f>INDEX(ProcDataGenPre2012!$AY$9:$BI$22,MATCH($A78,ProcDataGenPre2012!$C$9:$C$22,0),MATCH(X$65,ProcDataGenPre2012!$AY$5:$BI$5,0))*1000</f>
        <v>0</v>
      </c>
      <c r="Y78" s="54">
        <f>INDEX(ProcDataGenPre2012!$AY$9:$BI$22,MATCH($A78,ProcDataGenPre2012!$C$9:$C$22,0),MATCH(Y$65,ProcDataGenPre2012!$AY$5:$BI$5,0))*1000</f>
        <v>0</v>
      </c>
      <c r="Z78" s="54">
        <f>INDEX(ProcDataGenPre2012!$AY$9:$BI$22,MATCH($A78,ProcDataGenPre2012!$C$9:$C$22,0),MATCH(Z$65,ProcDataGenPre2012!$AY$5:$BI$5,0))*1000</f>
        <v>0</v>
      </c>
      <c r="AA78" s="54">
        <f>INDEX(ProcDataGenPre2012!$AY$9:$BI$22,MATCH($A78,ProcDataGenPre2012!$C$9:$C$22,0),MATCH(AA$65,ProcDataGenPre2012!$AY$5:$BI$5,0))*1000</f>
        <v>0</v>
      </c>
      <c r="AB78" s="54">
        <f>INDEX(ProcDataGenPre2012!$AY$9:$BI$22,MATCH($A78,ProcDataGenPre2012!$C$9:$C$22,0),MATCH(AB$65,ProcDataGenPre2012!$AY$5:$BI$5,0))*1000</f>
        <v>0</v>
      </c>
      <c r="AC78" s="54">
        <f>INDEX(ProcDataGenPre2012!$AY$9:$BJ$22,MATCH($A78,ProcDataGenPre2012!$C$9:$C$22,0),MATCH(AC$65,ProcDataGenPre2012!$AY$5:$BJ$5,0))*1000</f>
        <v>0</v>
      </c>
    </row>
    <row r="79" spans="1:29" x14ac:dyDescent="0.2">
      <c r="A79" s="91" t="s">
        <v>442</v>
      </c>
      <c r="J79" s="54">
        <f>INDEX(EskomCoalNERSACombined!$C$44:$C$56,MATCH(A79,EskomCoalNERSACombined!$B$44:$B$56,0))</f>
        <v>1090</v>
      </c>
      <c r="O79" s="54">
        <v>1120</v>
      </c>
      <c r="Q79" s="54">
        <f>SUMIF(EskomCoalNERSACombined!$B$44:$B$58,A147,EskomCoalNERSACombined!$G$44:$G$58)</f>
        <v>570</v>
      </c>
      <c r="R79" s="54">
        <f>INDEX(ProcDataGenPre2012!$AY$9:$BA$22,MATCH($A79,ProcDataGenPre2012!$C$9:$C$22,0),MATCH(R$65,ProcDataGenPre2012!$AY$5:$BI$5,0))*1000</f>
        <v>570</v>
      </c>
      <c r="S79" s="54">
        <f>INDEX(ProcDataGenPre2012!$AY$9:$BI$22,MATCH($A79,ProcDataGenPre2012!$C$9:$C$22,0),MATCH(S$65,ProcDataGenPre2012!$AY$5:$BI$5,0))*1000</f>
        <v>570</v>
      </c>
      <c r="T79" s="54">
        <f>INDEX(ProcDataGenPre2012!$AY$9:$BI$22,MATCH($A79,ProcDataGenPre2012!$C$9:$C$22,0),MATCH(T$65,ProcDataGenPre2012!$AY$5:$BI$5,0))*1000</f>
        <v>570</v>
      </c>
      <c r="U79" s="54">
        <f>INDEX(ProcDataGenPre2012!$AY$9:$BI$22,MATCH($A79,ProcDataGenPre2012!$C$9:$C$22,0),MATCH(U$65,ProcDataGenPre2012!$AY$5:$BI$5,0))*1000</f>
        <v>570</v>
      </c>
      <c r="V79" s="54">
        <f>INDEX(ProcDataGenPre2012!$AY$9:$BI$22,MATCH($A79,ProcDataGenPre2012!$C$9:$C$22,0),MATCH(V$65,ProcDataGenPre2012!$AY$5:$BI$5,0))*1000</f>
        <v>570</v>
      </c>
      <c r="W79" s="54">
        <f>INDEX(ProcDataGenPre2012!$AY$9:$BI$22,MATCH($A79,ProcDataGenPre2012!$C$9:$C$22,0),MATCH(W$65,ProcDataGenPre2012!$AY$5:$BI$5,0))*1000</f>
        <v>570</v>
      </c>
      <c r="X79" s="54">
        <f>INDEX(ProcDataGenPre2012!$AY$9:$BI$22,MATCH($A79,ProcDataGenPre2012!$C$9:$C$22,0),MATCH(X$65,ProcDataGenPre2012!$AY$5:$BI$5,0))*1000</f>
        <v>190</v>
      </c>
      <c r="Y79" s="54">
        <f>INDEX(ProcDataGenPre2012!$AY$9:$BI$22,MATCH($A79,ProcDataGenPre2012!$C$9:$C$22,0),MATCH(Y$65,ProcDataGenPre2012!$AY$5:$BI$5,0))*1000</f>
        <v>0</v>
      </c>
      <c r="Z79" s="54">
        <f>INDEX(ProcDataGenPre2012!$AY$9:$BI$22,MATCH($A79,ProcDataGenPre2012!$C$9:$C$22,0),MATCH(Z$65,ProcDataGenPre2012!$AY$5:$BI$5,0))*1000</f>
        <v>0</v>
      </c>
      <c r="AA79" s="54">
        <f>INDEX(ProcDataGenPre2012!$AY$9:$BI$22,MATCH($A79,ProcDataGenPre2012!$C$9:$C$22,0),MATCH(AA$65,ProcDataGenPre2012!$AY$5:$BI$5,0))*1000</f>
        <v>0</v>
      </c>
      <c r="AB79" s="54">
        <f>INDEX(ProcDataGenPre2012!$AY$9:$BI$22,MATCH($A79,ProcDataGenPre2012!$C$9:$C$22,0),MATCH(AB$65,ProcDataGenPre2012!$AY$5:$BI$5,0))*1000</f>
        <v>0</v>
      </c>
      <c r="AC79" s="54">
        <f>INDEX(ProcDataGenPre2012!$AY$9:$BJ$22,MATCH($A79,ProcDataGenPre2012!$C$9:$C$22,0),MATCH(AC$65,ProcDataGenPre2012!$AY$5:$BJ$5,0))*1000</f>
        <v>0</v>
      </c>
    </row>
    <row r="80" spans="1:29" x14ac:dyDescent="0.2">
      <c r="A80" s="91" t="s">
        <v>443</v>
      </c>
      <c r="J80" s="54">
        <f>INDEX(EskomCoalNERSACombined!$C$44:$C$56,MATCH(A80,EskomCoalNERSACombined!$B$44:$B$56,0))</f>
        <v>791</v>
      </c>
      <c r="O80" s="54">
        <v>904</v>
      </c>
      <c r="Q80" s="54">
        <f>SUMIF(EskomCoalNERSACombined!$B$44:$B$58,A148,EskomCoalNERSACombined!$G$44:$G$58)</f>
        <v>410</v>
      </c>
      <c r="R80" s="54">
        <f>INDEX(ProcDataGenPre2012!$AY$9:$BA$22,MATCH($A80,ProcDataGenPre2012!$C$9:$C$22,0),MATCH(R$65,ProcDataGenPre2012!$AY$5:$BI$5,0))*1000</f>
        <v>205</v>
      </c>
      <c r="S80" s="54">
        <f>INDEX(ProcDataGenPre2012!$AY$9:$BI$22,MATCH($A80,ProcDataGenPre2012!$C$9:$C$22,0),MATCH(S$65,ProcDataGenPre2012!$AY$5:$BI$5,0))*1000</f>
        <v>102.5</v>
      </c>
      <c r="T80" s="54">
        <f>INDEX(ProcDataGenPre2012!$AY$9:$BI$22,MATCH($A80,ProcDataGenPre2012!$C$9:$C$22,0),MATCH(T$65,ProcDataGenPre2012!$AY$5:$BI$5,0))*1000</f>
        <v>0</v>
      </c>
      <c r="U80" s="54">
        <f>INDEX(ProcDataGenPre2012!$AY$9:$BI$22,MATCH($A80,ProcDataGenPre2012!$C$9:$C$22,0),MATCH(U$65,ProcDataGenPre2012!$AY$5:$BI$5,0))*1000</f>
        <v>0</v>
      </c>
      <c r="V80" s="54">
        <f>INDEX(ProcDataGenPre2012!$AY$9:$BI$22,MATCH($A80,ProcDataGenPre2012!$C$9:$C$22,0),MATCH(V$65,ProcDataGenPre2012!$AY$5:$BI$5,0))*1000</f>
        <v>0</v>
      </c>
      <c r="W80" s="54">
        <f>INDEX(ProcDataGenPre2012!$AY$9:$BI$22,MATCH($A80,ProcDataGenPre2012!$C$9:$C$22,0),MATCH(W$65,ProcDataGenPre2012!$AY$5:$BI$5,0))*1000</f>
        <v>0</v>
      </c>
      <c r="X80" s="54">
        <f>INDEX(ProcDataGenPre2012!$AY$9:$BI$22,MATCH($A80,ProcDataGenPre2012!$C$9:$C$22,0),MATCH(X$65,ProcDataGenPre2012!$AY$5:$BI$5,0))*1000</f>
        <v>0</v>
      </c>
      <c r="Y80" s="54">
        <f>INDEX(ProcDataGenPre2012!$AY$9:$BI$22,MATCH($A80,ProcDataGenPre2012!$C$9:$C$22,0),MATCH(Y$65,ProcDataGenPre2012!$AY$5:$BI$5,0))*1000</f>
        <v>0</v>
      </c>
      <c r="Z80" s="54">
        <f>INDEX(ProcDataGenPre2012!$AY$9:$BI$22,MATCH($A80,ProcDataGenPre2012!$C$9:$C$22,0),MATCH(Z$65,ProcDataGenPre2012!$AY$5:$BI$5,0))*1000</f>
        <v>0</v>
      </c>
      <c r="AA80" s="54">
        <f>INDEX(ProcDataGenPre2012!$AY$9:$BI$22,MATCH($A80,ProcDataGenPre2012!$C$9:$C$22,0),MATCH(AA$65,ProcDataGenPre2012!$AY$5:$BI$5,0))*1000</f>
        <v>0</v>
      </c>
      <c r="AB80" s="54">
        <f>INDEX(ProcDataGenPre2012!$AY$9:$BI$22,MATCH($A80,ProcDataGenPre2012!$C$9:$C$22,0),MATCH(AB$65,ProcDataGenPre2012!$AY$5:$BI$5,0))*1000</f>
        <v>0</v>
      </c>
      <c r="AC80" s="54">
        <f>INDEX(ProcDataGenPre2012!$AY$9:$BJ$22,MATCH($A80,ProcDataGenPre2012!$C$9:$C$22,0),MATCH(AC$65,ProcDataGenPre2012!$AY$5:$BJ$5,0))*1000</f>
        <v>0</v>
      </c>
    </row>
    <row r="81" spans="1:29" x14ac:dyDescent="0.2">
      <c r="A81" s="91" t="s">
        <v>578</v>
      </c>
      <c r="J81" s="54"/>
      <c r="O81" s="54"/>
      <c r="Q81" s="54"/>
      <c r="R81" s="351">
        <f>SUM(R66:R80)</f>
        <v>38091</v>
      </c>
      <c r="S81" s="351">
        <f t="shared" ref="S81:AC81" si="6">SUM(S66:S80)</f>
        <v>41706.78571428571</v>
      </c>
      <c r="T81" s="351">
        <f t="shared" si="6"/>
        <v>41604.28571428571</v>
      </c>
      <c r="U81" s="351">
        <f t="shared" si="6"/>
        <v>41760.321428571428</v>
      </c>
      <c r="V81" s="351">
        <f t="shared" si="6"/>
        <v>41020.232142857145</v>
      </c>
      <c r="W81" s="351">
        <f t="shared" si="6"/>
        <v>39726</v>
      </c>
      <c r="X81" s="351">
        <f t="shared" si="6"/>
        <v>38127</v>
      </c>
      <c r="Y81" s="351">
        <f t="shared" si="6"/>
        <v>36718</v>
      </c>
      <c r="Z81" s="351">
        <f t="shared" si="6"/>
        <v>36243</v>
      </c>
      <c r="AA81" s="351">
        <f t="shared" si="6"/>
        <v>34549</v>
      </c>
      <c r="AB81" s="351">
        <f t="shared" si="6"/>
        <v>29989</v>
      </c>
      <c r="AC81" s="351">
        <f t="shared" si="6"/>
        <v>27689</v>
      </c>
    </row>
    <row r="82" spans="1:29" x14ac:dyDescent="0.2">
      <c r="A82" s="91" t="s">
        <v>577</v>
      </c>
      <c r="B82" s="87" t="str">
        <f>ProcDataGenPre2012!$C$29</f>
        <v>Nuclear Existing</v>
      </c>
      <c r="J82" s="54"/>
      <c r="R82" s="54">
        <f>INDEX(ProcDataGenPre2012!$AY$9:$BI$32,MATCH($B82,ProcDataGenPre2012!$C$9:$C$32,0),MATCH(R$65,ProcDataGenPre2012!$AY$5:$BI$5,0))*1000</f>
        <v>1860</v>
      </c>
      <c r="S82" s="54">
        <f>INDEX(ProcDataGenPre2012!$AY$9:$BI$32,MATCH($B82,ProcDataGenPre2012!$C$9:$C$32,0),MATCH(S$65,ProcDataGenPre2012!$AY$5:$BI$5,0))*1000</f>
        <v>1860</v>
      </c>
      <c r="T82" s="54">
        <f>INDEX(ProcDataGenPre2012!$AY$9:$BI$32,MATCH($B82,ProcDataGenPre2012!$C$9:$C$32,0),MATCH(T$65,ProcDataGenPre2012!$AY$5:$BI$5,0))*1000</f>
        <v>1860</v>
      </c>
      <c r="U82" s="54">
        <f>INDEX(ProcDataGenPre2012!$AY$9:$BI$32,MATCH($B82,ProcDataGenPre2012!$C$9:$C$32,0),MATCH(U$65,ProcDataGenPre2012!$AY$5:$BI$5,0))*1000</f>
        <v>1860</v>
      </c>
      <c r="V82" s="54">
        <f>INDEX(ProcDataGenPre2012!$AY$9:$BI$32,MATCH($B82,ProcDataGenPre2012!$C$9:$C$32,0),MATCH(V$65,ProcDataGenPre2012!$AY$5:$BI$5,0))*1000</f>
        <v>1860</v>
      </c>
      <c r="W82" s="54">
        <f>INDEX(ProcDataGenPre2012!$AY$9:$BI$32,MATCH($B82,ProcDataGenPre2012!$C$9:$C$32,0),MATCH(W$65,ProcDataGenPre2012!$AY$5:$BI$5,0))*1000</f>
        <v>1860</v>
      </c>
      <c r="X82" s="54">
        <f>INDEX(ProcDataGenPre2012!$AY$9:$BI$32,MATCH($B82,ProcDataGenPre2012!$C$9:$C$32,0),MATCH(X$65,ProcDataGenPre2012!$AY$5:$BI$5,0))*1000</f>
        <v>1860</v>
      </c>
      <c r="Y82" s="54">
        <f>INDEX(ProcDataGenPre2012!$AY$9:$BI$32,MATCH($B82,ProcDataGenPre2012!$C$9:$C$32,0),MATCH(Y$65,ProcDataGenPre2012!$AY$5:$BI$5,0))*1000</f>
        <v>1860</v>
      </c>
      <c r="Z82" s="54">
        <f>INDEX(ProcDataGenPre2012!$AY$9:$BI$32,MATCH($B82,ProcDataGenPre2012!$C$9:$C$32,0),MATCH(Z$65,ProcDataGenPre2012!$AY$5:$BI$5,0))*1000</f>
        <v>1860</v>
      </c>
      <c r="AA82" s="54">
        <f>INDEX(ProcDataGenPre2012!$AY$9:$BI$32,MATCH($B82,ProcDataGenPre2012!$C$9:$C$32,0),MATCH(AA$65,ProcDataGenPre2012!$AY$5:$BI$5,0))*1000</f>
        <v>1860</v>
      </c>
      <c r="AB82" s="54">
        <f>INDEX(ProcDataGenPre2012!$AY$9:$BI$32,MATCH($B82,ProcDataGenPre2012!$C$9:$C$32,0),MATCH(AB$65,ProcDataGenPre2012!$AY$5:$BI$5,0))*1000</f>
        <v>1860</v>
      </c>
      <c r="AC82" s="54">
        <f>INDEX(ProcDataGenPre2012!$AY$9:$BJ$32,MATCH($B82,ProcDataGenPre2012!$C$9:$C$32,0),MATCH(AC$65,ProcDataGenPre2012!$AY$5:$BJ$5,0))*1000</f>
        <v>1860</v>
      </c>
    </row>
    <row r="83" spans="1:29" x14ac:dyDescent="0.2">
      <c r="A83" s="91" t="s">
        <v>575</v>
      </c>
      <c r="B83" s="87" t="str">
        <f>ProcDataGenPre2012!$C$26</f>
        <v>OCGT liquid fuels Existing</v>
      </c>
      <c r="J83" s="54"/>
      <c r="R83" s="54">
        <f>INDEX(ProcDataGenPre2012!$AY$9:$BI$32,MATCH($B83,ProcDataGenPre2012!$C$9:$C$32,0),MATCH(R$65,ProcDataGenPre2012!$AY$5:$BI$5,0))*1000</f>
        <v>2400</v>
      </c>
      <c r="S83" s="54">
        <f>INDEX(ProcDataGenPre2012!$AY$9:$BI$32,MATCH($B83,ProcDataGenPre2012!$C$9:$C$32,0),MATCH(S$65,ProcDataGenPre2012!$AY$5:$BI$5,0))*1000</f>
        <v>2400</v>
      </c>
      <c r="T83" s="54">
        <f>INDEX(ProcDataGenPre2012!$AY$9:$BI$32,MATCH($B83,ProcDataGenPre2012!$C$9:$C$32,0),MATCH(T$65,ProcDataGenPre2012!$AY$5:$BI$5,0))*1000</f>
        <v>2400</v>
      </c>
      <c r="U83" s="54">
        <f>INDEX(ProcDataGenPre2012!$AY$9:$BI$32,MATCH($B83,ProcDataGenPre2012!$C$9:$C$32,0),MATCH(U$65,ProcDataGenPre2012!$AY$5:$BI$5,0))*1000</f>
        <v>2400</v>
      </c>
      <c r="V83" s="54">
        <f>INDEX(ProcDataGenPre2012!$AY$9:$BI$32,MATCH($B83,ProcDataGenPre2012!$C$9:$C$32,0),MATCH(V$65,ProcDataGenPre2012!$AY$5:$BI$5,0))*1000</f>
        <v>2400</v>
      </c>
      <c r="W83" s="54">
        <f>INDEX(ProcDataGenPre2012!$AY$9:$BI$32,MATCH($B83,ProcDataGenPre2012!$C$9:$C$32,0),MATCH(W$65,ProcDataGenPre2012!$AY$5:$BI$5,0))*1000</f>
        <v>2400</v>
      </c>
      <c r="X83" s="54">
        <f>INDEX(ProcDataGenPre2012!$AY$9:$BI$32,MATCH($B83,ProcDataGenPre2012!$C$9:$C$32,0),MATCH(X$65,ProcDataGenPre2012!$AY$5:$BI$5,0))*1000</f>
        <v>2400</v>
      </c>
      <c r="Y83" s="54">
        <f>INDEX(ProcDataGenPre2012!$AY$9:$BI$32,MATCH($B83,ProcDataGenPre2012!$C$9:$C$32,0),MATCH(Y$65,ProcDataGenPre2012!$AY$5:$BI$5,0))*1000</f>
        <v>2100</v>
      </c>
      <c r="Z83" s="54">
        <f>INDEX(ProcDataGenPre2012!$AY$9:$BI$32,MATCH($B83,ProcDataGenPre2012!$C$9:$C$32,0),MATCH(Z$65,ProcDataGenPre2012!$AY$5:$BI$5,0))*1000</f>
        <v>2100</v>
      </c>
      <c r="AA83" s="54">
        <f>INDEX(ProcDataGenPre2012!$AY$9:$BI$32,MATCH($B83,ProcDataGenPre2012!$C$9:$C$32,0),MATCH(AA$65,ProcDataGenPre2012!$AY$5:$BI$5,0))*1000</f>
        <v>2100</v>
      </c>
      <c r="AB83" s="54">
        <f>INDEX(ProcDataGenPre2012!$AY$9:$BI$32,MATCH($B83,ProcDataGenPre2012!$C$9:$C$32,0),MATCH(AB$65,ProcDataGenPre2012!$AY$5:$BI$5,0))*1000</f>
        <v>2100</v>
      </c>
      <c r="AC83" s="54">
        <f>INDEX(ProcDataGenPre2012!$AY$9:$BJ$32,MATCH($B83,ProcDataGenPre2012!$C$9:$C$32,0),MATCH(AC$65,ProcDataGenPre2012!$AY$5:$BJ$5,0))*1000</f>
        <v>2100</v>
      </c>
    </row>
    <row r="84" spans="1:29" x14ac:dyDescent="0.2">
      <c r="A84" s="91" t="s">
        <v>573</v>
      </c>
      <c r="J84" s="54"/>
    </row>
    <row r="85" spans="1:29" x14ac:dyDescent="0.2">
      <c r="A85" s="91" t="s">
        <v>571</v>
      </c>
      <c r="J85" s="54"/>
    </row>
    <row r="86" spans="1:29" x14ac:dyDescent="0.2">
      <c r="A86" s="91" t="s">
        <v>569</v>
      </c>
      <c r="J86" s="54"/>
    </row>
    <row r="87" spans="1:29" x14ac:dyDescent="0.2">
      <c r="A87" s="91" t="s">
        <v>567</v>
      </c>
      <c r="B87" s="87" t="str">
        <f>ProcDataGenPre2012!$C$27</f>
        <v>Hydro Existing South Africa</v>
      </c>
      <c r="J87" s="54"/>
      <c r="R87" s="54">
        <f>INDEX(ProcDataGenPre2012!$AY$9:$BI$32,MATCH($B87,ProcDataGenPre2012!$C$9:$C$32,0),MATCH(R$65,ProcDataGenPre2012!$AY$5:$BI$5,0))*1000</f>
        <v>665</v>
      </c>
      <c r="S87" s="54">
        <f>INDEX(ProcDataGenPre2012!$AY$9:$BJ$32,MATCH($B87,ProcDataGenPre2012!$C$9:$C$32,0),MATCH(S$65,ProcDataGenPre2012!$AY$5:$BJ$5,0))*1000</f>
        <v>665</v>
      </c>
      <c r="T87" s="54">
        <f>INDEX(ProcDataGenPre2012!$AY$9:$BJ$32,MATCH($B87,ProcDataGenPre2012!$C$9:$C$32,0),MATCH(T$65,ProcDataGenPre2012!$AY$5:$BJ$5,0))*1000</f>
        <v>665</v>
      </c>
      <c r="U87" s="54">
        <f>INDEX(ProcDataGenPre2012!$AY$9:$BJ$32,MATCH($B87,ProcDataGenPre2012!$C$9:$C$32,0),MATCH(U$65,ProcDataGenPre2012!$AY$5:$BJ$5,0))*1000</f>
        <v>665</v>
      </c>
      <c r="V87" s="54">
        <f>INDEX(ProcDataGenPre2012!$AY$9:$BJ$32,MATCH($B87,ProcDataGenPre2012!$C$9:$C$32,0),MATCH(V$65,ProcDataGenPre2012!$AY$5:$BJ$5,0))*1000</f>
        <v>665</v>
      </c>
      <c r="W87" s="54">
        <f>INDEX(ProcDataGenPre2012!$AY$9:$BJ$32,MATCH($B87,ProcDataGenPre2012!$C$9:$C$32,0),MATCH(W$65,ProcDataGenPre2012!$AY$5:$BJ$5,0))*1000</f>
        <v>665</v>
      </c>
      <c r="X87" s="54">
        <f>INDEX(ProcDataGenPre2012!$AY$9:$BJ$32,MATCH($B87,ProcDataGenPre2012!$C$9:$C$32,0),MATCH(X$65,ProcDataGenPre2012!$AY$5:$BJ$5,0))*1000</f>
        <v>665</v>
      </c>
      <c r="Y87" s="54">
        <f>INDEX(ProcDataGenPre2012!$AY$9:$BJ$32,MATCH($B87,ProcDataGenPre2012!$C$9:$C$32,0),MATCH(Y$65,ProcDataGenPre2012!$AY$5:$BJ$5,0))*1000</f>
        <v>665</v>
      </c>
      <c r="Z87" s="54">
        <f>INDEX(ProcDataGenPre2012!$AY$9:$BJ$32,MATCH($B87,ProcDataGenPre2012!$C$9:$C$32,0),MATCH(Z$65,ProcDataGenPre2012!$AY$5:$BJ$5,0))*1000</f>
        <v>665</v>
      </c>
      <c r="AA87" s="54">
        <f>INDEX(ProcDataGenPre2012!$AY$9:$BJ$32,MATCH($B87,ProcDataGenPre2012!$C$9:$C$32,0),MATCH(AA$65,ProcDataGenPre2012!$AY$5:$BJ$5,0))*1000</f>
        <v>665</v>
      </c>
      <c r="AB87" s="54">
        <f>INDEX(ProcDataGenPre2012!$AY$9:$BJ$32,MATCH($B87,ProcDataGenPre2012!$C$9:$C$32,0),MATCH(AB$65,ProcDataGenPre2012!$AY$5:$BJ$5,0))*1000</f>
        <v>665</v>
      </c>
      <c r="AC87" s="54">
        <f>INDEX(ProcDataGenPre2012!$AY$9:$BJ$32,MATCH($B87,ProcDataGenPre2012!$C$9:$C$32,0),MATCH(AC$65,ProcDataGenPre2012!$AY$5:$BJ$5,0))*1000</f>
        <v>665</v>
      </c>
    </row>
    <row r="88" spans="1:29" x14ac:dyDescent="0.2">
      <c r="A88" s="91" t="s">
        <v>566</v>
      </c>
      <c r="J88" s="54"/>
    </row>
    <row r="89" spans="1:29" x14ac:dyDescent="0.2">
      <c r="A89" s="91" t="s">
        <v>565</v>
      </c>
      <c r="J89" s="54"/>
    </row>
    <row r="90" spans="1:29" x14ac:dyDescent="0.2">
      <c r="A90" s="91" t="s">
        <v>563</v>
      </c>
      <c r="J90" s="54"/>
    </row>
    <row r="91" spans="1:29" x14ac:dyDescent="0.2">
      <c r="A91" s="91" t="s">
        <v>562</v>
      </c>
      <c r="J91" s="54"/>
    </row>
    <row r="92" spans="1:29" x14ac:dyDescent="0.2">
      <c r="A92" s="91" t="s">
        <v>561</v>
      </c>
      <c r="J92" s="54"/>
    </row>
    <row r="93" spans="1:29" x14ac:dyDescent="0.2">
      <c r="A93" s="91" t="s">
        <v>559</v>
      </c>
      <c r="B93" s="87" t="str">
        <f>ProcDataGenPre2012!$C$30</f>
        <v>Pump Storage All Existing - Single Storage Tech</v>
      </c>
      <c r="J93" s="54"/>
      <c r="R93" s="54">
        <f>INDEX(ProcDataGenPre2012!$AY$9:$BI$32,MATCH($B93,ProcDataGenPre2012!$C$9:$C$32,0),MATCH(R$65,ProcDataGenPre2012!$AY$5:$BI$5,0))*1000</f>
        <v>1580</v>
      </c>
      <c r="S93" s="54">
        <f>INDEX(ProcDataGenPre2012!$AY$9:$BJ$32,MATCH($B93,ProcDataGenPre2012!$C$9:$C$32,0),MATCH(S$65,ProcDataGenPre2012!$AY$5:$BJ$5,0))*1000</f>
        <v>1580</v>
      </c>
      <c r="T93" s="54">
        <f>INDEX(ProcDataGenPre2012!$AY$9:$BJ$32,MATCH($B93,ProcDataGenPre2012!$C$9:$C$32,0),MATCH(T$65,ProcDataGenPre2012!$AY$5:$BJ$5,0))*1000</f>
        <v>1580</v>
      </c>
      <c r="U93" s="54">
        <f>INDEX(ProcDataGenPre2012!$AY$9:$BJ$32,MATCH($B93,ProcDataGenPre2012!$C$9:$C$32,0),MATCH(U$65,ProcDataGenPre2012!$AY$5:$BJ$5,0))*1000</f>
        <v>1580</v>
      </c>
      <c r="V93" s="54">
        <f>INDEX(ProcDataGenPre2012!$AY$9:$BJ$32,MATCH($B93,ProcDataGenPre2012!$C$9:$C$32,0),MATCH(V$65,ProcDataGenPre2012!$AY$5:$BJ$5,0))*1000</f>
        <v>1580</v>
      </c>
      <c r="W93" s="54">
        <f>INDEX(ProcDataGenPre2012!$AY$9:$BJ$32,MATCH($B93,ProcDataGenPre2012!$C$9:$C$32,0),MATCH(W$65,ProcDataGenPre2012!$AY$5:$BJ$5,0))*1000</f>
        <v>1580</v>
      </c>
      <c r="X93" s="54">
        <f>INDEX(ProcDataGenPre2012!$AY$9:$BJ$32,MATCH($B93,ProcDataGenPre2012!$C$9:$C$32,0),MATCH(X$65,ProcDataGenPre2012!$AY$5:$BJ$5,0))*1000</f>
        <v>1580</v>
      </c>
      <c r="Y93" s="54">
        <f>INDEX(ProcDataGenPre2012!$AY$9:$BJ$32,MATCH($B93,ProcDataGenPre2012!$C$9:$C$32,0),MATCH(Y$65,ProcDataGenPre2012!$AY$5:$BJ$5,0))*1000</f>
        <v>1580</v>
      </c>
      <c r="Z93" s="54">
        <f>INDEX(ProcDataGenPre2012!$AY$9:$BJ$32,MATCH($B93,ProcDataGenPre2012!$C$9:$C$32,0),MATCH(Z$65,ProcDataGenPre2012!$AY$5:$BJ$5,0))*1000</f>
        <v>1580</v>
      </c>
      <c r="AA93" s="54">
        <f>INDEX(ProcDataGenPre2012!$AY$9:$BJ$32,MATCH($B93,ProcDataGenPre2012!$C$9:$C$32,0),MATCH(AA$65,ProcDataGenPre2012!$AY$5:$BJ$5,0))*1000</f>
        <v>1580</v>
      </c>
      <c r="AB93" s="54">
        <f>INDEX(ProcDataGenPre2012!$AY$9:$BJ$32,MATCH($B93,ProcDataGenPre2012!$C$9:$C$32,0),MATCH(AB$65,ProcDataGenPre2012!$AY$5:$BJ$5,0))*1000</f>
        <v>1580</v>
      </c>
      <c r="AC93" s="54">
        <f>INDEX(ProcDataGenPre2012!$AY$9:$BJ$32,MATCH($B93,ProcDataGenPre2012!$C$9:$C$32,0),MATCH(AC$65,ProcDataGenPre2012!$AY$5:$BJ$5,0))*1000</f>
        <v>1580</v>
      </c>
    </row>
    <row r="94" spans="1:29" x14ac:dyDescent="0.2">
      <c r="A94" s="91" t="s">
        <v>557</v>
      </c>
      <c r="J94" s="54"/>
    </row>
    <row r="95" spans="1:29" x14ac:dyDescent="0.2">
      <c r="A95" s="99" t="s">
        <v>955</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1865</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1862</v>
      </c>
      <c r="S97" s="54"/>
      <c r="T97" s="54"/>
      <c r="U97" s="54"/>
      <c r="V97" s="54"/>
      <c r="W97" s="54"/>
      <c r="X97" s="54"/>
      <c r="Y97" s="54"/>
      <c r="Z97" s="54"/>
      <c r="AA97" s="54"/>
      <c r="AB97" s="54"/>
      <c r="AC97" s="54"/>
      <c r="AD97" s="98" t="s">
        <v>553</v>
      </c>
      <c r="AQ97" s="87" t="s">
        <v>1872</v>
      </c>
      <c r="BC97" s="54" t="s">
        <v>1873</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552</v>
      </c>
      <c r="B99" s="87" t="s">
        <v>1861</v>
      </c>
      <c r="J99" s="87">
        <v>2012</v>
      </c>
      <c r="N99" s="87" t="s">
        <v>1871</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1870</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1874</v>
      </c>
    </row>
    <row r="100" spans="1:67" x14ac:dyDescent="0.2">
      <c r="A100" s="91" t="s">
        <v>453</v>
      </c>
      <c r="C100" s="97">
        <f t="shared" ref="C100:C114" si="10">MATCH(A100,$AC$143:$AC$174,0)</f>
        <v>13</v>
      </c>
      <c r="J100" s="88">
        <f t="shared" ref="J100:J108" si="11">J5/(J66*8760)</f>
        <v>0.61122143050031918</v>
      </c>
      <c r="N100" s="87" t="s">
        <v>1867</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503</v>
      </c>
      <c r="C101" s="97">
        <f t="shared" si="10"/>
        <v>14</v>
      </c>
      <c r="J101" s="88">
        <f t="shared" si="11"/>
        <v>0.57620157501158098</v>
      </c>
      <c r="N101" s="87" t="s">
        <v>1867</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446</v>
      </c>
      <c r="C102" s="97">
        <f t="shared" si="10"/>
        <v>15</v>
      </c>
      <c r="J102" s="88">
        <f t="shared" si="11"/>
        <v>0.58083642440045535</v>
      </c>
      <c r="N102" s="87" t="s">
        <v>1867</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492</v>
      </c>
      <c r="C103" s="97">
        <f t="shared" si="10"/>
        <v>16</v>
      </c>
      <c r="J103" s="88">
        <f t="shared" si="11"/>
        <v>0.7788275601693303</v>
      </c>
      <c r="N103" s="87" t="s">
        <v>1868</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447</v>
      </c>
      <c r="C104" s="97">
        <f t="shared" si="10"/>
        <v>17</v>
      </c>
      <c r="J104" s="88">
        <f t="shared" si="11"/>
        <v>0.66373023311703916</v>
      </c>
      <c r="N104" s="87" t="s">
        <v>1867</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478</v>
      </c>
      <c r="C105" s="97">
        <f t="shared" si="10"/>
        <v>18</v>
      </c>
      <c r="J105" s="88">
        <f t="shared" si="11"/>
        <v>0.72125732480152771</v>
      </c>
      <c r="N105" s="87" t="s">
        <v>1867</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471</v>
      </c>
      <c r="C106" s="97">
        <f t="shared" si="10"/>
        <v>20</v>
      </c>
      <c r="J106" s="88">
        <f t="shared" si="11"/>
        <v>0.82643832522800109</v>
      </c>
      <c r="N106" s="87" t="s">
        <v>1869</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444</v>
      </c>
      <c r="C107" s="97">
        <f t="shared" si="10"/>
        <v>19</v>
      </c>
      <c r="J107" s="88">
        <f t="shared" si="11"/>
        <v>0.73613454813769208</v>
      </c>
      <c r="N107" s="87" t="s">
        <v>1868</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450</v>
      </c>
      <c r="C108" s="97">
        <f t="shared" si="10"/>
        <v>21</v>
      </c>
      <c r="J108" s="88">
        <f t="shared" si="11"/>
        <v>0.72595096287472705</v>
      </c>
      <c r="N108" s="87" t="s">
        <v>1868</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463</v>
      </c>
      <c r="C109" s="97">
        <f t="shared" si="10"/>
        <v>30</v>
      </c>
      <c r="J109" s="88">
        <v>0.75</v>
      </c>
      <c r="N109" s="87" t="s">
        <v>1868</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455</v>
      </c>
      <c r="C110" s="97">
        <f t="shared" si="10"/>
        <v>22</v>
      </c>
      <c r="J110" s="88">
        <f>J15/(J76*8760)</f>
        <v>0.62790490965148504</v>
      </c>
      <c r="N110" s="87" t="s">
        <v>1867</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551</v>
      </c>
      <c r="C111" s="97">
        <f t="shared" si="10"/>
        <v>29</v>
      </c>
      <c r="J111" s="88"/>
      <c r="N111" s="87" t="s">
        <v>1868</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507</v>
      </c>
      <c r="C112" s="97">
        <f t="shared" si="10"/>
        <v>24</v>
      </c>
      <c r="J112" s="88">
        <f>J30/(J78*8760)</f>
        <v>0.65972201228153049</v>
      </c>
      <c r="N112" s="87" t="s">
        <v>1867</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442</v>
      </c>
      <c r="C113" s="97">
        <f t="shared" si="10"/>
        <v>25</v>
      </c>
      <c r="J113" s="88">
        <f>J31/(J79*8760)</f>
        <v>0.57508902014997276</v>
      </c>
      <c r="N113" s="87" t="s">
        <v>1867</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443</v>
      </c>
      <c r="C114" s="97">
        <f t="shared" si="10"/>
        <v>26</v>
      </c>
      <c r="J114" s="88">
        <f>J32/(J80*8760)</f>
        <v>0.59229473702440127</v>
      </c>
      <c r="N114" s="87" t="s">
        <v>1867</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1863</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0.69844495954379116</v>
      </c>
      <c r="V115" s="96">
        <f t="shared" si="37"/>
        <v>0.70748579877612661</v>
      </c>
      <c r="W115" s="96">
        <f t="shared" si="37"/>
        <v>0.72206391280269833</v>
      </c>
      <c r="X115" s="96">
        <f t="shared" si="37"/>
        <v>0.72180468959005428</v>
      </c>
      <c r="Y115" s="96">
        <f t="shared" si="37"/>
        <v>0.72594428618116447</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0.69844495954379116</v>
      </c>
      <c r="AH115" s="96">
        <f t="shared" si="38"/>
        <v>0.70748579877612661</v>
      </c>
      <c r="AI115" s="96">
        <f t="shared" si="38"/>
        <v>0.72206391280269833</v>
      </c>
      <c r="AJ115" s="96">
        <f t="shared" si="38"/>
        <v>0.72180468959005428</v>
      </c>
      <c r="AK115" s="96">
        <f t="shared" si="38"/>
        <v>0.72594428618116447</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0.60567678270519965</v>
      </c>
      <c r="BG115" s="96">
        <f t="shared" si="39"/>
        <v>0.60411468409423408</v>
      </c>
      <c r="BH115" s="96">
        <f t="shared" si="39"/>
        <v>0.60797144478427234</v>
      </c>
      <c r="BI115" s="96">
        <f t="shared" si="39"/>
        <v>0.60130016153618182</v>
      </c>
      <c r="BJ115" s="96">
        <f t="shared" si="39"/>
        <v>0.60055345488643164</v>
      </c>
      <c r="BK115" s="96">
        <f t="shared" si="39"/>
        <v>0.5985985496175813</v>
      </c>
      <c r="BL115" s="96">
        <f t="shared" si="39"/>
        <v>0.5993505782051578</v>
      </c>
      <c r="BM115" s="96">
        <f t="shared" si="39"/>
        <v>0.61492050452165803</v>
      </c>
      <c r="BN115" s="96">
        <f t="shared" si="39"/>
        <v>0.62120974062985301</v>
      </c>
    </row>
    <row r="116" spans="1:66" ht="15" x14ac:dyDescent="0.25">
      <c r="Q116" s="87" t="s">
        <v>550</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1866</v>
      </c>
      <c r="R132" s="96">
        <f>(R81*R115+SUMPRODUCT(R117:R131,R82:R96))/SUM(R81:R96)</f>
        <v>0.71878239411533651</v>
      </c>
      <c r="S132" s="96">
        <f t="shared" ref="S132:AC132" si="49">(S81*S115+SUMPRODUCT(S117:S131,S82:S96))/SUM(S81:S96)</f>
        <v>0.73212825042578611</v>
      </c>
      <c r="T132" s="96">
        <f t="shared" si="49"/>
        <v>0.74018386330160879</v>
      </c>
      <c r="U132" s="96">
        <f t="shared" si="49"/>
        <v>0.73829677578079944</v>
      </c>
      <c r="V132" s="96">
        <f t="shared" si="49"/>
        <v>0.74896992247850969</v>
      </c>
      <c r="W132" s="96">
        <f t="shared" si="49"/>
        <v>0.75067656991044207</v>
      </c>
      <c r="X132" s="96">
        <f t="shared" si="49"/>
        <v>0.75834371811292411</v>
      </c>
      <c r="Y132" s="96">
        <f t="shared" si="49"/>
        <v>0.75705281002948821</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0.66172029289381318</v>
      </c>
      <c r="BG132" s="96">
        <f t="shared" si="50"/>
        <v>0.66390899219105226</v>
      </c>
      <c r="BH132" s="96">
        <f t="shared" si="50"/>
        <v>0.65733203196456524</v>
      </c>
      <c r="BI132" s="96">
        <f t="shared" si="50"/>
        <v>0.6604993894481882</v>
      </c>
      <c r="BJ132" s="96">
        <f t="shared" si="50"/>
        <v>0.65530023436912754</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453</v>
      </c>
      <c r="B135" s="94">
        <v>1980</v>
      </c>
      <c r="C135" s="93">
        <v>26197</v>
      </c>
      <c r="D135" s="93">
        <v>26197</v>
      </c>
      <c r="E135" s="92" t="s">
        <v>549</v>
      </c>
      <c r="F135" s="91" t="s">
        <v>157</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503</v>
      </c>
      <c r="B136" s="94">
        <v>3450</v>
      </c>
      <c r="C136" s="93">
        <v>29238</v>
      </c>
      <c r="D136" s="93">
        <v>29238</v>
      </c>
      <c r="E136" s="92" t="s">
        <v>548</v>
      </c>
      <c r="F136" s="91" t="s">
        <v>157</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446</v>
      </c>
      <c r="B137" s="94">
        <v>1895</v>
      </c>
      <c r="C137" s="93">
        <v>25700</v>
      </c>
      <c r="D137" s="93">
        <v>25700</v>
      </c>
      <c r="E137" s="92" t="s">
        <v>547</v>
      </c>
      <c r="F137" s="91" t="s">
        <v>157</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492</v>
      </c>
      <c r="B138" s="94">
        <v>3840</v>
      </c>
      <c r="C138" s="93">
        <v>32417</v>
      </c>
      <c r="D138" s="93">
        <v>32417</v>
      </c>
      <c r="E138" s="92" t="s">
        <v>546</v>
      </c>
      <c r="F138" s="91" t="s">
        <v>157</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447</v>
      </c>
      <c r="B139" s="94">
        <v>2850</v>
      </c>
      <c r="C139" s="93">
        <v>27886</v>
      </c>
      <c r="D139" s="93">
        <v>27886</v>
      </c>
      <c r="E139" s="92" t="s">
        <v>545</v>
      </c>
      <c r="F139" s="91" t="s">
        <v>157</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478</v>
      </c>
      <c r="B140" s="94">
        <v>3558</v>
      </c>
      <c r="C140" s="93">
        <v>31403</v>
      </c>
      <c r="D140" s="93">
        <v>31403</v>
      </c>
      <c r="E140" s="92" t="s">
        <v>544</v>
      </c>
      <c r="F140" s="91" t="s">
        <v>157</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471</v>
      </c>
      <c r="B141" s="94">
        <v>3690</v>
      </c>
      <c r="C141" s="93">
        <v>32115</v>
      </c>
      <c r="D141" s="93">
        <v>32115</v>
      </c>
      <c r="E141" s="92" t="s">
        <v>543</v>
      </c>
      <c r="F141" s="91" t="s">
        <v>157</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1860</v>
      </c>
    </row>
    <row r="142" spans="1:66" x14ac:dyDescent="0.2">
      <c r="A142" s="91" t="s">
        <v>444</v>
      </c>
      <c r="B142" s="94">
        <v>3843</v>
      </c>
      <c r="C142" s="93">
        <v>35156</v>
      </c>
      <c r="D142" s="93">
        <v>35156</v>
      </c>
      <c r="E142" s="92" t="s">
        <v>542</v>
      </c>
      <c r="F142" s="91" t="s">
        <v>157</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450</v>
      </c>
      <c r="B143" s="94">
        <v>3450</v>
      </c>
      <c r="C143" s="93">
        <v>29127</v>
      </c>
      <c r="D143" s="93">
        <v>29127</v>
      </c>
      <c r="E143" s="92" t="s">
        <v>541</v>
      </c>
      <c r="F143" s="91" t="s">
        <v>157</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1843</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463</v>
      </c>
      <c r="B144" s="94">
        <v>4764</v>
      </c>
      <c r="C144" s="93">
        <v>42238</v>
      </c>
      <c r="D144" s="93">
        <v>42239</v>
      </c>
      <c r="E144" s="92" t="s">
        <v>540</v>
      </c>
      <c r="F144" s="91" t="s">
        <v>157</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1844</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455</v>
      </c>
      <c r="B145" s="94">
        <v>3510</v>
      </c>
      <c r="C145" s="93">
        <v>31199</v>
      </c>
      <c r="D145" s="93">
        <v>31199</v>
      </c>
      <c r="E145" s="92" t="s">
        <v>539</v>
      </c>
      <c r="F145" s="91" t="s">
        <v>157</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1845</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507</v>
      </c>
      <c r="B146" s="94">
        <v>1600</v>
      </c>
      <c r="C146" s="93">
        <v>24462</v>
      </c>
      <c r="D146" s="93">
        <v>38504</v>
      </c>
      <c r="E146" s="92" t="s">
        <v>538</v>
      </c>
      <c r="F146" s="91" t="s">
        <v>157</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1846</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442</v>
      </c>
      <c r="B147" s="94">
        <v>1200</v>
      </c>
      <c r="C147" s="93">
        <v>25384</v>
      </c>
      <c r="D147" s="93">
        <v>25384</v>
      </c>
      <c r="E147" s="92" t="s">
        <v>537</v>
      </c>
      <c r="F147" s="91" t="s">
        <v>157</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1847</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443</v>
      </c>
      <c r="B148" s="94">
        <v>1000</v>
      </c>
      <c r="C148" s="93">
        <v>22591</v>
      </c>
      <c r="D148" s="93">
        <v>22591</v>
      </c>
      <c r="E148" s="92" t="s">
        <v>536</v>
      </c>
      <c r="F148" s="91" t="s">
        <v>157</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1864</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535</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1848</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1849</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1850</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1851</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534</v>
      </c>
      <c r="AC153" t="s">
        <v>1852</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1853</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533</v>
      </c>
      <c r="C155" s="54">
        <v>800</v>
      </c>
      <c r="D155" s="54">
        <v>794</v>
      </c>
      <c r="AC155" t="s">
        <v>314</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532</v>
      </c>
      <c r="C156" s="54">
        <f>C155/48%</f>
        <v>1666.6666666666667</v>
      </c>
      <c r="D156" s="54"/>
      <c r="AC156" t="s">
        <v>312</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531</v>
      </c>
      <c r="C157" s="88">
        <f>C155/C156</f>
        <v>0.48</v>
      </c>
      <c r="D157" s="54"/>
      <c r="AC157" s="341" t="s">
        <v>310</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530</v>
      </c>
      <c r="C158" s="54">
        <f>C155*0.99</f>
        <v>792</v>
      </c>
      <c r="D158" s="54"/>
      <c r="AC158" t="s">
        <v>308</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529</v>
      </c>
      <c r="C159" s="88">
        <f>C158/C156</f>
        <v>0.47519999999999996</v>
      </c>
      <c r="D159" s="54"/>
      <c r="AC159" t="s">
        <v>306</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528</v>
      </c>
      <c r="C160" s="54">
        <f>C155*(1-8.8%)</f>
        <v>729.6</v>
      </c>
      <c r="D160" s="54">
        <f>D155/C155*C160</f>
        <v>724.12800000000004</v>
      </c>
      <c r="AC160" t="s">
        <v>304</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527</v>
      </c>
      <c r="C161" s="88">
        <f>C160/C156</f>
        <v>0.43775999999999998</v>
      </c>
      <c r="D161" s="54"/>
      <c r="AC161" t="s">
        <v>1854</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298</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296</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294</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1855</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320</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318</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316</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1856</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1857</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272</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274</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1858</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1859</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35:O62 Q35:Q62">
    <cfRule type="colorScale" priority="3">
      <colorScale>
        <cfvo type="min"/>
        <cfvo type="percentile" val="50"/>
        <cfvo type="max"/>
        <color rgb="FF5A8AC6"/>
        <color rgb="FFFCFCFF"/>
        <color rgb="FFF8696B"/>
      </colorScale>
    </cfRule>
  </conditionalFormatting>
  <conditionalFormatting sqref="G135:O148">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734</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733</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703</v>
      </c>
      <c r="B3" s="146" t="s">
        <v>702</v>
      </c>
      <c r="C3" s="144" t="s">
        <v>701</v>
      </c>
      <c r="D3" s="146" t="s">
        <v>700</v>
      </c>
      <c r="E3" s="145" t="s">
        <v>699</v>
      </c>
      <c r="F3" s="144" t="s">
        <v>698</v>
      </c>
      <c r="G3" s="143" t="s">
        <v>697</v>
      </c>
      <c r="H3" s="142"/>
      <c r="I3" s="142"/>
      <c r="J3" s="142"/>
      <c r="K3" s="142"/>
      <c r="L3" s="142"/>
      <c r="M3" s="142"/>
      <c r="N3" s="141"/>
      <c r="T3" s="87" t="s">
        <v>136</v>
      </c>
      <c r="Z3" s="87" t="s">
        <v>732</v>
      </c>
      <c r="AA3" s="87" t="s">
        <v>732</v>
      </c>
      <c r="AB3" s="87" t="s">
        <v>732</v>
      </c>
      <c r="AC3" s="87" t="s">
        <v>732</v>
      </c>
      <c r="AD3" s="87" t="s">
        <v>732</v>
      </c>
      <c r="AE3" s="87" t="s">
        <v>732</v>
      </c>
      <c r="AF3" s="87" t="s">
        <v>732</v>
      </c>
      <c r="AG3" s="87" t="s">
        <v>732</v>
      </c>
      <c r="AH3" s="87" t="s">
        <v>732</v>
      </c>
      <c r="AI3" s="87" t="s">
        <v>732</v>
      </c>
      <c r="AJ3" s="87" t="s">
        <v>732</v>
      </c>
      <c r="AK3" s="87" t="s">
        <v>732</v>
      </c>
      <c r="AL3" s="87" t="s">
        <v>634</v>
      </c>
      <c r="AM3" s="87" t="s">
        <v>634</v>
      </c>
      <c r="AN3" s="87" t="s">
        <v>634</v>
      </c>
      <c r="AO3" s="87" t="s">
        <v>634</v>
      </c>
      <c r="AP3" s="87" t="s">
        <v>634</v>
      </c>
      <c r="AQ3" s="87" t="s">
        <v>634</v>
      </c>
      <c r="AR3" s="87" t="s">
        <v>634</v>
      </c>
      <c r="AS3" s="87" t="s">
        <v>634</v>
      </c>
      <c r="AT3" s="87" t="s">
        <v>634</v>
      </c>
      <c r="AU3" s="87" t="s">
        <v>634</v>
      </c>
      <c r="AV3" s="87" t="s">
        <v>634</v>
      </c>
      <c r="AW3" s="87" t="s">
        <v>634</v>
      </c>
    </row>
    <row r="4" spans="1:50" ht="12.95" customHeight="1" x14ac:dyDescent="0.2">
      <c r="A4" s="103"/>
      <c r="B4" s="103"/>
      <c r="C4" s="103"/>
      <c r="D4" s="103"/>
      <c r="E4" s="103"/>
      <c r="F4" s="103"/>
      <c r="G4" s="139" t="s">
        <v>696</v>
      </c>
      <c r="H4" s="139" t="s">
        <v>695</v>
      </c>
      <c r="I4" s="139" t="s">
        <v>694</v>
      </c>
      <c r="J4" s="139" t="s">
        <v>693</v>
      </c>
      <c r="K4" s="139" t="s">
        <v>692</v>
      </c>
      <c r="L4" s="140" t="s">
        <v>691</v>
      </c>
      <c r="M4" s="139" t="s">
        <v>690</v>
      </c>
      <c r="N4" s="139" t="s">
        <v>689</v>
      </c>
      <c r="O4" s="139" t="s">
        <v>634</v>
      </c>
      <c r="P4" s="87">
        <v>2017</v>
      </c>
      <c r="Q4" s="87" t="s">
        <v>633</v>
      </c>
      <c r="R4" s="87" t="s">
        <v>1811</v>
      </c>
      <c r="S4" s="87" t="s">
        <v>731</v>
      </c>
      <c r="U4" s="87" t="s">
        <v>730</v>
      </c>
      <c r="V4" s="87" t="s">
        <v>729</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686</v>
      </c>
      <c r="B5" s="131">
        <v>1980</v>
      </c>
      <c r="C5" s="130">
        <v>26197</v>
      </c>
      <c r="D5" s="129">
        <v>26197</v>
      </c>
      <c r="E5" s="128" t="s">
        <v>655</v>
      </c>
      <c r="F5" s="127" t="s">
        <v>713</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720</v>
      </c>
      <c r="X5" s="87" t="s">
        <v>719</v>
      </c>
      <c r="Y5" s="87" t="s">
        <v>718</v>
      </c>
      <c r="Z5" s="87" t="s">
        <v>717</v>
      </c>
      <c r="AA5" s="87" t="s">
        <v>728</v>
      </c>
      <c r="AB5" s="87" t="s">
        <v>727</v>
      </c>
      <c r="AC5" s="87" t="s">
        <v>726</v>
      </c>
      <c r="AD5" s="87" t="s">
        <v>725</v>
      </c>
      <c r="AE5" s="87" t="s">
        <v>724</v>
      </c>
      <c r="AF5" s="87" t="s">
        <v>723</v>
      </c>
      <c r="AG5" s="87" t="s">
        <v>722</v>
      </c>
      <c r="AH5" s="87" t="s">
        <v>721</v>
      </c>
      <c r="AI5" s="87" t="s">
        <v>720</v>
      </c>
      <c r="AJ5" s="87" t="s">
        <v>719</v>
      </c>
      <c r="AK5" s="87" t="s">
        <v>718</v>
      </c>
      <c r="AL5" s="87" t="s">
        <v>717</v>
      </c>
      <c r="AM5" s="87" t="s">
        <v>728</v>
      </c>
      <c r="AN5" s="87" t="s">
        <v>727</v>
      </c>
      <c r="AO5" s="87" t="s">
        <v>726</v>
      </c>
      <c r="AP5" s="87" t="s">
        <v>725</v>
      </c>
      <c r="AQ5" s="87" t="s">
        <v>724</v>
      </c>
      <c r="AR5" s="87" t="s">
        <v>723</v>
      </c>
      <c r="AS5" s="87" t="s">
        <v>722</v>
      </c>
      <c r="AT5" s="87" t="s">
        <v>721</v>
      </c>
      <c r="AU5" s="87" t="s">
        <v>720</v>
      </c>
      <c r="AV5" s="87" t="s">
        <v>719</v>
      </c>
      <c r="AW5" s="87" t="s">
        <v>718</v>
      </c>
      <c r="AX5" s="87" t="s">
        <v>717</v>
      </c>
    </row>
    <row r="6" spans="1:50" ht="12.95" customHeight="1" x14ac:dyDescent="0.2">
      <c r="A6" s="132" t="s">
        <v>685</v>
      </c>
      <c r="B6" s="131">
        <v>3450</v>
      </c>
      <c r="C6" s="130">
        <v>29238</v>
      </c>
      <c r="D6" s="129">
        <v>29238</v>
      </c>
      <c r="E6" s="128" t="s">
        <v>655</v>
      </c>
      <c r="F6" s="127" t="s">
        <v>713</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684</v>
      </c>
      <c r="B7" s="131">
        <v>1895</v>
      </c>
      <c r="C7" s="130">
        <v>25700</v>
      </c>
      <c r="D7" s="129">
        <v>25700</v>
      </c>
      <c r="E7" s="128" t="s">
        <v>655</v>
      </c>
      <c r="F7" s="127" t="s">
        <v>713</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683</v>
      </c>
      <c r="B8" s="131">
        <v>3840</v>
      </c>
      <c r="C8" s="130">
        <v>32417</v>
      </c>
      <c r="D8" s="129">
        <v>32417</v>
      </c>
      <c r="E8" s="128" t="s">
        <v>655</v>
      </c>
      <c r="F8" s="127" t="s">
        <v>713</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682</v>
      </c>
      <c r="B9" s="131">
        <v>2850</v>
      </c>
      <c r="C9" s="130">
        <v>27886</v>
      </c>
      <c r="D9" s="129">
        <v>27886</v>
      </c>
      <c r="E9" s="128" t="s">
        <v>655</v>
      </c>
      <c r="F9" s="127" t="s">
        <v>713</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681</v>
      </c>
      <c r="B10" s="131">
        <v>3558</v>
      </c>
      <c r="C10" s="130">
        <v>31403</v>
      </c>
      <c r="D10" s="129">
        <v>31403</v>
      </c>
      <c r="E10" s="128" t="s">
        <v>655</v>
      </c>
      <c r="F10" s="127" t="s">
        <v>713</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680</v>
      </c>
      <c r="B11" s="131">
        <v>3690</v>
      </c>
      <c r="C11" s="130">
        <v>32115</v>
      </c>
      <c r="D11" s="129">
        <v>32115</v>
      </c>
      <c r="E11" s="128" t="s">
        <v>655</v>
      </c>
      <c r="F11" s="127" t="s">
        <v>713</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679</v>
      </c>
      <c r="B12" s="131">
        <v>3843</v>
      </c>
      <c r="C12" s="130">
        <v>35156</v>
      </c>
      <c r="D12" s="129">
        <v>35156</v>
      </c>
      <c r="E12" s="128" t="s">
        <v>655</v>
      </c>
      <c r="F12" s="127" t="s">
        <v>713</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678</v>
      </c>
      <c r="B13" s="131">
        <v>3450</v>
      </c>
      <c r="C13" s="130">
        <v>29127</v>
      </c>
      <c r="D13" s="129">
        <v>29127</v>
      </c>
      <c r="E13" s="128" t="s">
        <v>655</v>
      </c>
      <c r="F13" s="127" t="s">
        <v>713</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677</v>
      </c>
      <c r="B14" s="131">
        <v>4764</v>
      </c>
      <c r="C14" s="130">
        <v>42238</v>
      </c>
      <c r="D14" s="129">
        <v>42239</v>
      </c>
      <c r="E14" s="128" t="s">
        <v>655</v>
      </c>
      <c r="F14" s="127" t="s">
        <v>713</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676</v>
      </c>
      <c r="B15" s="131">
        <v>3510</v>
      </c>
      <c r="C15" s="130">
        <v>31199</v>
      </c>
      <c r="D15" s="129">
        <v>31199</v>
      </c>
      <c r="E15" s="128" t="s">
        <v>655</v>
      </c>
      <c r="F15" s="127" t="s">
        <v>713</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551</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675</v>
      </c>
      <c r="B17" s="131">
        <v>1800</v>
      </c>
      <c r="C17" s="130">
        <v>30884</v>
      </c>
      <c r="D17" s="129">
        <v>30884</v>
      </c>
      <c r="E17" s="128" t="s">
        <v>674</v>
      </c>
      <c r="F17" s="127" t="s">
        <v>714</v>
      </c>
      <c r="G17" s="113"/>
      <c r="H17" s="113"/>
      <c r="I17" s="113"/>
      <c r="J17" s="113"/>
      <c r="K17" s="113"/>
      <c r="L17" s="157"/>
      <c r="M17" s="113"/>
      <c r="N17" s="113"/>
      <c r="O17" s="109"/>
      <c r="P17" s="109"/>
      <c r="Q17" s="152"/>
      <c r="R17" s="152"/>
    </row>
    <row r="18" spans="1:22" ht="20.100000000000001" customHeight="1" x14ac:dyDescent="0.2">
      <c r="A18" s="137" t="s">
        <v>673</v>
      </c>
      <c r="B18" s="136">
        <v>171</v>
      </c>
      <c r="C18" s="135">
        <v>27893</v>
      </c>
      <c r="D18" s="134">
        <v>27893</v>
      </c>
      <c r="E18" s="133" t="s">
        <v>669</v>
      </c>
      <c r="F18" s="127" t="s">
        <v>715</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672</v>
      </c>
      <c r="B19" s="131">
        <v>1327</v>
      </c>
      <c r="C19" s="130">
        <v>39356</v>
      </c>
      <c r="D19" s="129">
        <v>39356</v>
      </c>
      <c r="E19" s="128" t="s">
        <v>669</v>
      </c>
      <c r="F19" s="127" t="s">
        <v>716</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671</v>
      </c>
      <c r="B20" s="131">
        <v>740</v>
      </c>
      <c r="C20" s="130">
        <v>39356</v>
      </c>
      <c r="D20" s="129">
        <v>39356</v>
      </c>
      <c r="E20" s="128" t="s">
        <v>669</v>
      </c>
      <c r="F20" s="127" t="s">
        <v>716</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670</v>
      </c>
      <c r="B21" s="136">
        <v>171</v>
      </c>
      <c r="C21" s="135">
        <v>28033</v>
      </c>
      <c r="D21" s="134">
        <v>28033</v>
      </c>
      <c r="E21" s="133" t="s">
        <v>669</v>
      </c>
      <c r="F21" s="127" t="s">
        <v>715</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668</v>
      </c>
      <c r="B22" s="131">
        <v>42</v>
      </c>
      <c r="C22" s="130">
        <v>31048</v>
      </c>
      <c r="D22" s="129">
        <v>31048</v>
      </c>
      <c r="E22" s="128" t="s">
        <v>662</v>
      </c>
      <c r="F22" s="127" t="s">
        <v>714</v>
      </c>
      <c r="G22" s="113"/>
      <c r="H22" s="113"/>
      <c r="I22" s="113"/>
      <c r="J22" s="113"/>
      <c r="K22" s="113"/>
      <c r="L22" s="157"/>
      <c r="M22" s="113"/>
      <c r="N22" s="113"/>
      <c r="O22" s="109"/>
      <c r="P22" s="109"/>
      <c r="Q22" s="152"/>
      <c r="R22" s="152"/>
    </row>
    <row r="23" spans="1:22" ht="12.95" customHeight="1" x14ac:dyDescent="0.2">
      <c r="A23" s="132" t="s">
        <v>667</v>
      </c>
      <c r="B23" s="131">
        <v>6</v>
      </c>
      <c r="C23" s="130">
        <v>28887</v>
      </c>
      <c r="D23" s="129">
        <v>28887</v>
      </c>
      <c r="E23" s="128" t="s">
        <v>662</v>
      </c>
      <c r="F23" s="127" t="s">
        <v>714</v>
      </c>
      <c r="G23" s="113"/>
      <c r="H23" s="113"/>
      <c r="I23" s="113"/>
      <c r="J23" s="113"/>
      <c r="K23" s="113"/>
      <c r="L23" s="157"/>
      <c r="M23" s="113"/>
      <c r="N23" s="113"/>
      <c r="O23" s="109"/>
      <c r="P23" s="109"/>
      <c r="Q23" s="152"/>
      <c r="R23" s="152"/>
    </row>
    <row r="24" spans="1:22" ht="12.95" customHeight="1" x14ac:dyDescent="0.2">
      <c r="A24" s="132" t="s">
        <v>666</v>
      </c>
      <c r="B24" s="131">
        <v>360</v>
      </c>
      <c r="C24" s="130">
        <v>26184</v>
      </c>
      <c r="D24" s="129">
        <v>26184</v>
      </c>
      <c r="E24" s="128" t="s">
        <v>662</v>
      </c>
      <c r="F24" s="127" t="s">
        <v>714</v>
      </c>
      <c r="G24" s="113"/>
      <c r="H24" s="113"/>
      <c r="I24" s="113"/>
      <c r="J24" s="113"/>
      <c r="K24" s="113"/>
      <c r="L24" s="157"/>
      <c r="M24" s="113"/>
      <c r="N24" s="113"/>
      <c r="O24" s="109"/>
      <c r="P24" s="109"/>
      <c r="Q24" s="152"/>
      <c r="R24" s="152"/>
    </row>
    <row r="25" spans="1:22" ht="12.95" customHeight="1" x14ac:dyDescent="0.2">
      <c r="A25" s="132" t="s">
        <v>665</v>
      </c>
      <c r="B25" s="131">
        <v>2</v>
      </c>
      <c r="C25" s="130">
        <v>30376</v>
      </c>
      <c r="D25" s="129">
        <v>30376</v>
      </c>
      <c r="E25" s="128" t="s">
        <v>662</v>
      </c>
      <c r="F25" s="127" t="s">
        <v>714</v>
      </c>
      <c r="G25" s="113"/>
      <c r="H25" s="113"/>
      <c r="I25" s="113"/>
      <c r="J25" s="113"/>
      <c r="K25" s="113"/>
      <c r="L25" s="157"/>
      <c r="M25" s="113"/>
      <c r="N25" s="113"/>
      <c r="O25" s="109"/>
      <c r="P25" s="109"/>
      <c r="Q25" s="152"/>
      <c r="R25" s="152"/>
    </row>
    <row r="26" spans="1:22" ht="12.95" customHeight="1" x14ac:dyDescent="0.2">
      <c r="A26" s="132" t="s">
        <v>664</v>
      </c>
      <c r="B26" s="131">
        <v>11</v>
      </c>
      <c r="C26" s="130">
        <v>28946</v>
      </c>
      <c r="D26" s="129">
        <v>28946</v>
      </c>
      <c r="E26" s="128" t="s">
        <v>662</v>
      </c>
      <c r="F26" s="127" t="s">
        <v>714</v>
      </c>
      <c r="G26" s="113"/>
      <c r="H26" s="113"/>
      <c r="I26" s="113"/>
      <c r="J26" s="113"/>
      <c r="K26" s="113"/>
      <c r="L26" s="157"/>
      <c r="M26" s="113"/>
      <c r="N26" s="113"/>
      <c r="O26" s="109"/>
      <c r="P26" s="109"/>
      <c r="Q26" s="152"/>
      <c r="R26" s="152"/>
    </row>
    <row r="27" spans="1:22" ht="12.95" customHeight="1" x14ac:dyDescent="0.2">
      <c r="A27" s="132" t="s">
        <v>663</v>
      </c>
      <c r="B27" s="131">
        <v>240</v>
      </c>
      <c r="C27" s="130">
        <v>28126</v>
      </c>
      <c r="D27" s="129">
        <v>28126</v>
      </c>
      <c r="E27" s="128" t="s">
        <v>662</v>
      </c>
      <c r="F27" s="127" t="s">
        <v>714</v>
      </c>
      <c r="G27" s="113"/>
      <c r="H27" s="113"/>
      <c r="I27" s="113"/>
      <c r="J27" s="113"/>
      <c r="K27" s="113"/>
      <c r="L27" s="157"/>
      <c r="M27" s="113"/>
      <c r="N27" s="113"/>
      <c r="O27" s="109"/>
      <c r="P27" s="109"/>
      <c r="Q27" s="152"/>
      <c r="R27" s="152"/>
    </row>
    <row r="28" spans="1:22" ht="12.95" customHeight="1" x14ac:dyDescent="0.2">
      <c r="A28" s="132" t="s">
        <v>661</v>
      </c>
      <c r="B28" s="131">
        <v>1000</v>
      </c>
      <c r="C28" s="130">
        <v>29754</v>
      </c>
      <c r="D28" s="129">
        <v>29754</v>
      </c>
      <c r="E28" s="128" t="s">
        <v>659</v>
      </c>
      <c r="F28" s="127" t="s">
        <v>714</v>
      </c>
      <c r="G28" s="113"/>
      <c r="H28" s="113"/>
      <c r="I28" s="113"/>
      <c r="J28" s="113"/>
      <c r="K28" s="113"/>
      <c r="L28" s="157"/>
      <c r="M28" s="113"/>
      <c r="N28" s="113"/>
      <c r="O28" s="109"/>
      <c r="P28" s="109"/>
      <c r="Q28" s="152"/>
      <c r="R28" s="152"/>
    </row>
    <row r="29" spans="1:22" ht="12.95" customHeight="1" x14ac:dyDescent="0.2">
      <c r="A29" s="132" t="s">
        <v>660</v>
      </c>
      <c r="B29" s="131">
        <v>400</v>
      </c>
      <c r="C29" s="130">
        <v>32251</v>
      </c>
      <c r="D29" s="129">
        <v>32251</v>
      </c>
      <c r="E29" s="128" t="s">
        <v>659</v>
      </c>
      <c r="F29" s="127" t="s">
        <v>714</v>
      </c>
      <c r="G29" s="113"/>
      <c r="H29" s="113"/>
      <c r="I29" s="113"/>
      <c r="J29" s="113"/>
      <c r="K29" s="113"/>
      <c r="L29" s="157"/>
      <c r="M29" s="113"/>
      <c r="N29" s="113"/>
      <c r="O29" s="109"/>
      <c r="P29" s="109"/>
      <c r="Q29" s="152"/>
      <c r="R29" s="152"/>
    </row>
    <row r="30" spans="1:22" ht="12.95" customHeight="1" x14ac:dyDescent="0.2">
      <c r="A30" s="132" t="s">
        <v>658</v>
      </c>
      <c r="B30" s="131">
        <v>1600</v>
      </c>
      <c r="C30" s="130">
        <v>24462</v>
      </c>
      <c r="D30" s="129">
        <v>38504</v>
      </c>
      <c r="E30" s="128" t="s">
        <v>655</v>
      </c>
      <c r="F30" s="127" t="s">
        <v>713</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657</v>
      </c>
      <c r="B31" s="131">
        <v>1200</v>
      </c>
      <c r="C31" s="130">
        <v>25384</v>
      </c>
      <c r="D31" s="129">
        <v>25384</v>
      </c>
      <c r="E31" s="128" t="s">
        <v>655</v>
      </c>
      <c r="F31" s="127" t="s">
        <v>713</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656</v>
      </c>
      <c r="B32" s="131">
        <v>1000</v>
      </c>
      <c r="C32" s="130">
        <v>22591</v>
      </c>
      <c r="D32" s="129">
        <v>22591</v>
      </c>
      <c r="E32" s="128" t="s">
        <v>655</v>
      </c>
      <c r="F32" s="127" t="s">
        <v>713</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712</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711</v>
      </c>
      <c r="B34" s="148"/>
      <c r="C34" s="148"/>
      <c r="D34" s="148"/>
      <c r="E34" s="148"/>
      <c r="F34" s="148"/>
      <c r="G34" s="148"/>
      <c r="H34" s="148"/>
      <c r="I34" s="148"/>
      <c r="J34" s="148"/>
      <c r="K34" s="148"/>
      <c r="L34" s="148"/>
      <c r="O34" s="87" t="s">
        <v>710</v>
      </c>
      <c r="P34" s="87">
        <v>114.30200000000001</v>
      </c>
    </row>
    <row r="35" spans="1:20" ht="12.95" customHeight="1" outlineLevel="1" x14ac:dyDescent="0.2">
      <c r="A35" s="149" t="s">
        <v>709</v>
      </c>
      <c r="B35" s="148"/>
      <c r="C35" s="148"/>
      <c r="D35" s="148"/>
      <c r="E35" s="148"/>
      <c r="F35" s="148"/>
      <c r="G35" s="148"/>
      <c r="H35" s="148"/>
      <c r="I35" s="148"/>
      <c r="J35" s="148"/>
      <c r="K35" s="148"/>
      <c r="L35" s="148"/>
    </row>
    <row r="36" spans="1:20" ht="12.95" customHeight="1" outlineLevel="1" x14ac:dyDescent="0.2">
      <c r="A36" s="149" t="s">
        <v>708</v>
      </c>
      <c r="B36" s="148"/>
      <c r="C36" s="148"/>
      <c r="D36" s="148"/>
      <c r="E36" s="148"/>
      <c r="F36" s="148"/>
      <c r="G36" s="148"/>
      <c r="H36" s="148"/>
      <c r="I36" s="148"/>
      <c r="J36" s="148"/>
      <c r="K36" s="148"/>
      <c r="L36" s="148"/>
    </row>
    <row r="37" spans="1:20" ht="12.95" customHeight="1" outlineLevel="1" x14ac:dyDescent="0.2">
      <c r="A37" s="151" t="s">
        <v>707</v>
      </c>
      <c r="B37" s="150"/>
      <c r="C37" s="150"/>
      <c r="D37" s="150"/>
      <c r="E37" s="150"/>
      <c r="F37" s="150"/>
      <c r="G37" s="150"/>
      <c r="H37" s="150"/>
      <c r="I37" s="150"/>
      <c r="J37" s="150"/>
      <c r="K37" s="150"/>
      <c r="L37" s="150"/>
    </row>
    <row r="38" spans="1:20" ht="12" customHeight="1" outlineLevel="1" x14ac:dyDescent="0.2">
      <c r="A38" s="149" t="s">
        <v>706</v>
      </c>
      <c r="B38" s="148"/>
      <c r="C38" s="148"/>
      <c r="D38" s="148"/>
      <c r="E38" s="148"/>
      <c r="F38" s="148"/>
      <c r="G38" s="148"/>
      <c r="H38" s="148"/>
      <c r="I38" s="148"/>
      <c r="J38" s="148"/>
      <c r="K38" s="148"/>
      <c r="L38" s="148"/>
    </row>
    <row r="39" spans="1:20" ht="12.95" customHeight="1" outlineLevel="1" x14ac:dyDescent="0.2">
      <c r="A39" s="149" t="s">
        <v>705</v>
      </c>
      <c r="B39" s="148"/>
      <c r="C39" s="148"/>
      <c r="D39" s="148"/>
      <c r="E39" s="148"/>
      <c r="F39" s="148"/>
      <c r="G39" s="148"/>
      <c r="H39" s="148"/>
      <c r="I39" s="148"/>
      <c r="J39" s="148"/>
      <c r="K39" s="148"/>
      <c r="L39" s="148"/>
    </row>
    <row r="40" spans="1:20" ht="9.9499999999999993" customHeight="1" outlineLevel="1" x14ac:dyDescent="0.2">
      <c r="A40" s="149" t="s">
        <v>704</v>
      </c>
      <c r="B40" s="148"/>
      <c r="C40" s="148"/>
      <c r="D40" s="148"/>
      <c r="E40" s="148"/>
      <c r="F40" s="148"/>
      <c r="G40" s="148"/>
      <c r="H40" s="148"/>
      <c r="I40" s="148"/>
      <c r="J40" s="148"/>
      <c r="K40" s="148"/>
      <c r="L40" s="148"/>
    </row>
    <row r="42" spans="1:20" s="54" customFormat="1" ht="36" x14ac:dyDescent="0.2">
      <c r="A42" s="147" t="s">
        <v>703</v>
      </c>
      <c r="B42" s="146" t="s">
        <v>702</v>
      </c>
      <c r="C42" s="144" t="s">
        <v>701</v>
      </c>
      <c r="D42" s="146" t="s">
        <v>700</v>
      </c>
      <c r="E42" s="145" t="s">
        <v>699</v>
      </c>
      <c r="F42" s="144" t="s">
        <v>698</v>
      </c>
      <c r="G42" s="143" t="s">
        <v>697</v>
      </c>
      <c r="H42" s="142"/>
      <c r="I42" s="142"/>
      <c r="J42" s="142"/>
      <c r="K42" s="142"/>
      <c r="L42" s="142"/>
      <c r="M42" s="142"/>
      <c r="N42" s="141"/>
      <c r="O42" s="54">
        <v>0</v>
      </c>
    </row>
    <row r="43" spans="1:20" s="54" customFormat="1" ht="18" x14ac:dyDescent="0.2">
      <c r="A43" s="103"/>
      <c r="B43" s="103"/>
      <c r="C43" s="103"/>
      <c r="D43" s="103"/>
      <c r="E43" s="103"/>
      <c r="F43" s="103"/>
      <c r="G43" s="139" t="s">
        <v>696</v>
      </c>
      <c r="H43" s="139" t="s">
        <v>695</v>
      </c>
      <c r="I43" s="139" t="s">
        <v>694</v>
      </c>
      <c r="J43" s="139" t="s">
        <v>693</v>
      </c>
      <c r="K43" s="139" t="s">
        <v>692</v>
      </c>
      <c r="L43" s="140" t="s">
        <v>691</v>
      </c>
      <c r="M43" s="139" t="s">
        <v>690</v>
      </c>
      <c r="N43" s="139" t="s">
        <v>689</v>
      </c>
      <c r="O43" s="139" t="s">
        <v>634</v>
      </c>
      <c r="P43" s="87" t="s">
        <v>688</v>
      </c>
      <c r="Q43" s="87"/>
      <c r="R43" s="87"/>
      <c r="S43" s="54" t="s">
        <v>687</v>
      </c>
    </row>
    <row r="44" spans="1:20" s="54" customFormat="1" ht="18" x14ac:dyDescent="0.2">
      <c r="A44" s="132" t="s">
        <v>686</v>
      </c>
      <c r="B44" s="131">
        <v>1980</v>
      </c>
      <c r="C44" s="130">
        <v>26197</v>
      </c>
      <c r="D44" s="129">
        <v>26197</v>
      </c>
      <c r="E44" s="128" t="s">
        <v>655</v>
      </c>
      <c r="F44" s="127" t="s">
        <v>654</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685</v>
      </c>
      <c r="B45" s="131">
        <v>3450</v>
      </c>
      <c r="C45" s="130">
        <v>29238</v>
      </c>
      <c r="D45" s="129">
        <v>29238</v>
      </c>
      <c r="E45" s="128" t="s">
        <v>655</v>
      </c>
      <c r="F45" s="127" t="s">
        <v>654</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684</v>
      </c>
      <c r="B46" s="131">
        <v>1895</v>
      </c>
      <c r="C46" s="130">
        <v>25700</v>
      </c>
      <c r="D46" s="129">
        <v>25700</v>
      </c>
      <c r="E46" s="128" t="s">
        <v>655</v>
      </c>
      <c r="F46" s="127" t="s">
        <v>654</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683</v>
      </c>
      <c r="B47" s="131">
        <v>3840</v>
      </c>
      <c r="C47" s="130">
        <v>32417</v>
      </c>
      <c r="D47" s="129">
        <v>32417</v>
      </c>
      <c r="E47" s="128" t="s">
        <v>655</v>
      </c>
      <c r="F47" s="127" t="s">
        <v>654</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682</v>
      </c>
      <c r="B48" s="131">
        <v>2850</v>
      </c>
      <c r="C48" s="130">
        <v>27886</v>
      </c>
      <c r="D48" s="129">
        <v>27886</v>
      </c>
      <c r="E48" s="128" t="s">
        <v>655</v>
      </c>
      <c r="F48" s="127" t="s">
        <v>654</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681</v>
      </c>
      <c r="B49" s="131">
        <v>3558</v>
      </c>
      <c r="C49" s="130">
        <v>31403</v>
      </c>
      <c r="D49" s="129">
        <v>31403</v>
      </c>
      <c r="E49" s="128" t="s">
        <v>655</v>
      </c>
      <c r="F49" s="127" t="s">
        <v>654</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680</v>
      </c>
      <c r="B50" s="131">
        <v>3690</v>
      </c>
      <c r="C50" s="130">
        <v>32115</v>
      </c>
      <c r="D50" s="129">
        <v>32115</v>
      </c>
      <c r="E50" s="128" t="s">
        <v>655</v>
      </c>
      <c r="F50" s="127" t="s">
        <v>654</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679</v>
      </c>
      <c r="B51" s="131">
        <v>3843</v>
      </c>
      <c r="C51" s="130">
        <v>35156</v>
      </c>
      <c r="D51" s="129">
        <v>35156</v>
      </c>
      <c r="E51" s="128" t="s">
        <v>655</v>
      </c>
      <c r="F51" s="127" t="s">
        <v>654</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678</v>
      </c>
      <c r="B52" s="131">
        <v>3450</v>
      </c>
      <c r="C52" s="130">
        <v>29127</v>
      </c>
      <c r="D52" s="129">
        <v>29127</v>
      </c>
      <c r="E52" s="128" t="s">
        <v>655</v>
      </c>
      <c r="F52" s="127" t="s">
        <v>654</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677</v>
      </c>
      <c r="B53" s="131">
        <v>4764</v>
      </c>
      <c r="C53" s="130">
        <v>42238</v>
      </c>
      <c r="D53" s="129">
        <v>42239</v>
      </c>
      <c r="E53" s="128" t="s">
        <v>655</v>
      </c>
      <c r="F53" s="127" t="s">
        <v>654</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676</v>
      </c>
      <c r="B54" s="131">
        <v>3510</v>
      </c>
      <c r="C54" s="130">
        <v>31199</v>
      </c>
      <c r="D54" s="129">
        <v>31199</v>
      </c>
      <c r="E54" s="128" t="s">
        <v>655</v>
      </c>
      <c r="F54" s="127" t="s">
        <v>654</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551</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675</v>
      </c>
      <c r="B56" s="131">
        <v>1800</v>
      </c>
      <c r="C56" s="130">
        <v>30884</v>
      </c>
      <c r="D56" s="129">
        <v>30884</v>
      </c>
      <c r="E56" s="128" t="s">
        <v>674</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673</v>
      </c>
      <c r="B57" s="136">
        <v>171</v>
      </c>
      <c r="C57" s="135">
        <v>27893</v>
      </c>
      <c r="D57" s="134">
        <v>27893</v>
      </c>
      <c r="E57" s="133" t="s">
        <v>669</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672</v>
      </c>
      <c r="B58" s="131">
        <v>1327</v>
      </c>
      <c r="C58" s="130">
        <v>39356</v>
      </c>
      <c r="D58" s="129">
        <v>39356</v>
      </c>
      <c r="E58" s="128" t="s">
        <v>669</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671</v>
      </c>
      <c r="B59" s="131">
        <v>740</v>
      </c>
      <c r="C59" s="130">
        <v>39356</v>
      </c>
      <c r="D59" s="129">
        <v>39356</v>
      </c>
      <c r="E59" s="128" t="s">
        <v>669</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670</v>
      </c>
      <c r="B60" s="136">
        <v>171</v>
      </c>
      <c r="C60" s="135">
        <v>28033</v>
      </c>
      <c r="D60" s="134">
        <v>28033</v>
      </c>
      <c r="E60" s="133" t="s">
        <v>669</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668</v>
      </c>
      <c r="B61" s="131">
        <v>42</v>
      </c>
      <c r="C61" s="130">
        <v>31048</v>
      </c>
      <c r="D61" s="129">
        <v>31048</v>
      </c>
      <c r="E61" s="128" t="s">
        <v>662</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667</v>
      </c>
      <c r="B62" s="131">
        <v>6</v>
      </c>
      <c r="C62" s="130">
        <v>28887</v>
      </c>
      <c r="D62" s="129">
        <v>28887</v>
      </c>
      <c r="E62" s="128" t="s">
        <v>662</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666</v>
      </c>
      <c r="B63" s="131">
        <v>360</v>
      </c>
      <c r="C63" s="130">
        <v>26184</v>
      </c>
      <c r="D63" s="129">
        <v>26184</v>
      </c>
      <c r="E63" s="128" t="s">
        <v>662</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665</v>
      </c>
      <c r="B64" s="131">
        <v>2</v>
      </c>
      <c r="C64" s="130">
        <v>30376</v>
      </c>
      <c r="D64" s="129">
        <v>30376</v>
      </c>
      <c r="E64" s="128" t="s">
        <v>662</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664</v>
      </c>
      <c r="B65" s="131">
        <v>11</v>
      </c>
      <c r="C65" s="130">
        <v>28946</v>
      </c>
      <c r="D65" s="129">
        <v>28946</v>
      </c>
      <c r="E65" s="128" t="s">
        <v>662</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663</v>
      </c>
      <c r="B66" s="131">
        <v>240</v>
      </c>
      <c r="C66" s="130">
        <v>28126</v>
      </c>
      <c r="D66" s="129">
        <v>28126</v>
      </c>
      <c r="E66" s="128" t="s">
        <v>662</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661</v>
      </c>
      <c r="B67" s="131">
        <v>1000</v>
      </c>
      <c r="C67" s="130">
        <v>29754</v>
      </c>
      <c r="D67" s="129">
        <v>29754</v>
      </c>
      <c r="E67" s="128" t="s">
        <v>659</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660</v>
      </c>
      <c r="B68" s="131">
        <v>400</v>
      </c>
      <c r="C68" s="130">
        <v>32251</v>
      </c>
      <c r="D68" s="129">
        <v>32251</v>
      </c>
      <c r="E68" s="128" t="s">
        <v>659</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658</v>
      </c>
      <c r="B69" s="131">
        <v>1600</v>
      </c>
      <c r="C69" s="130">
        <v>24462</v>
      </c>
      <c r="D69" s="129">
        <v>38504</v>
      </c>
      <c r="E69" s="128" t="s">
        <v>655</v>
      </c>
      <c r="F69" s="127" t="s">
        <v>654</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657</v>
      </c>
      <c r="B70" s="131">
        <v>1200</v>
      </c>
      <c r="C70" s="130">
        <v>25384</v>
      </c>
      <c r="D70" s="129">
        <v>25384</v>
      </c>
      <c r="E70" s="128" t="s">
        <v>655</v>
      </c>
      <c r="F70" s="127" t="s">
        <v>654</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656</v>
      </c>
      <c r="B71" s="131">
        <v>1000</v>
      </c>
      <c r="C71" s="130">
        <v>22591</v>
      </c>
      <c r="D71" s="129">
        <v>22591</v>
      </c>
      <c r="E71" s="128" t="s">
        <v>655</v>
      </c>
      <c r="F71" s="127" t="s">
        <v>654</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653</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1877</v>
      </c>
    </row>
    <row r="2" spans="1:17" x14ac:dyDescent="0.2">
      <c r="B2" s="54" t="s">
        <v>746</v>
      </c>
      <c r="C2" s="54" t="s">
        <v>745</v>
      </c>
      <c r="D2" s="54" t="s">
        <v>744</v>
      </c>
      <c r="E2" s="54" t="s">
        <v>743</v>
      </c>
      <c r="F2" s="54" t="s">
        <v>742</v>
      </c>
      <c r="G2" s="54" t="s">
        <v>741</v>
      </c>
      <c r="H2" s="54" t="s">
        <v>740</v>
      </c>
      <c r="I2" s="54" t="s">
        <v>739</v>
      </c>
      <c r="J2" s="54" t="s">
        <v>738</v>
      </c>
      <c r="K2" s="54" t="s">
        <v>737</v>
      </c>
      <c r="L2" s="54" t="s">
        <v>736</v>
      </c>
      <c r="M2" s="54" t="s">
        <v>735</v>
      </c>
      <c r="Q2" s="54" t="s">
        <v>2114</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1876</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ProcDataGenPre2012!AV26</f>
        <v>2.4</v>
      </c>
    </row>
    <row r="20" spans="7:20" x14ac:dyDescent="0.2">
      <c r="H20" s="54">
        <f>ProcDataGen2012On!AZ14+ProcDataGen2012On!BA14</f>
        <v>1.0050000000000001</v>
      </c>
    </row>
    <row r="21" spans="7:20" x14ac:dyDescent="0.2">
      <c r="G21" s="54" t="s">
        <v>755</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2116</v>
      </c>
      <c r="T25" s="54" t="s">
        <v>2117</v>
      </c>
    </row>
    <row r="26" spans="7:20" x14ac:dyDescent="0.2">
      <c r="Q26" s="91" t="s">
        <v>631</v>
      </c>
      <c r="R26" s="110">
        <v>9929077</v>
      </c>
      <c r="S26" s="90">
        <v>0.31</v>
      </c>
      <c r="T26" s="340">
        <f>R26*3.6/S26/1000000</f>
        <v>115.30541032258066</v>
      </c>
    </row>
    <row r="27" spans="7:20" x14ac:dyDescent="0.2">
      <c r="Q27" s="91" t="s">
        <v>629</v>
      </c>
      <c r="R27" s="110">
        <v>11120844</v>
      </c>
      <c r="S27" s="90">
        <v>0.33058235797930735</v>
      </c>
      <c r="T27" s="340">
        <f t="shared" ref="T27:T53" si="1">R27*3.6/S27/1000000</f>
        <v>121.10458236402916</v>
      </c>
    </row>
    <row r="28" spans="7:20" x14ac:dyDescent="0.2">
      <c r="Q28" s="91" t="s">
        <v>627</v>
      </c>
      <c r="R28" s="110">
        <v>7355513</v>
      </c>
      <c r="S28" s="90">
        <v>0.26887733443497819</v>
      </c>
      <c r="T28" s="340">
        <f t="shared" si="1"/>
        <v>98.48300101473798</v>
      </c>
    </row>
    <row r="29" spans="7:20" x14ac:dyDescent="0.2">
      <c r="Q29" s="91" t="s">
        <v>625</v>
      </c>
      <c r="R29" s="110">
        <v>21049970</v>
      </c>
      <c r="S29" s="90">
        <v>0.32453714221152569</v>
      </c>
      <c r="T29" s="340">
        <f t="shared" si="1"/>
        <v>233.50144603975235</v>
      </c>
    </row>
    <row r="30" spans="7:20" x14ac:dyDescent="0.2">
      <c r="Q30" s="91" t="s">
        <v>623</v>
      </c>
      <c r="R30" s="110">
        <v>13067561</v>
      </c>
      <c r="S30" s="90">
        <v>0.31292646716362432</v>
      </c>
      <c r="T30" s="340">
        <f t="shared" si="1"/>
        <v>150.33314384175065</v>
      </c>
    </row>
    <row r="31" spans="7:20" x14ac:dyDescent="0.2">
      <c r="Q31" s="91" t="s">
        <v>621</v>
      </c>
      <c r="R31" s="110">
        <v>21565771</v>
      </c>
      <c r="S31" s="90">
        <v>0.34</v>
      </c>
      <c r="T31" s="340">
        <f t="shared" si="1"/>
        <v>228.34345764705884</v>
      </c>
    </row>
    <row r="32" spans="7:20" x14ac:dyDescent="0.2">
      <c r="Q32" s="91" t="s">
        <v>619</v>
      </c>
      <c r="R32" s="110">
        <v>26677698</v>
      </c>
      <c r="S32" s="90">
        <v>0.34000258749678802</v>
      </c>
      <c r="T32" s="340">
        <f t="shared" si="1"/>
        <v>282.46759387061212</v>
      </c>
    </row>
    <row r="33" spans="17:20" x14ac:dyDescent="0.2">
      <c r="Q33" s="91" t="s">
        <v>617</v>
      </c>
      <c r="R33" s="110">
        <v>24154240</v>
      </c>
      <c r="S33" s="90">
        <v>0.30514217321295861</v>
      </c>
      <c r="T33" s="340">
        <f t="shared" si="1"/>
        <v>284.96639151650123</v>
      </c>
    </row>
    <row r="34" spans="17:20" x14ac:dyDescent="0.2">
      <c r="Q34" s="91" t="s">
        <v>615</v>
      </c>
      <c r="R34" s="110">
        <v>18938849</v>
      </c>
      <c r="S34" s="90">
        <v>0.33160382650844367</v>
      </c>
      <c r="T34" s="340">
        <f t="shared" si="1"/>
        <v>205.60636201905811</v>
      </c>
    </row>
    <row r="35" spans="17:20" x14ac:dyDescent="0.2">
      <c r="Q35" s="91" t="s">
        <v>613</v>
      </c>
      <c r="R35" s="110">
        <v>15518851</v>
      </c>
      <c r="S35" s="90">
        <v>0.37099999999999994</v>
      </c>
      <c r="T35" s="340">
        <f t="shared" si="1"/>
        <v>150.58723342318061</v>
      </c>
    </row>
    <row r="36" spans="17:20" x14ac:dyDescent="0.2">
      <c r="Q36" s="91" t="s">
        <v>611</v>
      </c>
      <c r="R36" s="110">
        <v>15169501</v>
      </c>
      <c r="S36" s="90">
        <v>0.31090796372879914</v>
      </c>
      <c r="T36" s="340">
        <f t="shared" si="1"/>
        <v>175.64749048253955</v>
      </c>
    </row>
    <row r="37" spans="17:20" x14ac:dyDescent="0.2">
      <c r="Q37" s="91" t="s">
        <v>551</v>
      </c>
      <c r="R37" s="110">
        <v>3921196</v>
      </c>
      <c r="S37" s="90">
        <v>0.37100000000000005</v>
      </c>
      <c r="T37" s="340">
        <f t="shared" si="1"/>
        <v>38.049341239892179</v>
      </c>
    </row>
    <row r="38" spans="17:20" x14ac:dyDescent="0.2">
      <c r="Q38" s="91" t="s">
        <v>609</v>
      </c>
      <c r="R38" s="110">
        <v>11580000</v>
      </c>
      <c r="S38" s="90"/>
      <c r="T38" s="340"/>
    </row>
    <row r="39" spans="17:20" x14ac:dyDescent="0.2">
      <c r="Q39" s="91" t="s">
        <v>607</v>
      </c>
      <c r="R39" s="110">
        <v>1712</v>
      </c>
      <c r="S39" s="90">
        <f>ProcDataGenPre2012!G26</f>
        <v>0.32271024591215164</v>
      </c>
      <c r="T39" s="340">
        <f t="shared" si="1"/>
        <v>1.9098247043813257E-2</v>
      </c>
    </row>
    <row r="40" spans="17:20" x14ac:dyDescent="0.2">
      <c r="Q40" s="91" t="s">
        <v>605</v>
      </c>
      <c r="R40" s="110">
        <v>788527</v>
      </c>
      <c r="S40" s="90">
        <f>S39</f>
        <v>0.32271024591215164</v>
      </c>
      <c r="T40" s="340">
        <f t="shared" si="1"/>
        <v>8.7964272469140994</v>
      </c>
    </row>
    <row r="41" spans="17:20" x14ac:dyDescent="0.2">
      <c r="Q41" s="91" t="s">
        <v>603</v>
      </c>
      <c r="R41" s="110">
        <v>409512</v>
      </c>
      <c r="S41" s="90">
        <f>S40</f>
        <v>0.32271024591215164</v>
      </c>
      <c r="T41" s="340">
        <f t="shared" si="1"/>
        <v>4.5683185417091448</v>
      </c>
    </row>
    <row r="42" spans="17:20" x14ac:dyDescent="0.2">
      <c r="Q42" s="91" t="s">
        <v>601</v>
      </c>
      <c r="R42" s="110">
        <v>1787</v>
      </c>
      <c r="S42" s="90">
        <f>S39</f>
        <v>0.32271024591215164</v>
      </c>
      <c r="T42" s="340">
        <f t="shared" si="1"/>
        <v>1.9934910903793394E-2</v>
      </c>
    </row>
    <row r="43" spans="17:20" ht="22.5" x14ac:dyDescent="0.2">
      <c r="Q43" s="91" t="s">
        <v>599</v>
      </c>
      <c r="R43" s="110"/>
      <c r="S43" s="90"/>
      <c r="T43" s="340"/>
    </row>
    <row r="44" spans="17:20" x14ac:dyDescent="0.2">
      <c r="Q44" s="91" t="s">
        <v>598</v>
      </c>
      <c r="R44" s="110"/>
      <c r="S44" s="90"/>
      <c r="T44" s="340"/>
    </row>
    <row r="45" spans="17:20" x14ac:dyDescent="0.2">
      <c r="Q45" s="91" t="s">
        <v>597</v>
      </c>
      <c r="R45" s="110">
        <v>1029000</v>
      </c>
      <c r="S45" s="90"/>
      <c r="T45" s="340"/>
    </row>
    <row r="46" spans="17:20" x14ac:dyDescent="0.2">
      <c r="Q46" s="91" t="s">
        <v>595</v>
      </c>
      <c r="R46" s="110"/>
      <c r="S46" s="90"/>
      <c r="T46" s="340"/>
    </row>
    <row r="47" spans="17:20" ht="22.5" x14ac:dyDescent="0.2">
      <c r="Q47" s="91" t="s">
        <v>594</v>
      </c>
      <c r="R47" s="110"/>
      <c r="S47" s="90"/>
      <c r="T47" s="340"/>
    </row>
    <row r="48" spans="17:20" ht="22.5" x14ac:dyDescent="0.2">
      <c r="Q48" s="91" t="s">
        <v>593</v>
      </c>
      <c r="R48" s="110"/>
      <c r="S48" s="90"/>
      <c r="T48" s="340"/>
    </row>
    <row r="49" spans="15:21" ht="22.5" x14ac:dyDescent="0.2">
      <c r="Q49" s="91" t="s">
        <v>591</v>
      </c>
      <c r="R49" s="110"/>
      <c r="S49" s="90"/>
      <c r="T49" s="340"/>
    </row>
    <row r="50" spans="15:21" x14ac:dyDescent="0.2">
      <c r="Q50" s="91" t="s">
        <v>589</v>
      </c>
      <c r="R50" s="110"/>
      <c r="S50" s="90"/>
      <c r="T50" s="340"/>
    </row>
    <row r="51" spans="15:21" x14ac:dyDescent="0.2">
      <c r="Q51" s="91" t="s">
        <v>587</v>
      </c>
      <c r="R51" s="110">
        <v>6972647</v>
      </c>
      <c r="S51" s="90">
        <v>0.2805027762784329</v>
      </c>
      <c r="T51" s="340">
        <f t="shared" si="1"/>
        <v>89.487631933752041</v>
      </c>
    </row>
    <row r="52" spans="15:21" x14ac:dyDescent="0.2">
      <c r="Q52" s="91" t="s">
        <v>585</v>
      </c>
      <c r="R52" s="110">
        <v>2703531</v>
      </c>
      <c r="S52" s="90">
        <v>0.25956842465744412</v>
      </c>
      <c r="T52" s="340">
        <f t="shared" si="1"/>
        <v>37.495745535476388</v>
      </c>
    </row>
    <row r="53" spans="15:21" x14ac:dyDescent="0.2">
      <c r="Q53" s="91" t="s">
        <v>583</v>
      </c>
      <c r="R53" s="110">
        <v>2064923</v>
      </c>
      <c r="S53" s="90">
        <v>0.24202040664976729</v>
      </c>
      <c r="T53" s="340">
        <f t="shared" si="1"/>
        <v>30.715272744572708</v>
      </c>
    </row>
    <row r="55" spans="15:21" x14ac:dyDescent="0.2">
      <c r="Q55" s="54" t="s">
        <v>116</v>
      </c>
      <c r="R55" s="110">
        <f>SUM(R26:R53)</f>
        <v>214020710</v>
      </c>
    </row>
    <row r="56" spans="15:21" x14ac:dyDescent="0.2">
      <c r="Q56" s="54" t="s">
        <v>578</v>
      </c>
      <c r="R56" s="110">
        <f>SUM(R51:R53)+SUM(R26:R37)</f>
        <v>200210172</v>
      </c>
      <c r="T56" s="110">
        <f>SUM(T51:T53)+SUM(T26:T37)</f>
        <v>2242.0941039954942</v>
      </c>
    </row>
    <row r="58" spans="15:21" x14ac:dyDescent="0.2">
      <c r="Q58" s="54" t="s">
        <v>2118</v>
      </c>
      <c r="R58" s="110">
        <v>218939000</v>
      </c>
      <c r="U58" s="54" t="s">
        <v>2122</v>
      </c>
    </row>
    <row r="59" spans="15:21" x14ac:dyDescent="0.2">
      <c r="P59" s="54" t="s">
        <v>823</v>
      </c>
      <c r="Q59" s="54" t="s">
        <v>2119</v>
      </c>
      <c r="R59" s="54" t="s">
        <v>2120</v>
      </c>
      <c r="S59" s="54" t="s">
        <v>2128</v>
      </c>
      <c r="T59" s="54" t="s">
        <v>2123</v>
      </c>
    </row>
    <row r="60" spans="15:21" x14ac:dyDescent="0.2">
      <c r="R60" s="54" t="s">
        <v>2094</v>
      </c>
    </row>
    <row r="61" spans="15:21" x14ac:dyDescent="0.2">
      <c r="P61" s="54" t="s">
        <v>116</v>
      </c>
    </row>
    <row r="62" spans="15:21" x14ac:dyDescent="0.2">
      <c r="O62" s="54" t="s">
        <v>2124</v>
      </c>
      <c r="P62" s="54" t="s">
        <v>2077</v>
      </c>
      <c r="Q62" s="54">
        <v>1.04</v>
      </c>
      <c r="R62" s="110">
        <f>Q62*R58/1000</f>
        <v>227696.56</v>
      </c>
    </row>
    <row r="63" spans="15:21" x14ac:dyDescent="0.2">
      <c r="O63" s="54" t="s">
        <v>2104</v>
      </c>
      <c r="P63" s="54" t="s">
        <v>1963</v>
      </c>
      <c r="Q63" s="54">
        <v>8.9</v>
      </c>
      <c r="R63" s="110">
        <f>Q63*R58/1000000</f>
        <v>1948.5571</v>
      </c>
    </row>
    <row r="64" spans="15:21" x14ac:dyDescent="0.2">
      <c r="O64" s="54" t="s">
        <v>2104</v>
      </c>
      <c r="P64" s="54" t="s">
        <v>1964</v>
      </c>
      <c r="Q64" s="54">
        <v>4.2699999999999996</v>
      </c>
      <c r="R64" s="110">
        <f>Q64*R58/1000000</f>
        <v>934.86952999999983</v>
      </c>
    </row>
    <row r="65" spans="16:24" x14ac:dyDescent="0.2">
      <c r="P65" s="54" t="s">
        <v>2177</v>
      </c>
      <c r="Q65" s="54">
        <v>0.47</v>
      </c>
      <c r="R65" s="110">
        <f>Q65*R58/1000000</f>
        <v>102.90133</v>
      </c>
    </row>
    <row r="66" spans="16:24" x14ac:dyDescent="0.2">
      <c r="P66" s="54" t="s">
        <v>2121</v>
      </c>
    </row>
    <row r="67" spans="16:24" x14ac:dyDescent="0.2">
      <c r="P67" s="54" t="s">
        <v>1963</v>
      </c>
      <c r="Q67" s="76">
        <f>R67/S67</f>
        <v>2.8212305358530214</v>
      </c>
      <c r="R67" s="340">
        <f>T67*U67</f>
        <v>3.3898156955877679</v>
      </c>
      <c r="S67" s="405">
        <f>SUM(R39:R42)/1000000</f>
        <v>1.201538</v>
      </c>
      <c r="T67" s="340">
        <f>SUM(T39:T42)</f>
        <v>13.403778946570849</v>
      </c>
      <c r="U67" s="54">
        <v>0.25290000000000001</v>
      </c>
    </row>
    <row r="68" spans="16:24" x14ac:dyDescent="0.2">
      <c r="P68" s="54" t="s">
        <v>1964</v>
      </c>
      <c r="Q68" s="76">
        <f>R68/S68</f>
        <v>2.2311036266136983</v>
      </c>
      <c r="R68" s="340">
        <f>T68*U68</f>
        <v>2.68075578931417</v>
      </c>
      <c r="S68" s="405">
        <f>S67</f>
        <v>1.201538</v>
      </c>
      <c r="T68" s="340">
        <f>T67</f>
        <v>13.403778946570849</v>
      </c>
      <c r="U68" s="54">
        <v>0.2</v>
      </c>
    </row>
    <row r="69" spans="16:24" x14ac:dyDescent="0.2">
      <c r="P69" s="54" t="s">
        <v>2177</v>
      </c>
      <c r="Q69" s="76">
        <f>R69/S69</f>
        <v>0.23426588079443833</v>
      </c>
      <c r="R69" s="340">
        <f>T69*U69</f>
        <v>0.28147935787798783</v>
      </c>
      <c r="S69" s="405">
        <f>S68</f>
        <v>1.201538</v>
      </c>
      <c r="T69" s="340">
        <f>T68</f>
        <v>13.403778946570849</v>
      </c>
      <c r="U69" s="54">
        <v>2.1000000000000001E-2</v>
      </c>
    </row>
    <row r="70" spans="16:24" x14ac:dyDescent="0.2">
      <c r="P70" s="54" t="s">
        <v>2125</v>
      </c>
    </row>
    <row r="71" spans="16:24" x14ac:dyDescent="0.2">
      <c r="P71" s="54" t="s">
        <v>2126</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2127</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2177</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workbookViewId="0"/>
  </sheetViews>
  <sheetFormatPr defaultColWidth="9.140625" defaultRowHeight="12.75" x14ac:dyDescent="0.2"/>
  <cols>
    <col min="1" max="16384" width="9.140625" style="54"/>
  </cols>
  <sheetData>
    <row r="3" spans="1:46" x14ac:dyDescent="0.2">
      <c r="C3" s="54" t="s">
        <v>754</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320</v>
      </c>
      <c r="C4" s="54" t="s">
        <v>507</v>
      </c>
      <c r="D4" s="468">
        <v>2023</v>
      </c>
      <c r="E4" s="468">
        <v>2023</v>
      </c>
      <c r="F4" s="468">
        <v>2024</v>
      </c>
      <c r="G4" s="468">
        <v>2025</v>
      </c>
      <c r="H4" s="468">
        <v>2025</v>
      </c>
      <c r="I4" s="468">
        <v>2024</v>
      </c>
      <c r="J4" s="468">
        <v>2024</v>
      </c>
      <c r="K4" s="468">
        <v>2025</v>
      </c>
      <c r="L4" s="468"/>
      <c r="M4" s="468"/>
      <c r="N4" s="54">
        <f t="shared" ref="N4:N17" si="0">COUNT(D4:M4)</f>
        <v>8</v>
      </c>
      <c r="O4" s="54">
        <f>ProcDataGenPre2012!AX9</f>
        <v>1.4810000000000001</v>
      </c>
      <c r="P4" s="54">
        <f t="shared" ref="P4:AT4" si="1">COUNTIF($D4:$M4,P$3)*-$O4/$N4+O4</f>
        <v>1.4810000000000001</v>
      </c>
      <c r="Q4" s="54">
        <f t="shared" si="1"/>
        <v>1.4810000000000001</v>
      </c>
      <c r="R4" s="54">
        <f t="shared" si="1"/>
        <v>1.4810000000000001</v>
      </c>
      <c r="S4" s="54">
        <f t="shared" si="1"/>
        <v>1.1107500000000001</v>
      </c>
      <c r="T4" s="54">
        <f t="shared" si="1"/>
        <v>0.55537500000000006</v>
      </c>
      <c r="U4" s="54">
        <f t="shared" si="1"/>
        <v>0</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318</v>
      </c>
      <c r="C5" s="54" t="s">
        <v>442</v>
      </c>
      <c r="D5" s="468">
        <v>2026</v>
      </c>
      <c r="E5" s="468">
        <v>2026</v>
      </c>
      <c r="F5" s="468">
        <v>2027</v>
      </c>
      <c r="G5" s="468"/>
      <c r="H5" s="468"/>
      <c r="I5" s="468"/>
      <c r="J5" s="468"/>
      <c r="K5" s="468"/>
      <c r="L5" s="468"/>
      <c r="M5" s="468"/>
      <c r="N5" s="54">
        <f t="shared" si="0"/>
        <v>3</v>
      </c>
      <c r="O5" s="54">
        <f>ProcDataGenPre2012!AX10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0.19</v>
      </c>
      <c r="W5" s="54">
        <f t="shared" si="2"/>
        <v>0</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316</v>
      </c>
      <c r="C6" s="54" t="s">
        <v>443</v>
      </c>
      <c r="D6" s="469">
        <v>2020</v>
      </c>
      <c r="E6" s="469">
        <v>2020</v>
      </c>
      <c r="F6" s="469">
        <v>2021</v>
      </c>
      <c r="G6" s="468"/>
      <c r="H6" s="468"/>
      <c r="I6" s="468"/>
      <c r="J6" s="468"/>
      <c r="K6" s="468"/>
      <c r="L6" s="468">
        <v>2022</v>
      </c>
      <c r="M6" s="468"/>
      <c r="N6" s="54">
        <f t="shared" si="0"/>
        <v>4</v>
      </c>
      <c r="O6" s="54">
        <f>ProcDataGenPre2012!AX11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314</v>
      </c>
      <c r="C7" s="54" t="s">
        <v>453</v>
      </c>
      <c r="D7" s="468">
        <v>2027</v>
      </c>
      <c r="E7" s="468">
        <v>2026</v>
      </c>
      <c r="F7" s="468">
        <v>2026</v>
      </c>
      <c r="G7" s="468">
        <v>2027</v>
      </c>
      <c r="H7" s="468">
        <v>2029</v>
      </c>
      <c r="I7" s="468">
        <v>2029</v>
      </c>
      <c r="J7" s="468"/>
      <c r="K7" s="468"/>
      <c r="L7" s="468"/>
      <c r="M7" s="468"/>
      <c r="N7" s="54">
        <f t="shared" si="0"/>
        <v>6</v>
      </c>
      <c r="O7" s="54">
        <f>ProcDataGenPre2012!AX12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312</v>
      </c>
      <c r="C8" s="54" t="s">
        <v>503</v>
      </c>
      <c r="D8" s="468">
        <v>2031</v>
      </c>
      <c r="E8" s="468">
        <v>2031</v>
      </c>
      <c r="F8" s="468"/>
      <c r="G8" s="468">
        <v>2033</v>
      </c>
      <c r="H8" s="468">
        <v>2033</v>
      </c>
      <c r="I8" s="468">
        <v>2034</v>
      </c>
      <c r="J8" s="468"/>
      <c r="K8" s="468"/>
      <c r="L8" s="468"/>
      <c r="M8" s="468"/>
      <c r="N8" s="54">
        <f t="shared" si="0"/>
        <v>5</v>
      </c>
      <c r="O8" s="54">
        <f>ProcDataGenPre2012!AX13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310</v>
      </c>
      <c r="C9" s="54" t="s">
        <v>446</v>
      </c>
      <c r="D9" s="469">
        <v>2021</v>
      </c>
      <c r="E9" s="468">
        <v>2025</v>
      </c>
      <c r="F9" s="468"/>
      <c r="G9" s="468">
        <v>2025</v>
      </c>
      <c r="H9" s="468">
        <v>2025</v>
      </c>
      <c r="I9" s="468">
        <v>2025</v>
      </c>
      <c r="J9" s="468">
        <v>2024</v>
      </c>
      <c r="K9" s="468"/>
      <c r="L9" s="468"/>
      <c r="M9" s="468">
        <v>2023</v>
      </c>
      <c r="N9" s="54">
        <f t="shared" si="0"/>
        <v>7</v>
      </c>
      <c r="O9" s="54">
        <f>ProcDataGenPre2012!AX14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308</v>
      </c>
      <c r="C10" s="54" t="s">
        <v>492</v>
      </c>
      <c r="D10" s="468">
        <v>2039</v>
      </c>
      <c r="E10" s="468">
        <v>2041</v>
      </c>
      <c r="F10" s="468">
        <v>2042</v>
      </c>
      <c r="G10" s="468">
        <v>2042</v>
      </c>
      <c r="H10" s="468">
        <v>2043</v>
      </c>
      <c r="I10" s="468">
        <v>2044</v>
      </c>
      <c r="J10" s="468"/>
      <c r="K10" s="468"/>
      <c r="L10" s="468"/>
      <c r="M10" s="468"/>
      <c r="N10" s="54">
        <f t="shared" si="0"/>
        <v>6</v>
      </c>
      <c r="O10" s="54">
        <f>ProcDataGenPre2012!AX15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306</v>
      </c>
      <c r="C11" s="54" t="s">
        <v>447</v>
      </c>
      <c r="D11" s="468">
        <v>2026</v>
      </c>
      <c r="E11" s="468">
        <v>2027</v>
      </c>
      <c r="F11" s="468">
        <v>2028</v>
      </c>
      <c r="G11" s="468">
        <v>2029</v>
      </c>
      <c r="H11" s="468">
        <v>2029</v>
      </c>
      <c r="I11" s="468">
        <v>2030</v>
      </c>
      <c r="J11" s="468"/>
      <c r="K11" s="468"/>
      <c r="L11" s="468"/>
      <c r="M11" s="468"/>
      <c r="N11" s="54">
        <f t="shared" si="0"/>
        <v>6</v>
      </c>
      <c r="O11" s="54">
        <f>ProcDataGenPre2012!AX16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304</v>
      </c>
      <c r="C12" s="54" t="s">
        <v>478</v>
      </c>
      <c r="D12" s="468">
        <v>2036</v>
      </c>
      <c r="E12" s="468">
        <v>2037</v>
      </c>
      <c r="F12" s="468">
        <v>2037</v>
      </c>
      <c r="G12" s="468">
        <v>2038</v>
      </c>
      <c r="H12" s="468">
        <v>2040</v>
      </c>
      <c r="I12" s="468">
        <v>2041</v>
      </c>
      <c r="J12" s="468"/>
      <c r="K12" s="468"/>
      <c r="L12" s="468"/>
      <c r="M12" s="468"/>
      <c r="N12" s="54">
        <f t="shared" si="0"/>
        <v>6</v>
      </c>
      <c r="O12" s="54">
        <f>ProcDataGenPre2012!AX17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302</v>
      </c>
      <c r="C13" s="54" t="s">
        <v>444</v>
      </c>
      <c r="D13" s="468">
        <v>2046</v>
      </c>
      <c r="E13" s="468">
        <v>2047</v>
      </c>
      <c r="F13" s="468">
        <v>2048</v>
      </c>
      <c r="G13" s="468"/>
      <c r="H13" s="468"/>
      <c r="I13" s="468"/>
      <c r="J13" s="468"/>
      <c r="K13" s="468"/>
      <c r="L13" s="468"/>
      <c r="M13" s="468"/>
      <c r="N13" s="54">
        <f t="shared" si="0"/>
        <v>3</v>
      </c>
      <c r="O13" s="54">
        <f>ProcDataGenPre2012!AX18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300</v>
      </c>
      <c r="D14" s="468"/>
      <c r="E14" s="468"/>
      <c r="F14" s="468"/>
      <c r="G14" s="468">
        <v>2049</v>
      </c>
      <c r="H14" s="468">
        <v>2050</v>
      </c>
      <c r="I14" s="468">
        <v>2051</v>
      </c>
      <c r="J14" s="468"/>
      <c r="K14" s="468"/>
      <c r="L14" s="468"/>
      <c r="M14" s="468"/>
      <c r="N14" s="54">
        <f t="shared" si="0"/>
        <v>3</v>
      </c>
      <c r="O14" s="54">
        <f>ProcDataGenPre2012!AX19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298</v>
      </c>
      <c r="C15" s="54" t="s">
        <v>471</v>
      </c>
      <c r="D15" s="468">
        <v>2038</v>
      </c>
      <c r="E15" s="468">
        <v>2038</v>
      </c>
      <c r="F15" s="468">
        <v>2039</v>
      </c>
      <c r="G15" s="468">
        <v>2040</v>
      </c>
      <c r="H15" s="468">
        <v>2041</v>
      </c>
      <c r="I15" s="468">
        <v>2042</v>
      </c>
      <c r="J15" s="468"/>
      <c r="K15" s="468"/>
      <c r="L15" s="468"/>
      <c r="M15" s="468"/>
      <c r="N15" s="54">
        <f t="shared" si="0"/>
        <v>6</v>
      </c>
      <c r="O15" s="54">
        <f>ProcDataGenPre2012!AX20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296</v>
      </c>
      <c r="C16" s="54" t="s">
        <v>450</v>
      </c>
      <c r="D16" s="468">
        <v>2030</v>
      </c>
      <c r="E16" s="468">
        <v>2031</v>
      </c>
      <c r="F16" s="468">
        <v>2031</v>
      </c>
      <c r="G16" s="468">
        <v>2032</v>
      </c>
      <c r="H16" s="468">
        <v>2033</v>
      </c>
      <c r="I16" s="468">
        <v>2034</v>
      </c>
      <c r="J16" s="468"/>
      <c r="K16" s="468"/>
      <c r="L16" s="468"/>
      <c r="M16" s="468"/>
      <c r="N16" s="54">
        <f t="shared" si="0"/>
        <v>6</v>
      </c>
      <c r="O16" s="54">
        <f>ProcDataGenPre2012!AX21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294</v>
      </c>
      <c r="C17" s="54" t="s">
        <v>455</v>
      </c>
      <c r="D17" s="468">
        <v>2030</v>
      </c>
      <c r="E17" s="468">
        <v>2030</v>
      </c>
      <c r="F17" s="468">
        <v>2030</v>
      </c>
      <c r="G17" s="468">
        <v>2030</v>
      </c>
      <c r="H17" s="468">
        <v>2030</v>
      </c>
      <c r="I17" s="468">
        <v>2030</v>
      </c>
      <c r="J17" s="468"/>
      <c r="K17" s="468"/>
      <c r="L17" s="468"/>
      <c r="M17" s="468"/>
      <c r="N17" s="54">
        <f t="shared" si="0"/>
        <v>6</v>
      </c>
      <c r="O17" s="54">
        <f>ProcDataGenPre2012!AX22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274</v>
      </c>
      <c r="C18" s="54" t="s">
        <v>463</v>
      </c>
      <c r="D18" s="468">
        <v>2071</v>
      </c>
      <c r="E18" s="468">
        <v>2069</v>
      </c>
      <c r="F18" s="468">
        <v>2068</v>
      </c>
      <c r="G18" s="468">
        <v>2067</v>
      </c>
      <c r="H18" s="468">
        <v>2067</v>
      </c>
      <c r="I18" s="468">
        <v>2065</v>
      </c>
      <c r="J18" s="468"/>
      <c r="K18" s="468"/>
      <c r="L18" s="468"/>
      <c r="M18" s="468" t="s">
        <v>2307</v>
      </c>
      <c r="N18" s="54">
        <v>6</v>
      </c>
      <c r="O18" s="54">
        <f t="shared" ref="O18:AT18" si="15">SUM(O4:O17)</f>
        <v>33.601999999999997</v>
      </c>
      <c r="P18" s="54">
        <f t="shared" si="15"/>
        <v>33.396999999999998</v>
      </c>
      <c r="Q18" s="54">
        <f t="shared" si="15"/>
        <v>33.109785714285707</v>
      </c>
      <c r="R18" s="54">
        <f t="shared" si="15"/>
        <v>33.007285714285707</v>
      </c>
      <c r="S18" s="54">
        <f t="shared" si="15"/>
        <v>32.452321428571423</v>
      </c>
      <c r="T18" s="54">
        <f t="shared" si="15"/>
        <v>31.71223214285714</v>
      </c>
      <c r="U18" s="54">
        <f t="shared" si="15"/>
        <v>30.417999999999999</v>
      </c>
      <c r="V18" s="54">
        <f t="shared" si="15"/>
        <v>28.818999999999996</v>
      </c>
      <c r="W18" s="54">
        <f t="shared" si="15"/>
        <v>27.409999999999997</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272</v>
      </c>
      <c r="C19" s="54" t="s">
        <v>551</v>
      </c>
      <c r="D19" s="468">
        <v>2068</v>
      </c>
      <c r="E19" s="468">
        <v>2070</v>
      </c>
      <c r="F19" s="468">
        <v>2071</v>
      </c>
      <c r="G19" s="468">
        <v>2072</v>
      </c>
      <c r="H19" s="468">
        <v>2072</v>
      </c>
      <c r="I19" s="468">
        <v>2073</v>
      </c>
      <c r="J19" s="468"/>
      <c r="K19" s="468"/>
      <c r="L19" s="468"/>
      <c r="M19" s="468" t="s">
        <v>2307</v>
      </c>
      <c r="N19" s="54">
        <v>6</v>
      </c>
      <c r="P19" s="107">
        <f>P18-O18</f>
        <v>-0.20499999999999829</v>
      </c>
      <c r="Q19" s="107">
        <f t="shared" ref="Q19:AT19" si="16">Q18-P18</f>
        <v>-0.28721428571429186</v>
      </c>
      <c r="R19" s="107">
        <f t="shared" si="16"/>
        <v>-0.10249999999999915</v>
      </c>
      <c r="S19" s="107">
        <f t="shared" si="16"/>
        <v>-0.55496428571428424</v>
      </c>
      <c r="T19" s="107">
        <f t="shared" si="16"/>
        <v>-0.74008928571428356</v>
      </c>
      <c r="U19" s="107">
        <f t="shared" si="16"/>
        <v>-1.2942321428571404</v>
      </c>
      <c r="V19" s="107">
        <f t="shared" si="16"/>
        <v>-1.5990000000000038</v>
      </c>
      <c r="W19" s="107">
        <f t="shared" si="16"/>
        <v>-1.4089999999999989</v>
      </c>
      <c r="X19" s="107">
        <f t="shared" si="16"/>
        <v>-0.47499999999999432</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2317</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753</v>
      </c>
      <c r="C53" s="54" t="s">
        <v>752</v>
      </c>
      <c r="E53" s="166">
        <v>43949</v>
      </c>
    </row>
    <row r="54" spans="2:15" x14ac:dyDescent="0.2">
      <c r="B54" s="54" t="s">
        <v>751</v>
      </c>
    </row>
    <row r="55" spans="2:15" x14ac:dyDescent="0.2">
      <c r="B55" s="54" t="s">
        <v>750</v>
      </c>
      <c r="C55" s="54" t="s">
        <v>749</v>
      </c>
    </row>
    <row r="56" spans="2:15" x14ac:dyDescent="0.2">
      <c r="C56" s="54" t="s">
        <v>748</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747</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1060</v>
      </c>
      <c r="B1" s="189" t="s">
        <v>1059</v>
      </c>
      <c r="C1" s="189" t="s">
        <v>1058</v>
      </c>
      <c r="D1" s="189" t="s">
        <v>1057</v>
      </c>
      <c r="E1" s="189" t="s">
        <v>1056</v>
      </c>
      <c r="F1" s="190" t="s">
        <v>137</v>
      </c>
      <c r="G1" s="189" t="s">
        <v>1055</v>
      </c>
      <c r="H1" s="188" t="s">
        <v>1054</v>
      </c>
      <c r="I1" s="188" t="s">
        <v>1053</v>
      </c>
      <c r="J1" s="188" t="s">
        <v>1052</v>
      </c>
      <c r="K1" s="188" t="s">
        <v>1051</v>
      </c>
      <c r="L1" s="188" t="s">
        <v>1050</v>
      </c>
      <c r="M1" s="188" t="s">
        <v>1049</v>
      </c>
      <c r="N1" s="188" t="s">
        <v>1048</v>
      </c>
      <c r="O1" s="188" t="s">
        <v>1047</v>
      </c>
    </row>
    <row r="2" spans="1:17" x14ac:dyDescent="0.25">
      <c r="A2" s="187" t="s">
        <v>1046</v>
      </c>
      <c r="B2" s="187" t="s">
        <v>1045</v>
      </c>
      <c r="C2" s="186" t="s">
        <v>760</v>
      </c>
      <c r="D2" s="186" t="s">
        <v>1044</v>
      </c>
      <c r="E2" s="186" t="s">
        <v>1043</v>
      </c>
      <c r="F2" s="185" t="s">
        <v>757</v>
      </c>
      <c r="G2" s="184">
        <v>2017</v>
      </c>
      <c r="H2" s="183">
        <v>0.8</v>
      </c>
      <c r="I2" s="183">
        <v>6714</v>
      </c>
      <c r="J2" s="183">
        <v>0</v>
      </c>
      <c r="K2" s="183">
        <v>6714</v>
      </c>
      <c r="L2" s="183">
        <v>618.04499999999996</v>
      </c>
      <c r="M2" s="183">
        <v>6714</v>
      </c>
      <c r="N2" s="183">
        <v>7332.0450000000001</v>
      </c>
      <c r="O2" s="183">
        <v>0</v>
      </c>
    </row>
    <row r="3" spans="1:17" ht="24.75" x14ac:dyDescent="0.25">
      <c r="A3" s="182" t="s">
        <v>1042</v>
      </c>
      <c r="B3" s="180" t="s">
        <v>1041</v>
      </c>
      <c r="C3" s="179" t="s">
        <v>760</v>
      </c>
      <c r="D3" s="179" t="s">
        <v>1040</v>
      </c>
      <c r="E3" s="179" t="s">
        <v>758</v>
      </c>
      <c r="F3" s="178" t="s">
        <v>757</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1039</v>
      </c>
      <c r="B4" s="180" t="s">
        <v>1038</v>
      </c>
      <c r="C4" s="179" t="s">
        <v>760</v>
      </c>
      <c r="D4" s="179" t="s">
        <v>1037</v>
      </c>
      <c r="E4" s="179" t="s">
        <v>763</v>
      </c>
      <c r="F4" s="178" t="s">
        <v>757</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819</v>
      </c>
      <c r="B5" s="180" t="s">
        <v>1036</v>
      </c>
      <c r="C5" s="179" t="s">
        <v>760</v>
      </c>
      <c r="D5" s="179" t="s">
        <v>1035</v>
      </c>
      <c r="E5" s="179" t="s">
        <v>763</v>
      </c>
      <c r="F5" s="178" t="s">
        <v>757</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1034</v>
      </c>
      <c r="B6" s="180" t="s">
        <v>1033</v>
      </c>
      <c r="C6" s="179" t="s">
        <v>760</v>
      </c>
      <c r="D6" s="179" t="s">
        <v>1032</v>
      </c>
      <c r="E6" s="179" t="s">
        <v>763</v>
      </c>
      <c r="F6" s="178" t="s">
        <v>757</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1031</v>
      </c>
      <c r="B7" s="180" t="s">
        <v>1030</v>
      </c>
      <c r="C7" s="179" t="s">
        <v>760</v>
      </c>
      <c r="D7" s="179" t="s">
        <v>524</v>
      </c>
      <c r="E7" s="179" t="s">
        <v>146</v>
      </c>
      <c r="F7" s="178" t="s">
        <v>757</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1029</v>
      </c>
      <c r="B8" s="180" t="s">
        <v>1028</v>
      </c>
      <c r="C8" s="179" t="s">
        <v>760</v>
      </c>
      <c r="D8" s="179" t="s">
        <v>1027</v>
      </c>
      <c r="E8" s="179" t="s">
        <v>251</v>
      </c>
      <c r="F8" s="178" t="s">
        <v>757</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1026</v>
      </c>
      <c r="B9" s="180" t="s">
        <v>1025</v>
      </c>
      <c r="C9" s="179" t="s">
        <v>760</v>
      </c>
      <c r="D9" s="179" t="s">
        <v>1024</v>
      </c>
      <c r="E9" s="179" t="s">
        <v>251</v>
      </c>
      <c r="F9" s="178" t="s">
        <v>757</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1023</v>
      </c>
      <c r="B10" s="180" t="s">
        <v>1022</v>
      </c>
      <c r="C10" s="179" t="s">
        <v>760</v>
      </c>
      <c r="D10" s="179" t="s">
        <v>1021</v>
      </c>
      <c r="E10" s="179" t="s">
        <v>763</v>
      </c>
      <c r="F10" s="178" t="s">
        <v>757</v>
      </c>
      <c r="G10" s="177">
        <v>2017</v>
      </c>
      <c r="H10" s="175">
        <v>9</v>
      </c>
      <c r="I10" s="175">
        <v>19617.45</v>
      </c>
      <c r="J10" s="175">
        <v>95.742999999999995</v>
      </c>
      <c r="K10" s="175">
        <v>19713.193000000003</v>
      </c>
      <c r="L10" s="175">
        <v>0</v>
      </c>
      <c r="M10" s="175">
        <v>19617.45</v>
      </c>
      <c r="N10" s="175">
        <v>0</v>
      </c>
      <c r="O10" s="175">
        <v>19617.45</v>
      </c>
    </row>
    <row r="11" spans="1:17" x14ac:dyDescent="0.25">
      <c r="A11" s="180" t="s">
        <v>1020</v>
      </c>
      <c r="B11" s="180" t="s">
        <v>1019</v>
      </c>
      <c r="C11" s="179" t="s">
        <v>760</v>
      </c>
      <c r="D11" s="179" t="s">
        <v>1018</v>
      </c>
      <c r="E11" s="179" t="s">
        <v>823</v>
      </c>
      <c r="F11" s="178" t="s">
        <v>757</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1016</v>
      </c>
      <c r="B12" s="180" t="s">
        <v>1015</v>
      </c>
      <c r="C12" s="179" t="s">
        <v>760</v>
      </c>
      <c r="D12" s="179" t="s">
        <v>1017</v>
      </c>
      <c r="E12" s="179" t="s">
        <v>792</v>
      </c>
      <c r="F12" s="178" t="s">
        <v>757</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1016</v>
      </c>
      <c r="B13" s="180" t="s">
        <v>1015</v>
      </c>
      <c r="C13" s="179" t="s">
        <v>760</v>
      </c>
      <c r="D13" s="179" t="s">
        <v>1014</v>
      </c>
      <c r="E13" s="179" t="s">
        <v>792</v>
      </c>
      <c r="F13" s="178" t="s">
        <v>757</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1013</v>
      </c>
      <c r="B14" s="180" t="s">
        <v>1012</v>
      </c>
      <c r="C14" s="179" t="s">
        <v>760</v>
      </c>
      <c r="D14" s="179" t="s">
        <v>1011</v>
      </c>
      <c r="E14" s="179" t="s">
        <v>251</v>
      </c>
      <c r="F14" s="178" t="s">
        <v>757</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1010</v>
      </c>
      <c r="B15" s="180" t="s">
        <v>1009</v>
      </c>
      <c r="C15" s="179" t="s">
        <v>760</v>
      </c>
      <c r="D15" s="179" t="s">
        <v>1008</v>
      </c>
      <c r="E15" s="179" t="s">
        <v>130</v>
      </c>
      <c r="F15" s="178" t="s">
        <v>757</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1007</v>
      </c>
      <c r="B16" s="180" t="s">
        <v>1006</v>
      </c>
      <c r="C16" s="179" t="s">
        <v>760</v>
      </c>
      <c r="D16" s="179" t="s">
        <v>1005</v>
      </c>
      <c r="E16" s="179" t="s">
        <v>251</v>
      </c>
      <c r="F16" s="178" t="s">
        <v>757</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1002</v>
      </c>
      <c r="B17" s="180" t="s">
        <v>1001</v>
      </c>
      <c r="C17" s="179" t="s">
        <v>794</v>
      </c>
      <c r="D17" s="179" t="s">
        <v>1004</v>
      </c>
      <c r="E17" s="179" t="s">
        <v>823</v>
      </c>
      <c r="F17" s="178" t="s">
        <v>757</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1002</v>
      </c>
      <c r="B18" s="180" t="s">
        <v>1001</v>
      </c>
      <c r="C18" s="179" t="s">
        <v>794</v>
      </c>
      <c r="D18" s="179" t="s">
        <v>1003</v>
      </c>
      <c r="E18" s="179" t="s">
        <v>823</v>
      </c>
      <c r="F18" s="178" t="s">
        <v>757</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1002</v>
      </c>
      <c r="B19" s="180" t="s">
        <v>1001</v>
      </c>
      <c r="C19" s="179" t="s">
        <v>794</v>
      </c>
      <c r="D19" s="179" t="s">
        <v>1000</v>
      </c>
      <c r="E19" s="179" t="s">
        <v>954</v>
      </c>
      <c r="F19" s="178" t="s">
        <v>757</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998</v>
      </c>
      <c r="B20" s="180" t="s">
        <v>997</v>
      </c>
      <c r="C20" s="179" t="s">
        <v>794</v>
      </c>
      <c r="D20" s="179" t="s">
        <v>999</v>
      </c>
      <c r="E20" s="179" t="s">
        <v>146</v>
      </c>
      <c r="F20" s="178" t="s">
        <v>757</v>
      </c>
      <c r="G20" s="177">
        <v>2017</v>
      </c>
      <c r="H20" s="175">
        <v>300</v>
      </c>
      <c r="I20" s="175">
        <v>0</v>
      </c>
      <c r="J20" s="175">
        <v>0</v>
      </c>
      <c r="K20" s="175">
        <v>0</v>
      </c>
      <c r="L20" s="175">
        <v>5114.3999999999996</v>
      </c>
      <c r="M20" s="175">
        <v>-5114.3999999999996</v>
      </c>
      <c r="N20" s="175">
        <v>0</v>
      </c>
      <c r="O20" s="175">
        <v>-5114.3999999999996</v>
      </c>
    </row>
    <row r="21" spans="1:16" x14ac:dyDescent="0.25">
      <c r="A21" s="180" t="s">
        <v>998</v>
      </c>
      <c r="B21" s="180" t="s">
        <v>997</v>
      </c>
      <c r="C21" s="179" t="s">
        <v>794</v>
      </c>
      <c r="D21" s="179" t="s">
        <v>996</v>
      </c>
      <c r="E21" s="179" t="s">
        <v>995</v>
      </c>
      <c r="F21" s="178" t="s">
        <v>757</v>
      </c>
      <c r="G21" s="177">
        <v>2017</v>
      </c>
      <c r="H21" s="175">
        <v>204</v>
      </c>
      <c r="I21" s="175">
        <v>20347</v>
      </c>
      <c r="J21" s="175">
        <v>0</v>
      </c>
      <c r="K21" s="175">
        <v>20347</v>
      </c>
      <c r="L21" s="175">
        <v>1434</v>
      </c>
      <c r="M21" s="175">
        <v>18913</v>
      </c>
      <c r="N21" s="175">
        <v>5389</v>
      </c>
      <c r="O21" s="175">
        <v>13524</v>
      </c>
    </row>
    <row r="22" spans="1:16" x14ac:dyDescent="0.25">
      <c r="A22" s="180" t="s">
        <v>994</v>
      </c>
      <c r="B22" s="180" t="s">
        <v>993</v>
      </c>
      <c r="C22" s="179" t="s">
        <v>760</v>
      </c>
      <c r="D22" s="179" t="s">
        <v>992</v>
      </c>
      <c r="E22" s="179" t="s">
        <v>792</v>
      </c>
      <c r="F22" s="178" t="s">
        <v>757</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991</v>
      </c>
      <c r="B23" s="180" t="s">
        <v>990</v>
      </c>
      <c r="C23" s="179" t="s">
        <v>760</v>
      </c>
      <c r="D23" s="179" t="s">
        <v>990</v>
      </c>
      <c r="E23" s="179" t="s">
        <v>763</v>
      </c>
      <c r="F23" s="178" t="s">
        <v>757</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989</v>
      </c>
      <c r="B24" s="180" t="s">
        <v>988</v>
      </c>
      <c r="C24" s="179" t="s">
        <v>760</v>
      </c>
      <c r="D24" s="179" t="s">
        <v>987</v>
      </c>
      <c r="E24" s="179" t="s">
        <v>251</v>
      </c>
      <c r="F24" s="178" t="s">
        <v>757</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986</v>
      </c>
      <c r="B25" s="180" t="s">
        <v>985</v>
      </c>
      <c r="C25" s="179" t="s">
        <v>760</v>
      </c>
      <c r="D25" s="179" t="s">
        <v>984</v>
      </c>
      <c r="E25" s="179" t="s">
        <v>763</v>
      </c>
      <c r="F25" s="178" t="s">
        <v>757</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983</v>
      </c>
      <c r="B26" s="180" t="s">
        <v>982</v>
      </c>
      <c r="C26" s="179" t="s">
        <v>760</v>
      </c>
      <c r="D26" s="179" t="s">
        <v>981</v>
      </c>
      <c r="E26" s="179" t="s">
        <v>251</v>
      </c>
      <c r="F26" s="178" t="s">
        <v>757</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980</v>
      </c>
      <c r="B27" s="180" t="s">
        <v>979</v>
      </c>
      <c r="C27" s="179" t="s">
        <v>760</v>
      </c>
      <c r="D27" s="179" t="s">
        <v>978</v>
      </c>
      <c r="E27" s="179" t="s">
        <v>960</v>
      </c>
      <c r="F27" s="178" t="s">
        <v>757</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977</v>
      </c>
      <c r="B28" s="180" t="s">
        <v>976</v>
      </c>
      <c r="C28" s="179" t="s">
        <v>760</v>
      </c>
      <c r="D28" s="179" t="s">
        <v>975</v>
      </c>
      <c r="E28" s="179" t="s">
        <v>251</v>
      </c>
      <c r="F28" s="178" t="s">
        <v>757</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974</v>
      </c>
      <c r="B29" s="180" t="s">
        <v>973</v>
      </c>
      <c r="C29" s="179" t="s">
        <v>760</v>
      </c>
      <c r="D29" s="179" t="s">
        <v>972</v>
      </c>
      <c r="E29" s="179" t="s">
        <v>763</v>
      </c>
      <c r="F29" s="178" t="s">
        <v>757</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971</v>
      </c>
      <c r="B30" s="180" t="s">
        <v>970</v>
      </c>
      <c r="C30" s="179" t="s">
        <v>760</v>
      </c>
      <c r="D30" s="179" t="s">
        <v>969</v>
      </c>
      <c r="E30" s="179" t="s">
        <v>251</v>
      </c>
      <c r="F30" s="178" t="s">
        <v>757</v>
      </c>
      <c r="G30" s="177">
        <v>2017</v>
      </c>
      <c r="H30" s="175">
        <v>1.8</v>
      </c>
      <c r="I30" s="175">
        <v>5525.45</v>
      </c>
      <c r="J30" s="175">
        <v>0</v>
      </c>
      <c r="K30" s="175">
        <v>5525.45</v>
      </c>
      <c r="L30" s="175">
        <v>0</v>
      </c>
      <c r="M30" s="175">
        <v>5525.45</v>
      </c>
      <c r="N30" s="175">
        <v>0</v>
      </c>
      <c r="O30" s="175">
        <v>5525.45</v>
      </c>
    </row>
    <row r="31" spans="1:16" x14ac:dyDescent="0.25">
      <c r="A31" s="180" t="s">
        <v>967</v>
      </c>
      <c r="B31" s="180" t="s">
        <v>966</v>
      </c>
      <c r="C31" s="179" t="s">
        <v>760</v>
      </c>
      <c r="D31" s="179" t="s">
        <v>968</v>
      </c>
      <c r="E31" s="179" t="s">
        <v>964</v>
      </c>
      <c r="F31" s="178" t="s">
        <v>757</v>
      </c>
      <c r="G31" s="177">
        <v>2017</v>
      </c>
      <c r="H31" s="175">
        <v>3</v>
      </c>
      <c r="I31" s="175">
        <v>27959.786</v>
      </c>
      <c r="J31" s="175">
        <v>0</v>
      </c>
      <c r="K31" s="175">
        <v>27959.786</v>
      </c>
      <c r="L31" s="175">
        <v>0</v>
      </c>
      <c r="M31" s="175">
        <v>27959.786</v>
      </c>
      <c r="N31" s="175">
        <v>0</v>
      </c>
      <c r="O31" s="175">
        <v>27959.786</v>
      </c>
    </row>
    <row r="32" spans="1:16" x14ac:dyDescent="0.25">
      <c r="A32" s="180" t="s">
        <v>967</v>
      </c>
      <c r="B32" s="180" t="s">
        <v>966</v>
      </c>
      <c r="C32" s="179" t="s">
        <v>760</v>
      </c>
      <c r="D32" s="179" t="s">
        <v>965</v>
      </c>
      <c r="E32" s="179" t="s">
        <v>964</v>
      </c>
      <c r="F32" s="178" t="s">
        <v>757</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963</v>
      </c>
      <c r="B33" s="180" t="s">
        <v>962</v>
      </c>
      <c r="C33" s="179" t="s">
        <v>760</v>
      </c>
      <c r="D33" s="179" t="s">
        <v>961</v>
      </c>
      <c r="E33" s="179" t="s">
        <v>763</v>
      </c>
      <c r="F33" s="178" t="s">
        <v>757</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953</v>
      </c>
      <c r="B34" s="180" t="s">
        <v>952</v>
      </c>
      <c r="C34" s="179" t="s">
        <v>523</v>
      </c>
      <c r="D34" s="179" t="s">
        <v>453</v>
      </c>
      <c r="E34" s="179" t="s">
        <v>146</v>
      </c>
      <c r="F34" s="178" t="s">
        <v>757</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953</v>
      </c>
      <c r="B35" s="180" t="s">
        <v>952</v>
      </c>
      <c r="C35" s="179" t="s">
        <v>523</v>
      </c>
      <c r="D35" s="179" t="s">
        <v>507</v>
      </c>
      <c r="E35" s="179" t="s">
        <v>146</v>
      </c>
      <c r="F35" s="178" t="s">
        <v>757</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953</v>
      </c>
      <c r="B36" s="180" t="s">
        <v>952</v>
      </c>
      <c r="C36" s="179" t="s">
        <v>523</v>
      </c>
      <c r="D36" s="179" t="s">
        <v>503</v>
      </c>
      <c r="E36" s="179" t="s">
        <v>146</v>
      </c>
      <c r="F36" s="178" t="s">
        <v>757</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953</v>
      </c>
      <c r="B37" s="180" t="s">
        <v>952</v>
      </c>
      <c r="C37" s="179" t="s">
        <v>523</v>
      </c>
      <c r="D37" s="179" t="s">
        <v>442</v>
      </c>
      <c r="E37" s="179" t="s">
        <v>146</v>
      </c>
      <c r="F37" s="178" t="s">
        <v>757</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953</v>
      </c>
      <c r="B38" s="180" t="s">
        <v>952</v>
      </c>
      <c r="C38" s="179" t="s">
        <v>523</v>
      </c>
      <c r="D38" s="179" t="s">
        <v>446</v>
      </c>
      <c r="E38" s="179" t="s">
        <v>146</v>
      </c>
      <c r="F38" s="178" t="s">
        <v>757</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953</v>
      </c>
      <c r="B39" s="180" t="s">
        <v>952</v>
      </c>
      <c r="C39" s="179" t="s">
        <v>523</v>
      </c>
      <c r="D39" s="179" t="s">
        <v>492</v>
      </c>
      <c r="E39" s="179" t="s">
        <v>146</v>
      </c>
      <c r="F39" s="178" t="s">
        <v>757</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953</v>
      </c>
      <c r="B40" s="180" t="s">
        <v>952</v>
      </c>
      <c r="C40" s="179" t="s">
        <v>523</v>
      </c>
      <c r="D40" s="179" t="s">
        <v>443</v>
      </c>
      <c r="E40" s="179" t="s">
        <v>146</v>
      </c>
      <c r="F40" s="178" t="s">
        <v>757</v>
      </c>
      <c r="G40" s="177">
        <v>2017</v>
      </c>
      <c r="H40" s="175">
        <v>1000</v>
      </c>
      <c r="I40" s="175">
        <v>2598873.14</v>
      </c>
      <c r="J40" s="175">
        <v>180096.81</v>
      </c>
      <c r="K40" s="175">
        <v>2418776.33</v>
      </c>
      <c r="L40" s="175">
        <v>0</v>
      </c>
      <c r="M40" s="175">
        <v>2418776.33</v>
      </c>
      <c r="N40" s="175">
        <v>0</v>
      </c>
      <c r="O40" s="175">
        <v>2418776.33</v>
      </c>
    </row>
    <row r="41" spans="1:16" x14ac:dyDescent="0.25">
      <c r="A41" s="180" t="s">
        <v>953</v>
      </c>
      <c r="B41" s="180" t="s">
        <v>952</v>
      </c>
      <c r="C41" s="179" t="s">
        <v>523</v>
      </c>
      <c r="D41" s="179" t="s">
        <v>447</v>
      </c>
      <c r="E41" s="179" t="s">
        <v>146</v>
      </c>
      <c r="F41" s="178" t="s">
        <v>757</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953</v>
      </c>
      <c r="B42" s="180" t="s">
        <v>952</v>
      </c>
      <c r="C42" s="179" t="s">
        <v>523</v>
      </c>
      <c r="D42" s="179" t="s">
        <v>478</v>
      </c>
      <c r="E42" s="179" t="s">
        <v>146</v>
      </c>
      <c r="F42" s="178" t="s">
        <v>757</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953</v>
      </c>
      <c r="B43" s="180" t="s">
        <v>952</v>
      </c>
      <c r="C43" s="179" t="s">
        <v>523</v>
      </c>
      <c r="D43" s="179" t="s">
        <v>444</v>
      </c>
      <c r="E43" s="179" t="s">
        <v>146</v>
      </c>
      <c r="F43" s="178" t="s">
        <v>757</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953</v>
      </c>
      <c r="B44" s="180" t="s">
        <v>952</v>
      </c>
      <c r="C44" s="179" t="s">
        <v>523</v>
      </c>
      <c r="D44" s="179" t="s">
        <v>471</v>
      </c>
      <c r="E44" s="179" t="s">
        <v>146</v>
      </c>
      <c r="F44" s="178" t="s">
        <v>757</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953</v>
      </c>
      <c r="B45" s="180" t="s">
        <v>952</v>
      </c>
      <c r="C45" s="179" t="s">
        <v>523</v>
      </c>
      <c r="D45" s="179" t="s">
        <v>450</v>
      </c>
      <c r="E45" s="179" t="s">
        <v>146</v>
      </c>
      <c r="F45" s="178" t="s">
        <v>757</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953</v>
      </c>
      <c r="B46" s="180" t="s">
        <v>952</v>
      </c>
      <c r="C46" s="179" t="s">
        <v>523</v>
      </c>
      <c r="D46" s="179" t="s">
        <v>455</v>
      </c>
      <c r="E46" s="179" t="s">
        <v>146</v>
      </c>
      <c r="F46" s="178" t="s">
        <v>757</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953</v>
      </c>
      <c r="B47" s="180" t="s">
        <v>952</v>
      </c>
      <c r="C47" s="179" t="s">
        <v>523</v>
      </c>
      <c r="D47" s="179" t="s">
        <v>575</v>
      </c>
      <c r="E47" s="179" t="s">
        <v>960</v>
      </c>
      <c r="F47" s="178" t="s">
        <v>757</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953</v>
      </c>
      <c r="B48" s="180" t="s">
        <v>952</v>
      </c>
      <c r="C48" s="179" t="s">
        <v>523</v>
      </c>
      <c r="D48" s="179" t="s">
        <v>573</v>
      </c>
      <c r="E48" s="179" t="s">
        <v>960</v>
      </c>
      <c r="F48" s="178" t="s">
        <v>757</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953</v>
      </c>
      <c r="B49" s="180" t="s">
        <v>952</v>
      </c>
      <c r="C49" s="179" t="s">
        <v>523</v>
      </c>
      <c r="D49" s="179" t="s">
        <v>571</v>
      </c>
      <c r="E49" s="179" t="s">
        <v>960</v>
      </c>
      <c r="F49" s="178" t="s">
        <v>757</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953</v>
      </c>
      <c r="B50" s="180" t="s">
        <v>952</v>
      </c>
      <c r="C50" s="179" t="s">
        <v>523</v>
      </c>
      <c r="D50" s="179" t="s">
        <v>569</v>
      </c>
      <c r="E50" s="179" t="s">
        <v>960</v>
      </c>
      <c r="F50" s="178" t="s">
        <v>757</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953</v>
      </c>
      <c r="B51" s="180" t="s">
        <v>952</v>
      </c>
      <c r="C51" s="179" t="s">
        <v>523</v>
      </c>
      <c r="D51" s="179" t="s">
        <v>565</v>
      </c>
      <c r="E51" s="179" t="s">
        <v>792</v>
      </c>
      <c r="F51" s="178" t="s">
        <v>757</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953</v>
      </c>
      <c r="B52" s="180" t="s">
        <v>952</v>
      </c>
      <c r="C52" s="179" t="s">
        <v>523</v>
      </c>
      <c r="D52" s="179" t="s">
        <v>959</v>
      </c>
      <c r="E52" s="179" t="s">
        <v>792</v>
      </c>
      <c r="F52" s="178" t="s">
        <v>757</v>
      </c>
      <c r="G52" s="177">
        <v>2017</v>
      </c>
      <c r="H52" s="175">
        <v>240</v>
      </c>
      <c r="I52" s="175">
        <v>351159</v>
      </c>
      <c r="J52" s="175">
        <v>2565.7999999999993</v>
      </c>
      <c r="K52" s="175">
        <v>348593.2</v>
      </c>
      <c r="L52" s="175">
        <v>0</v>
      </c>
      <c r="M52" s="175">
        <v>348593.2</v>
      </c>
      <c r="N52" s="175">
        <v>0</v>
      </c>
      <c r="O52" s="175">
        <v>348593.2</v>
      </c>
    </row>
    <row r="53" spans="1:16" x14ac:dyDescent="0.25">
      <c r="A53" s="180" t="s">
        <v>953</v>
      </c>
      <c r="B53" s="180" t="s">
        <v>952</v>
      </c>
      <c r="C53" s="179" t="s">
        <v>523</v>
      </c>
      <c r="D53" s="179" t="s">
        <v>577</v>
      </c>
      <c r="E53" s="179" t="s">
        <v>958</v>
      </c>
      <c r="F53" s="178" t="s">
        <v>757</v>
      </c>
      <c r="G53" s="177">
        <v>2017</v>
      </c>
      <c r="H53" s="175">
        <v>1870</v>
      </c>
      <c r="I53" s="175">
        <v>15743187</v>
      </c>
      <c r="J53" s="175">
        <v>656303</v>
      </c>
      <c r="K53" s="175">
        <v>15086884</v>
      </c>
      <c r="L53" s="175">
        <v>0</v>
      </c>
      <c r="M53" s="175">
        <v>15086884</v>
      </c>
      <c r="N53" s="175">
        <v>0</v>
      </c>
      <c r="O53" s="175">
        <v>15086884</v>
      </c>
    </row>
    <row r="54" spans="1:16" x14ac:dyDescent="0.25">
      <c r="A54" s="180" t="s">
        <v>953</v>
      </c>
      <c r="B54" s="180" t="s">
        <v>952</v>
      </c>
      <c r="C54" s="179" t="s">
        <v>523</v>
      </c>
      <c r="D54" s="179" t="s">
        <v>559</v>
      </c>
      <c r="E54" s="179" t="s">
        <v>954</v>
      </c>
      <c r="F54" s="178" t="s">
        <v>757</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953</v>
      </c>
      <c r="B55" s="180" t="s">
        <v>952</v>
      </c>
      <c r="C55" s="179" t="s">
        <v>523</v>
      </c>
      <c r="D55" s="179" t="s">
        <v>557</v>
      </c>
      <c r="E55" s="179" t="s">
        <v>954</v>
      </c>
      <c r="F55" s="178" t="s">
        <v>757</v>
      </c>
      <c r="G55" s="177">
        <v>2017</v>
      </c>
      <c r="H55" s="175">
        <v>400</v>
      </c>
      <c r="I55" s="175">
        <v>589957</v>
      </c>
      <c r="J55" s="175">
        <v>494.97000000001572</v>
      </c>
      <c r="K55" s="175">
        <v>589462.03</v>
      </c>
      <c r="L55" s="175">
        <v>776185.54</v>
      </c>
      <c r="M55" s="175">
        <v>-186723.51</v>
      </c>
      <c r="N55" s="175">
        <v>0</v>
      </c>
      <c r="O55" s="175">
        <v>-186723.51</v>
      </c>
    </row>
    <row r="56" spans="1:16" x14ac:dyDescent="0.25">
      <c r="A56" s="180" t="s">
        <v>953</v>
      </c>
      <c r="B56" s="180" t="s">
        <v>952</v>
      </c>
      <c r="C56" s="179" t="s">
        <v>523</v>
      </c>
      <c r="D56" s="179" t="s">
        <v>563</v>
      </c>
      <c r="E56" s="179" t="s">
        <v>792</v>
      </c>
      <c r="F56" s="178" t="s">
        <v>757</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953</v>
      </c>
      <c r="B57" s="180" t="s">
        <v>952</v>
      </c>
      <c r="C57" s="179" t="s">
        <v>523</v>
      </c>
      <c r="D57" s="179" t="s">
        <v>957</v>
      </c>
      <c r="E57" s="179" t="s">
        <v>792</v>
      </c>
      <c r="F57" s="178" t="s">
        <v>757</v>
      </c>
      <c r="G57" s="177">
        <v>2017</v>
      </c>
      <c r="H57" s="175">
        <v>42</v>
      </c>
      <c r="I57" s="175">
        <v>9291.2019</v>
      </c>
      <c r="J57" s="175">
        <v>0</v>
      </c>
      <c r="K57" s="175">
        <v>9291.2019</v>
      </c>
      <c r="L57" s="175">
        <v>0</v>
      </c>
      <c r="M57" s="175">
        <v>9291.2019</v>
      </c>
      <c r="N57" s="175">
        <v>0</v>
      </c>
      <c r="O57" s="175">
        <v>9291.2019</v>
      </c>
    </row>
    <row r="58" spans="1:16" x14ac:dyDescent="0.25">
      <c r="A58" s="180" t="s">
        <v>953</v>
      </c>
      <c r="B58" s="180" t="s">
        <v>952</v>
      </c>
      <c r="C58" s="179" t="s">
        <v>523</v>
      </c>
      <c r="D58" s="179" t="s">
        <v>566</v>
      </c>
      <c r="E58" s="179" t="s">
        <v>792</v>
      </c>
      <c r="F58" s="178" t="s">
        <v>757</v>
      </c>
      <c r="G58" s="177">
        <v>2017</v>
      </c>
      <c r="H58" s="175">
        <v>6</v>
      </c>
      <c r="I58" s="175">
        <v>0</v>
      </c>
      <c r="J58" s="175">
        <v>0</v>
      </c>
      <c r="K58" s="175">
        <v>0</v>
      </c>
      <c r="L58" s="175">
        <v>0</v>
      </c>
      <c r="M58" s="175">
        <v>0</v>
      </c>
      <c r="N58" s="175">
        <v>0</v>
      </c>
      <c r="O58" s="175">
        <v>0</v>
      </c>
    </row>
    <row r="59" spans="1:16" x14ac:dyDescent="0.25">
      <c r="A59" s="180" t="s">
        <v>953</v>
      </c>
      <c r="B59" s="180" t="s">
        <v>952</v>
      </c>
      <c r="C59" s="179" t="s">
        <v>523</v>
      </c>
      <c r="D59" s="179" t="s">
        <v>562</v>
      </c>
      <c r="E59" s="179" t="s">
        <v>792</v>
      </c>
      <c r="F59" s="178" t="s">
        <v>757</v>
      </c>
      <c r="G59" s="177">
        <v>2017</v>
      </c>
      <c r="H59" s="175">
        <v>11</v>
      </c>
      <c r="I59" s="175">
        <v>0</v>
      </c>
      <c r="J59" s="175">
        <v>0</v>
      </c>
      <c r="K59" s="175">
        <v>0</v>
      </c>
      <c r="L59" s="175">
        <v>0</v>
      </c>
      <c r="M59" s="175">
        <v>0</v>
      </c>
      <c r="N59" s="175">
        <v>0</v>
      </c>
      <c r="O59" s="175">
        <v>0</v>
      </c>
    </row>
    <row r="60" spans="1:16" x14ac:dyDescent="0.25">
      <c r="A60" s="180" t="s">
        <v>953</v>
      </c>
      <c r="B60" s="180" t="s">
        <v>952</v>
      </c>
      <c r="C60" s="179" t="s">
        <v>523</v>
      </c>
      <c r="D60" s="179" t="s">
        <v>956</v>
      </c>
      <c r="E60" s="179" t="s">
        <v>251</v>
      </c>
      <c r="F60" s="178" t="s">
        <v>757</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953</v>
      </c>
      <c r="B61" s="180" t="s">
        <v>952</v>
      </c>
      <c r="C61" s="179" t="s">
        <v>523</v>
      </c>
      <c r="D61" s="179" t="s">
        <v>463</v>
      </c>
      <c r="E61" s="179" t="s">
        <v>146</v>
      </c>
      <c r="F61" s="178" t="s">
        <v>757</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953</v>
      </c>
      <c r="B62" s="180" t="s">
        <v>952</v>
      </c>
      <c r="C62" s="179" t="s">
        <v>523</v>
      </c>
      <c r="D62" s="179" t="s">
        <v>955</v>
      </c>
      <c r="E62" s="179" t="s">
        <v>954</v>
      </c>
      <c r="F62" s="178" t="s">
        <v>757</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953</v>
      </c>
      <c r="B63" s="180" t="s">
        <v>952</v>
      </c>
      <c r="C63" s="179" t="s">
        <v>523</v>
      </c>
      <c r="D63" s="179" t="s">
        <v>551</v>
      </c>
      <c r="E63" s="179" t="s">
        <v>146</v>
      </c>
      <c r="F63" s="178" t="s">
        <v>757</v>
      </c>
      <c r="G63" s="177">
        <v>2017</v>
      </c>
      <c r="H63" s="175">
        <v>4800</v>
      </c>
      <c r="I63" s="175">
        <v>1530743.41</v>
      </c>
      <c r="J63" s="175">
        <v>151144.41</v>
      </c>
      <c r="K63" s="175">
        <v>1379599</v>
      </c>
      <c r="L63" s="175">
        <v>0</v>
      </c>
      <c r="M63" s="175">
        <v>1379599</v>
      </c>
      <c r="N63" s="175">
        <v>0</v>
      </c>
      <c r="O63" s="175">
        <v>1379599</v>
      </c>
    </row>
    <row r="64" spans="1:16" x14ac:dyDescent="0.25">
      <c r="A64" s="180" t="s">
        <v>951</v>
      </c>
      <c r="B64" s="180" t="s">
        <v>950</v>
      </c>
      <c r="C64" s="179" t="s">
        <v>760</v>
      </c>
      <c r="D64" s="179" t="s">
        <v>949</v>
      </c>
      <c r="E64" s="179" t="s">
        <v>763</v>
      </c>
      <c r="F64" s="178" t="s">
        <v>757</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948</v>
      </c>
      <c r="B65" s="180" t="s">
        <v>947</v>
      </c>
      <c r="C65" s="179" t="s">
        <v>760</v>
      </c>
      <c r="D65" s="179" t="s">
        <v>946</v>
      </c>
      <c r="E65" s="179" t="s">
        <v>763</v>
      </c>
      <c r="F65" s="178" t="s">
        <v>757</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945</v>
      </c>
      <c r="B66" s="180" t="s">
        <v>944</v>
      </c>
      <c r="C66" s="179" t="s">
        <v>760</v>
      </c>
      <c r="D66" s="179" t="s">
        <v>943</v>
      </c>
      <c r="E66" s="179" t="s">
        <v>792</v>
      </c>
      <c r="F66" s="178" t="s">
        <v>757</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942</v>
      </c>
      <c r="B67" s="180" t="s">
        <v>941</v>
      </c>
      <c r="C67" s="179" t="s">
        <v>760</v>
      </c>
      <c r="D67" s="179" t="s">
        <v>940</v>
      </c>
      <c r="E67" s="179" t="s">
        <v>251</v>
      </c>
      <c r="F67" s="178" t="s">
        <v>757</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939</v>
      </c>
      <c r="B68" s="180" t="s">
        <v>938</v>
      </c>
      <c r="C68" s="179" t="s">
        <v>760</v>
      </c>
      <c r="D68" s="179" t="s">
        <v>937</v>
      </c>
      <c r="E68" s="179" t="s">
        <v>251</v>
      </c>
      <c r="F68" s="178" t="s">
        <v>757</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936</v>
      </c>
      <c r="B69" s="180" t="s">
        <v>935</v>
      </c>
      <c r="C69" s="179" t="s">
        <v>760</v>
      </c>
      <c r="D69" s="179" t="s">
        <v>934</v>
      </c>
      <c r="E69" s="179" t="s">
        <v>131</v>
      </c>
      <c r="F69" s="178" t="s">
        <v>757</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933</v>
      </c>
      <c r="B70" s="180" t="s">
        <v>932</v>
      </c>
      <c r="C70" s="179" t="s">
        <v>760</v>
      </c>
      <c r="D70" s="179" t="s">
        <v>931</v>
      </c>
      <c r="E70" s="179" t="s">
        <v>763</v>
      </c>
      <c r="F70" s="178" t="s">
        <v>757</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930</v>
      </c>
      <c r="B71" s="180" t="s">
        <v>929</v>
      </c>
      <c r="C71" s="179" t="s">
        <v>760</v>
      </c>
      <c r="D71" s="179" t="s">
        <v>928</v>
      </c>
      <c r="E71" s="179" t="s">
        <v>251</v>
      </c>
      <c r="F71" s="178" t="s">
        <v>757</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927</v>
      </c>
      <c r="B72" s="180" t="s">
        <v>926</v>
      </c>
      <c r="C72" s="179" t="s">
        <v>760</v>
      </c>
      <c r="D72" s="179" t="s">
        <v>925</v>
      </c>
      <c r="E72" s="179" t="s">
        <v>758</v>
      </c>
      <c r="F72" s="178" t="s">
        <v>757</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924</v>
      </c>
      <c r="B73" s="180" t="s">
        <v>923</v>
      </c>
      <c r="C73" s="179" t="s">
        <v>760</v>
      </c>
      <c r="D73" s="179" t="s">
        <v>922</v>
      </c>
      <c r="E73" s="179" t="s">
        <v>792</v>
      </c>
      <c r="F73" s="178" t="s">
        <v>757</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921</v>
      </c>
      <c r="B74" s="180" t="s">
        <v>920</v>
      </c>
      <c r="C74" s="179" t="s">
        <v>760</v>
      </c>
      <c r="D74" s="179" t="s">
        <v>919</v>
      </c>
      <c r="E74" s="179" t="s">
        <v>758</v>
      </c>
      <c r="F74" s="178" t="s">
        <v>757</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918</v>
      </c>
      <c r="B75" s="180" t="s">
        <v>917</v>
      </c>
      <c r="C75" s="179" t="s">
        <v>760</v>
      </c>
      <c r="D75" s="179" t="s">
        <v>916</v>
      </c>
      <c r="E75" s="179" t="s">
        <v>251</v>
      </c>
      <c r="F75" s="178" t="s">
        <v>757</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915</v>
      </c>
      <c r="B76" s="180" t="s">
        <v>914</v>
      </c>
      <c r="C76" s="179" t="s">
        <v>760</v>
      </c>
      <c r="D76" s="179" t="s">
        <v>913</v>
      </c>
      <c r="E76" s="179" t="s">
        <v>251</v>
      </c>
      <c r="F76" s="178" t="s">
        <v>757</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912</v>
      </c>
      <c r="B77" s="180" t="s">
        <v>911</v>
      </c>
      <c r="C77" s="179" t="s">
        <v>760</v>
      </c>
      <c r="D77" s="179" t="s">
        <v>911</v>
      </c>
      <c r="E77" s="179" t="s">
        <v>763</v>
      </c>
      <c r="F77" s="178" t="s">
        <v>757</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910</v>
      </c>
      <c r="B78" s="180" t="s">
        <v>909</v>
      </c>
      <c r="C78" s="179" t="s">
        <v>760</v>
      </c>
      <c r="D78" s="179" t="s">
        <v>908</v>
      </c>
      <c r="E78" s="179" t="s">
        <v>792</v>
      </c>
      <c r="F78" s="178" t="s">
        <v>757</v>
      </c>
      <c r="G78" s="177">
        <v>2017</v>
      </c>
      <c r="H78" s="175">
        <v>2.415</v>
      </c>
      <c r="I78" s="175">
        <v>0</v>
      </c>
      <c r="J78" s="175">
        <v>-51571</v>
      </c>
      <c r="K78" s="175">
        <v>51571</v>
      </c>
      <c r="L78" s="175">
        <v>-4533946</v>
      </c>
      <c r="M78" s="175">
        <v>4585517</v>
      </c>
      <c r="N78" s="175">
        <v>4585517</v>
      </c>
      <c r="O78" s="175">
        <v>0</v>
      </c>
    </row>
    <row r="79" spans="1:15" x14ac:dyDescent="0.25">
      <c r="A79" s="180" t="s">
        <v>907</v>
      </c>
      <c r="B79" s="180" t="s">
        <v>906</v>
      </c>
      <c r="C79" s="179" t="s">
        <v>760</v>
      </c>
      <c r="D79" s="179" t="s">
        <v>905</v>
      </c>
      <c r="E79" s="179" t="s">
        <v>251</v>
      </c>
      <c r="F79" s="178" t="s">
        <v>757</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904</v>
      </c>
      <c r="B80" s="180" t="s">
        <v>903</v>
      </c>
      <c r="C80" s="179" t="s">
        <v>760</v>
      </c>
      <c r="D80" s="179" t="s">
        <v>902</v>
      </c>
      <c r="E80" s="179" t="s">
        <v>251</v>
      </c>
      <c r="F80" s="178" t="s">
        <v>757</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901</v>
      </c>
      <c r="B81" s="180" t="s">
        <v>900</v>
      </c>
      <c r="C81" s="179" t="s">
        <v>760</v>
      </c>
      <c r="D81" s="179" t="s">
        <v>899</v>
      </c>
      <c r="E81" s="179" t="s">
        <v>823</v>
      </c>
      <c r="F81" s="178" t="s">
        <v>757</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898</v>
      </c>
      <c r="B82" s="180" t="s">
        <v>897</v>
      </c>
      <c r="C82" s="179" t="s">
        <v>760</v>
      </c>
      <c r="D82" s="179" t="s">
        <v>896</v>
      </c>
      <c r="E82" s="179" t="s">
        <v>895</v>
      </c>
      <c r="F82" s="178" t="s">
        <v>757</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894</v>
      </c>
      <c r="B83" s="180" t="s">
        <v>893</v>
      </c>
      <c r="C83" s="179" t="s">
        <v>760</v>
      </c>
      <c r="D83" s="179" t="s">
        <v>892</v>
      </c>
      <c r="E83" s="179" t="s">
        <v>891</v>
      </c>
      <c r="F83" s="178" t="s">
        <v>757</v>
      </c>
      <c r="G83" s="177">
        <v>2017</v>
      </c>
      <c r="H83" s="175">
        <v>5.0999999999999996</v>
      </c>
      <c r="I83" s="175">
        <v>10391</v>
      </c>
      <c r="J83" s="175">
        <v>0</v>
      </c>
      <c r="K83" s="175">
        <v>10391</v>
      </c>
      <c r="L83" s="175">
        <v>83507</v>
      </c>
      <c r="M83" s="175">
        <v>0</v>
      </c>
      <c r="N83" s="175">
        <v>93898</v>
      </c>
      <c r="O83" s="175">
        <v>0</v>
      </c>
    </row>
    <row r="84" spans="1:16" x14ac:dyDescent="0.25">
      <c r="A84" s="180" t="s">
        <v>890</v>
      </c>
      <c r="B84" s="180" t="s">
        <v>889</v>
      </c>
      <c r="C84" s="179" t="s">
        <v>760</v>
      </c>
      <c r="D84" s="179" t="s">
        <v>888</v>
      </c>
      <c r="E84" s="179" t="s">
        <v>763</v>
      </c>
      <c r="F84" s="178" t="s">
        <v>757</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887</v>
      </c>
      <c r="B85" s="180" t="s">
        <v>886</v>
      </c>
      <c r="C85" s="179" t="s">
        <v>760</v>
      </c>
      <c r="D85" s="179" t="s">
        <v>886</v>
      </c>
      <c r="E85" s="179" t="s">
        <v>763</v>
      </c>
      <c r="F85" s="178" t="s">
        <v>757</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885</v>
      </c>
      <c r="B86" s="180" t="s">
        <v>884</v>
      </c>
      <c r="C86" s="179" t="s">
        <v>760</v>
      </c>
      <c r="D86" s="179" t="s">
        <v>883</v>
      </c>
      <c r="E86" s="179" t="s">
        <v>763</v>
      </c>
      <c r="F86" s="178" t="s">
        <v>757</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882</v>
      </c>
      <c r="B87" s="180" t="s">
        <v>881</v>
      </c>
      <c r="C87" s="179" t="s">
        <v>794</v>
      </c>
      <c r="D87" s="179" t="s">
        <v>880</v>
      </c>
      <c r="E87" s="179" t="s">
        <v>823</v>
      </c>
      <c r="F87" s="178" t="s">
        <v>757</v>
      </c>
      <c r="G87" s="177">
        <v>2017</v>
      </c>
      <c r="H87" s="175">
        <v>40</v>
      </c>
      <c r="I87" s="175">
        <v>0</v>
      </c>
      <c r="J87" s="175">
        <v>0</v>
      </c>
      <c r="K87" s="175">
        <v>0</v>
      </c>
      <c r="L87" s="175">
        <v>3.24</v>
      </c>
      <c r="M87" s="175">
        <v>-3.24</v>
      </c>
      <c r="N87" s="175">
        <v>3.24</v>
      </c>
      <c r="O87" s="175">
        <v>0</v>
      </c>
      <c r="P87" s="167">
        <f>O87/(H87*8760)</f>
        <v>0</v>
      </c>
    </row>
    <row r="88" spans="1:16" x14ac:dyDescent="0.25">
      <c r="A88" s="180" t="s">
        <v>879</v>
      </c>
      <c r="B88" s="180" t="s">
        <v>878</v>
      </c>
      <c r="C88" s="179" t="s">
        <v>760</v>
      </c>
      <c r="D88" s="179" t="s">
        <v>877</v>
      </c>
      <c r="E88" s="179" t="s">
        <v>823</v>
      </c>
      <c r="F88" s="178" t="s">
        <v>757</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876</v>
      </c>
      <c r="B89" s="180" t="s">
        <v>875</v>
      </c>
      <c r="C89" s="179" t="s">
        <v>760</v>
      </c>
      <c r="D89" s="179" t="s">
        <v>874</v>
      </c>
      <c r="E89" s="179" t="s">
        <v>251</v>
      </c>
      <c r="F89" s="178" t="s">
        <v>757</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873</v>
      </c>
      <c r="B90" s="180" t="s">
        <v>872</v>
      </c>
      <c r="C90" s="179" t="s">
        <v>760</v>
      </c>
      <c r="D90" s="179" t="s">
        <v>871</v>
      </c>
      <c r="E90" s="180" t="s">
        <v>763</v>
      </c>
      <c r="F90" s="178" t="s">
        <v>757</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870</v>
      </c>
      <c r="B91" s="180" t="s">
        <v>869</v>
      </c>
      <c r="C91" s="179" t="s">
        <v>760</v>
      </c>
      <c r="D91" s="179" t="s">
        <v>868</v>
      </c>
      <c r="E91" s="179" t="s">
        <v>823</v>
      </c>
      <c r="F91" s="178" t="s">
        <v>757</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867</v>
      </c>
      <c r="B92" s="180" t="s">
        <v>866</v>
      </c>
      <c r="C92" s="179" t="s">
        <v>760</v>
      </c>
      <c r="D92" s="179" t="s">
        <v>865</v>
      </c>
      <c r="E92" s="179" t="s">
        <v>763</v>
      </c>
      <c r="F92" s="178" t="s">
        <v>757</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863</v>
      </c>
      <c r="B93" s="180" t="s">
        <v>862</v>
      </c>
      <c r="C93" s="179" t="s">
        <v>760</v>
      </c>
      <c r="D93" s="179" t="s">
        <v>864</v>
      </c>
      <c r="E93" s="179" t="s">
        <v>782</v>
      </c>
      <c r="F93" s="178" t="s">
        <v>757</v>
      </c>
      <c r="G93" s="177">
        <v>2017</v>
      </c>
      <c r="H93" s="176">
        <v>4</v>
      </c>
      <c r="I93" s="175">
        <v>60857</v>
      </c>
      <c r="J93" s="175">
        <v>0</v>
      </c>
      <c r="K93" s="175">
        <v>60857</v>
      </c>
      <c r="L93" s="175">
        <v>8144</v>
      </c>
      <c r="M93" s="175">
        <v>55423</v>
      </c>
      <c r="N93" s="175">
        <v>66006</v>
      </c>
      <c r="O93" s="175">
        <v>2996</v>
      </c>
    </row>
    <row r="94" spans="1:16" x14ac:dyDescent="0.25">
      <c r="A94" s="180" t="s">
        <v>863</v>
      </c>
      <c r="B94" s="180" t="s">
        <v>862</v>
      </c>
      <c r="C94" s="179" t="s">
        <v>760</v>
      </c>
      <c r="D94" s="179" t="s">
        <v>861</v>
      </c>
      <c r="E94" s="179" t="s">
        <v>782</v>
      </c>
      <c r="F94" s="178" t="s">
        <v>757</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860</v>
      </c>
      <c r="B95" s="180" t="s">
        <v>859</v>
      </c>
      <c r="C95" s="179" t="s">
        <v>760</v>
      </c>
      <c r="D95" s="179" t="s">
        <v>858</v>
      </c>
      <c r="E95" s="179" t="s">
        <v>763</v>
      </c>
      <c r="F95" s="178" t="s">
        <v>757</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857</v>
      </c>
      <c r="B96" s="180" t="s">
        <v>856</v>
      </c>
      <c r="C96" s="179" t="s">
        <v>760</v>
      </c>
      <c r="D96" s="179" t="s">
        <v>855</v>
      </c>
      <c r="E96" s="179" t="s">
        <v>251</v>
      </c>
      <c r="F96" s="178" t="s">
        <v>757</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854</v>
      </c>
      <c r="B97" s="180" t="s">
        <v>853</v>
      </c>
      <c r="C97" s="179" t="s">
        <v>760</v>
      </c>
      <c r="D97" s="179" t="s">
        <v>852</v>
      </c>
      <c r="E97" s="179" t="s">
        <v>251</v>
      </c>
      <c r="F97" s="178" t="s">
        <v>757</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851</v>
      </c>
      <c r="B98" s="180" t="s">
        <v>850</v>
      </c>
      <c r="C98" s="179" t="s">
        <v>760</v>
      </c>
      <c r="D98" s="179" t="s">
        <v>850</v>
      </c>
      <c r="E98" s="179" t="s">
        <v>763</v>
      </c>
      <c r="F98" s="178" t="s">
        <v>757</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849</v>
      </c>
      <c r="B99" s="180" t="s">
        <v>848</v>
      </c>
      <c r="C99" s="179" t="s">
        <v>760</v>
      </c>
      <c r="D99" s="179" t="s">
        <v>847</v>
      </c>
      <c r="E99" s="179" t="s">
        <v>763</v>
      </c>
      <c r="F99" s="178" t="s">
        <v>757</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846</v>
      </c>
      <c r="B100" s="180" t="s">
        <v>845</v>
      </c>
      <c r="C100" s="179" t="s">
        <v>760</v>
      </c>
      <c r="D100" s="179" t="s">
        <v>844</v>
      </c>
      <c r="E100" s="179" t="s">
        <v>763</v>
      </c>
      <c r="F100" s="178" t="s">
        <v>757</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843</v>
      </c>
      <c r="B101" s="180" t="s">
        <v>842</v>
      </c>
      <c r="C101" s="179" t="s">
        <v>760</v>
      </c>
      <c r="D101" s="179" t="s">
        <v>841</v>
      </c>
      <c r="E101" s="179" t="s">
        <v>251</v>
      </c>
      <c r="F101" s="178" t="s">
        <v>757</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840</v>
      </c>
      <c r="B102" s="180" t="s">
        <v>839</v>
      </c>
      <c r="C102" s="179" t="s">
        <v>760</v>
      </c>
      <c r="D102" s="179" t="s">
        <v>838</v>
      </c>
      <c r="E102" s="179" t="s">
        <v>251</v>
      </c>
      <c r="F102" s="178" t="s">
        <v>757</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837</v>
      </c>
      <c r="B103" s="180" t="s">
        <v>836</v>
      </c>
      <c r="C103" s="179" t="s">
        <v>760</v>
      </c>
      <c r="D103" s="179" t="s">
        <v>835</v>
      </c>
      <c r="E103" s="179" t="s">
        <v>251</v>
      </c>
      <c r="F103" s="178" t="s">
        <v>757</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833</v>
      </c>
      <c r="B104" s="180" t="s">
        <v>832</v>
      </c>
      <c r="C104" s="179" t="s">
        <v>760</v>
      </c>
      <c r="D104" s="179" t="s">
        <v>834</v>
      </c>
      <c r="E104" s="179" t="s">
        <v>830</v>
      </c>
      <c r="F104" s="178" t="s">
        <v>757</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833</v>
      </c>
      <c r="B105" s="180" t="s">
        <v>832</v>
      </c>
      <c r="C105" s="179" t="s">
        <v>760</v>
      </c>
      <c r="D105" s="179" t="s">
        <v>831</v>
      </c>
      <c r="E105" s="179" t="s">
        <v>830</v>
      </c>
      <c r="F105" s="178" t="s">
        <v>757</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826</v>
      </c>
      <c r="B106" s="180" t="s">
        <v>825</v>
      </c>
      <c r="C106" s="179" t="s">
        <v>760</v>
      </c>
      <c r="D106" s="179" t="s">
        <v>829</v>
      </c>
      <c r="E106" s="179" t="s">
        <v>146</v>
      </c>
      <c r="F106" s="178" t="s">
        <v>757</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826</v>
      </c>
      <c r="B107" s="180" t="s">
        <v>825</v>
      </c>
      <c r="C107" s="179" t="s">
        <v>760</v>
      </c>
      <c r="D107" s="179" t="s">
        <v>828</v>
      </c>
      <c r="E107" s="179" t="s">
        <v>146</v>
      </c>
      <c r="F107" s="178" t="s">
        <v>757</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826</v>
      </c>
      <c r="B108" s="180" t="s">
        <v>825</v>
      </c>
      <c r="C108" s="179" t="s">
        <v>760</v>
      </c>
      <c r="D108" s="179" t="s">
        <v>827</v>
      </c>
      <c r="E108" s="179" t="s">
        <v>823</v>
      </c>
      <c r="F108" s="178" t="s">
        <v>757</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826</v>
      </c>
      <c r="B109" s="180" t="s">
        <v>825</v>
      </c>
      <c r="C109" s="179" t="s">
        <v>760</v>
      </c>
      <c r="D109" s="179" t="s">
        <v>824</v>
      </c>
      <c r="E109" s="179" t="s">
        <v>823</v>
      </c>
      <c r="F109" s="178" t="s">
        <v>757</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822</v>
      </c>
      <c r="B110" s="180" t="s">
        <v>821</v>
      </c>
      <c r="C110" s="179" t="s">
        <v>760</v>
      </c>
      <c r="D110" s="179" t="s">
        <v>820</v>
      </c>
      <c r="E110" s="179" t="s">
        <v>763</v>
      </c>
      <c r="F110" s="178" t="s">
        <v>757</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819</v>
      </c>
      <c r="B111" s="180" t="s">
        <v>818</v>
      </c>
      <c r="C111" s="179" t="s">
        <v>760</v>
      </c>
      <c r="D111" s="179" t="s">
        <v>817</v>
      </c>
      <c r="E111" s="179" t="s">
        <v>763</v>
      </c>
      <c r="F111" s="178" t="s">
        <v>757</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816</v>
      </c>
      <c r="B112" s="180" t="s">
        <v>815</v>
      </c>
      <c r="C112" s="179" t="s">
        <v>760</v>
      </c>
      <c r="D112" s="179" t="s">
        <v>814</v>
      </c>
      <c r="E112" s="179" t="s">
        <v>763</v>
      </c>
      <c r="F112" s="178" t="s">
        <v>757</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813</v>
      </c>
      <c r="B113" s="180" t="s">
        <v>812</v>
      </c>
      <c r="C113" s="179" t="s">
        <v>760</v>
      </c>
      <c r="D113" s="179" t="s">
        <v>811</v>
      </c>
      <c r="E113" s="179" t="s">
        <v>763</v>
      </c>
      <c r="F113" s="178" t="s">
        <v>757</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810</v>
      </c>
      <c r="B114" s="180" t="s">
        <v>809</v>
      </c>
      <c r="C114" s="179" t="s">
        <v>760</v>
      </c>
      <c r="D114" s="179" t="s">
        <v>808</v>
      </c>
      <c r="E114" s="179" t="s">
        <v>763</v>
      </c>
      <c r="F114" s="178" t="s">
        <v>757</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807</v>
      </c>
      <c r="B115" s="180" t="s">
        <v>806</v>
      </c>
      <c r="C115" s="179" t="s">
        <v>760</v>
      </c>
      <c r="D115" s="179" t="s">
        <v>805</v>
      </c>
      <c r="E115" s="179" t="s">
        <v>763</v>
      </c>
      <c r="F115" s="178" t="s">
        <v>757</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804</v>
      </c>
      <c r="B116" s="180" t="s">
        <v>803</v>
      </c>
      <c r="C116" s="179" t="s">
        <v>760</v>
      </c>
      <c r="D116" s="179" t="s">
        <v>802</v>
      </c>
      <c r="E116" s="179" t="s">
        <v>763</v>
      </c>
      <c r="F116" s="178" t="s">
        <v>757</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801</v>
      </c>
      <c r="B117" s="180" t="s">
        <v>800</v>
      </c>
      <c r="C117" s="179" t="s">
        <v>760</v>
      </c>
      <c r="D117" s="179" t="s">
        <v>800</v>
      </c>
      <c r="E117" s="179" t="s">
        <v>792</v>
      </c>
      <c r="F117" s="178" t="s">
        <v>757</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799</v>
      </c>
      <c r="B118" s="180" t="s">
        <v>798</v>
      </c>
      <c r="C118" s="179" t="s">
        <v>760</v>
      </c>
      <c r="D118" s="179" t="s">
        <v>797</v>
      </c>
      <c r="E118" s="179" t="s">
        <v>763</v>
      </c>
      <c r="F118" s="178" t="s">
        <v>757</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796</v>
      </c>
      <c r="B119" s="180" t="s">
        <v>795</v>
      </c>
      <c r="C119" s="179" t="s">
        <v>794</v>
      </c>
      <c r="D119" s="179" t="s">
        <v>793</v>
      </c>
      <c r="E119" s="179" t="s">
        <v>792</v>
      </c>
      <c r="F119" s="178" t="s">
        <v>757</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791</v>
      </c>
      <c r="B120" s="180" t="s">
        <v>790</v>
      </c>
      <c r="C120" s="179" t="s">
        <v>760</v>
      </c>
      <c r="D120" s="179" t="s">
        <v>789</v>
      </c>
      <c r="E120" s="179" t="s">
        <v>763</v>
      </c>
      <c r="F120" s="178" t="s">
        <v>757</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785</v>
      </c>
      <c r="B121" s="180" t="s">
        <v>784</v>
      </c>
      <c r="C121" s="179" t="s">
        <v>760</v>
      </c>
      <c r="D121" s="179" t="s">
        <v>788</v>
      </c>
      <c r="E121" s="179" t="s">
        <v>782</v>
      </c>
      <c r="F121" s="178" t="s">
        <v>757</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785</v>
      </c>
      <c r="B122" s="180" t="s">
        <v>784</v>
      </c>
      <c r="C122" s="179" t="s">
        <v>760</v>
      </c>
      <c r="D122" s="179" t="s">
        <v>787</v>
      </c>
      <c r="E122" s="179" t="s">
        <v>782</v>
      </c>
      <c r="F122" s="178" t="s">
        <v>757</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785</v>
      </c>
      <c r="B123" s="180" t="s">
        <v>784</v>
      </c>
      <c r="C123" s="179" t="s">
        <v>760</v>
      </c>
      <c r="D123" s="179" t="s">
        <v>786</v>
      </c>
      <c r="E123" s="179" t="s">
        <v>782</v>
      </c>
      <c r="F123" s="178" t="s">
        <v>757</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785</v>
      </c>
      <c r="B124" s="180" t="s">
        <v>784</v>
      </c>
      <c r="C124" s="179" t="s">
        <v>760</v>
      </c>
      <c r="D124" s="179" t="s">
        <v>783</v>
      </c>
      <c r="E124" s="179" t="s">
        <v>782</v>
      </c>
      <c r="F124" s="178" t="s">
        <v>757</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781</v>
      </c>
      <c r="B125" s="180" t="s">
        <v>780</v>
      </c>
      <c r="C125" s="179" t="s">
        <v>760</v>
      </c>
      <c r="D125" s="179" t="s">
        <v>779</v>
      </c>
      <c r="E125" s="179" t="s">
        <v>251</v>
      </c>
      <c r="F125" s="178" t="s">
        <v>757</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778</v>
      </c>
      <c r="B126" s="180" t="s">
        <v>777</v>
      </c>
      <c r="C126" s="179" t="s">
        <v>760</v>
      </c>
      <c r="D126" s="179" t="s">
        <v>776</v>
      </c>
      <c r="E126" s="179" t="s">
        <v>131</v>
      </c>
      <c r="F126" s="178" t="s">
        <v>757</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775</v>
      </c>
      <c r="B127" s="180" t="s">
        <v>774</v>
      </c>
      <c r="C127" s="179" t="s">
        <v>760</v>
      </c>
      <c r="D127" s="179" t="s">
        <v>773</v>
      </c>
      <c r="E127" s="179" t="s">
        <v>251</v>
      </c>
      <c r="F127" s="178" t="s">
        <v>757</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772</v>
      </c>
      <c r="B128" s="180" t="s">
        <v>771</v>
      </c>
      <c r="C128" s="179" t="s">
        <v>760</v>
      </c>
      <c r="D128" s="179" t="s">
        <v>770</v>
      </c>
      <c r="E128" s="179" t="s">
        <v>763</v>
      </c>
      <c r="F128" s="178" t="s">
        <v>757</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769</v>
      </c>
      <c r="B129" s="180" t="s">
        <v>768</v>
      </c>
      <c r="C129" s="179" t="s">
        <v>760</v>
      </c>
      <c r="D129" s="179" t="s">
        <v>767</v>
      </c>
      <c r="E129" s="179" t="s">
        <v>251</v>
      </c>
      <c r="F129" s="178" t="s">
        <v>757</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766</v>
      </c>
      <c r="B130" s="180" t="s">
        <v>765</v>
      </c>
      <c r="C130" s="179" t="s">
        <v>760</v>
      </c>
      <c r="D130" s="179" t="s">
        <v>764</v>
      </c>
      <c r="E130" s="179" t="s">
        <v>763</v>
      </c>
      <c r="F130" s="178" t="s">
        <v>757</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762</v>
      </c>
      <c r="B131" s="174" t="s">
        <v>761</v>
      </c>
      <c r="C131" s="173" t="s">
        <v>760</v>
      </c>
      <c r="D131" s="173" t="s">
        <v>759</v>
      </c>
      <c r="E131" s="173" t="s">
        <v>758</v>
      </c>
      <c r="F131" s="172" t="s">
        <v>757</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756</v>
      </c>
    </row>
    <row r="134" spans="1:17" x14ac:dyDescent="0.25">
      <c r="H134" s="167" t="s">
        <v>755</v>
      </c>
      <c r="O134" s="336" t="s">
        <v>1814</v>
      </c>
      <c r="P134" s="336" t="s">
        <v>1815</v>
      </c>
      <c r="Q134" s="336" t="s">
        <v>1816</v>
      </c>
    </row>
    <row r="135" spans="1:17" x14ac:dyDescent="0.25">
      <c r="H135" s="168">
        <f>H27+H47+H48+H49+H50+H88+H91+H18+H171+H17+H11</f>
        <v>2476.6999999999998</v>
      </c>
      <c r="N135" s="336" t="s">
        <v>1812</v>
      </c>
      <c r="O135" s="337">
        <f>O27+O47+O48+O49+O50+O88+O91+O18+O171+O17+O11+O81</f>
        <v>182863.88152000002</v>
      </c>
      <c r="P135" s="337">
        <f>O135/0.3*3.6/1000</f>
        <v>2194.3665782400008</v>
      </c>
    </row>
    <row r="136" spans="1:17" x14ac:dyDescent="0.25">
      <c r="N136" s="336" t="s">
        <v>1813</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1060</v>
      </c>
      <c r="B1" s="212" t="s">
        <v>1059</v>
      </c>
      <c r="C1" s="212" t="s">
        <v>1058</v>
      </c>
      <c r="D1" s="212" t="s">
        <v>1057</v>
      </c>
      <c r="E1" s="212" t="s">
        <v>1056</v>
      </c>
      <c r="F1" s="214" t="s">
        <v>1123</v>
      </c>
      <c r="G1" s="213" t="s">
        <v>137</v>
      </c>
      <c r="H1" s="212" t="s">
        <v>1055</v>
      </c>
      <c r="I1" s="212" t="s">
        <v>1122</v>
      </c>
      <c r="J1" s="212" t="s">
        <v>1121</v>
      </c>
      <c r="K1" s="212" t="s">
        <v>1120</v>
      </c>
      <c r="L1" s="212" t="s">
        <v>1119</v>
      </c>
      <c r="M1" s="212" t="s">
        <v>1050</v>
      </c>
      <c r="N1" s="212" t="s">
        <v>1049</v>
      </c>
      <c r="O1" s="212" t="s">
        <v>1118</v>
      </c>
      <c r="P1" s="212" t="s">
        <v>1047</v>
      </c>
    </row>
    <row r="2" spans="1:16" ht="15" customHeight="1" x14ac:dyDescent="0.2">
      <c r="A2" s="211" t="s">
        <v>953</v>
      </c>
      <c r="B2" s="210" t="s">
        <v>523</v>
      </c>
      <c r="C2" s="210" t="s">
        <v>952</v>
      </c>
      <c r="D2" s="210" t="s">
        <v>453</v>
      </c>
      <c r="E2" s="210" t="s">
        <v>146</v>
      </c>
      <c r="F2" s="201" t="s">
        <v>1086</v>
      </c>
      <c r="G2" s="201" t="s">
        <v>1074</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953</v>
      </c>
      <c r="B3" s="210" t="s">
        <v>523</v>
      </c>
      <c r="C3" s="210" t="s">
        <v>952</v>
      </c>
      <c r="D3" s="210" t="s">
        <v>507</v>
      </c>
      <c r="E3" s="210" t="s">
        <v>146</v>
      </c>
      <c r="F3" s="201" t="s">
        <v>1086</v>
      </c>
      <c r="G3" s="201" t="s">
        <v>1074</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953</v>
      </c>
      <c r="B4" s="210" t="s">
        <v>523</v>
      </c>
      <c r="C4" s="210" t="s">
        <v>952</v>
      </c>
      <c r="D4" s="210" t="s">
        <v>503</v>
      </c>
      <c r="E4" s="210" t="s">
        <v>146</v>
      </c>
      <c r="F4" s="201" t="s">
        <v>1086</v>
      </c>
      <c r="G4" s="201" t="s">
        <v>1074</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953</v>
      </c>
      <c r="B5" s="210" t="s">
        <v>523</v>
      </c>
      <c r="C5" s="210" t="s">
        <v>952</v>
      </c>
      <c r="D5" s="210" t="s">
        <v>442</v>
      </c>
      <c r="E5" s="210" t="s">
        <v>146</v>
      </c>
      <c r="F5" s="201" t="s">
        <v>1086</v>
      </c>
      <c r="G5" s="201" t="s">
        <v>1074</v>
      </c>
      <c r="H5" s="208">
        <v>2018</v>
      </c>
      <c r="I5" s="207">
        <v>1130</v>
      </c>
      <c r="J5" s="207">
        <v>2644796.23</v>
      </c>
      <c r="K5" s="207">
        <v>237762.33</v>
      </c>
      <c r="L5" s="207">
        <v>2407033.9</v>
      </c>
      <c r="M5" s="208">
        <v>0</v>
      </c>
      <c r="N5" s="207">
        <v>2407033.9</v>
      </c>
      <c r="O5" s="208">
        <v>0</v>
      </c>
      <c r="P5" s="207">
        <v>2407033.9</v>
      </c>
    </row>
    <row r="6" spans="1:16" ht="15" customHeight="1" x14ac:dyDescent="0.2">
      <c r="A6" s="211" t="s">
        <v>953</v>
      </c>
      <c r="B6" s="210" t="s">
        <v>523</v>
      </c>
      <c r="C6" s="210" t="s">
        <v>952</v>
      </c>
      <c r="D6" s="210" t="s">
        <v>446</v>
      </c>
      <c r="E6" s="210" t="s">
        <v>146</v>
      </c>
      <c r="F6" s="201" t="s">
        <v>1086</v>
      </c>
      <c r="G6" s="201" t="s">
        <v>1074</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953</v>
      </c>
      <c r="B7" s="210" t="s">
        <v>523</v>
      </c>
      <c r="C7" s="210" t="s">
        <v>952</v>
      </c>
      <c r="D7" s="210" t="s">
        <v>492</v>
      </c>
      <c r="E7" s="210" t="s">
        <v>146</v>
      </c>
      <c r="F7" s="201" t="s">
        <v>1086</v>
      </c>
      <c r="G7" s="201" t="s">
        <v>1074</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953</v>
      </c>
      <c r="B8" s="210" t="s">
        <v>523</v>
      </c>
      <c r="C8" s="210" t="s">
        <v>952</v>
      </c>
      <c r="D8" s="210" t="s">
        <v>443</v>
      </c>
      <c r="E8" s="210" t="s">
        <v>146</v>
      </c>
      <c r="F8" s="201" t="s">
        <v>1086</v>
      </c>
      <c r="G8" s="201" t="s">
        <v>1074</v>
      </c>
      <c r="H8" s="208">
        <v>2018</v>
      </c>
      <c r="I8" s="207">
        <v>1000</v>
      </c>
      <c r="J8" s="207">
        <v>2318905.87</v>
      </c>
      <c r="K8" s="207">
        <v>165328.51</v>
      </c>
      <c r="L8" s="207">
        <v>2153577.36</v>
      </c>
      <c r="M8" s="208">
        <v>0</v>
      </c>
      <c r="N8" s="207">
        <v>2153577.36</v>
      </c>
      <c r="O8" s="208">
        <v>0</v>
      </c>
      <c r="P8" s="207">
        <v>2153577.36</v>
      </c>
    </row>
    <row r="9" spans="1:16" ht="15" customHeight="1" x14ac:dyDescent="0.2">
      <c r="A9" s="211" t="s">
        <v>953</v>
      </c>
      <c r="B9" s="210" t="s">
        <v>523</v>
      </c>
      <c r="C9" s="210" t="s">
        <v>952</v>
      </c>
      <c r="D9" s="210" t="s">
        <v>447</v>
      </c>
      <c r="E9" s="210" t="s">
        <v>146</v>
      </c>
      <c r="F9" s="201" t="s">
        <v>1086</v>
      </c>
      <c r="G9" s="201" t="s">
        <v>1074</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953</v>
      </c>
      <c r="B10" s="210" t="s">
        <v>523</v>
      </c>
      <c r="C10" s="210" t="s">
        <v>952</v>
      </c>
      <c r="D10" s="210" t="s">
        <v>478</v>
      </c>
      <c r="E10" s="210" t="s">
        <v>146</v>
      </c>
      <c r="F10" s="201" t="s">
        <v>1087</v>
      </c>
      <c r="G10" s="201" t="s">
        <v>1074</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953</v>
      </c>
      <c r="B11" s="210" t="s">
        <v>523</v>
      </c>
      <c r="C11" s="210" t="s">
        <v>952</v>
      </c>
      <c r="D11" s="210" t="s">
        <v>444</v>
      </c>
      <c r="E11" s="210" t="s">
        <v>146</v>
      </c>
      <c r="F11" s="201" t="s">
        <v>1086</v>
      </c>
      <c r="G11" s="201" t="s">
        <v>1074</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953</v>
      </c>
      <c r="B12" s="210" t="s">
        <v>523</v>
      </c>
      <c r="C12" s="210" t="s">
        <v>952</v>
      </c>
      <c r="D12" s="210" t="s">
        <v>471</v>
      </c>
      <c r="E12" s="210" t="s">
        <v>146</v>
      </c>
      <c r="F12" s="201" t="s">
        <v>1085</v>
      </c>
      <c r="G12" s="201" t="s">
        <v>1074</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953</v>
      </c>
      <c r="B13" s="210" t="s">
        <v>523</v>
      </c>
      <c r="C13" s="210" t="s">
        <v>952</v>
      </c>
      <c r="D13" s="210" t="s">
        <v>450</v>
      </c>
      <c r="E13" s="210" t="s">
        <v>146</v>
      </c>
      <c r="F13" s="201" t="s">
        <v>1086</v>
      </c>
      <c r="G13" s="201" t="s">
        <v>1074</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953</v>
      </c>
      <c r="B14" s="210" t="s">
        <v>523</v>
      </c>
      <c r="C14" s="210" t="s">
        <v>952</v>
      </c>
      <c r="D14" s="210" t="s">
        <v>455</v>
      </c>
      <c r="E14" s="210" t="s">
        <v>146</v>
      </c>
      <c r="F14" s="201" t="s">
        <v>1086</v>
      </c>
      <c r="G14" s="201" t="s">
        <v>1074</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953</v>
      </c>
      <c r="B15" s="210" t="s">
        <v>523</v>
      </c>
      <c r="C15" s="210" t="s">
        <v>952</v>
      </c>
      <c r="D15" s="210" t="s">
        <v>575</v>
      </c>
      <c r="E15" s="210" t="s">
        <v>823</v>
      </c>
      <c r="F15" s="201" t="s">
        <v>1078</v>
      </c>
      <c r="G15" s="201" t="s">
        <v>1074</v>
      </c>
      <c r="H15" s="208">
        <v>2018</v>
      </c>
      <c r="I15" s="208">
        <v>171</v>
      </c>
      <c r="J15" s="207">
        <v>1258</v>
      </c>
      <c r="K15" s="208">
        <v>0</v>
      </c>
      <c r="L15" s="207">
        <v>1258</v>
      </c>
      <c r="M15" s="208">
        <v>0</v>
      </c>
      <c r="N15" s="207">
        <v>1258</v>
      </c>
      <c r="O15" s="208">
        <v>0</v>
      </c>
      <c r="P15" s="207">
        <v>1258</v>
      </c>
    </row>
    <row r="16" spans="1:16" ht="15" customHeight="1" x14ac:dyDescent="0.2">
      <c r="A16" s="211" t="s">
        <v>953</v>
      </c>
      <c r="B16" s="210" t="s">
        <v>523</v>
      </c>
      <c r="C16" s="210" t="s">
        <v>952</v>
      </c>
      <c r="D16" s="210" t="s">
        <v>573</v>
      </c>
      <c r="E16" s="210" t="s">
        <v>823</v>
      </c>
      <c r="F16" s="201" t="s">
        <v>1078</v>
      </c>
      <c r="G16" s="201" t="s">
        <v>1074</v>
      </c>
      <c r="H16" s="208">
        <v>2018</v>
      </c>
      <c r="I16" s="208">
        <v>588</v>
      </c>
      <c r="J16" s="207">
        <v>340236.39</v>
      </c>
      <c r="K16" s="207">
        <v>1622.2</v>
      </c>
      <c r="L16" s="207">
        <v>338614.19</v>
      </c>
      <c r="M16" s="208">
        <v>0</v>
      </c>
      <c r="N16" s="207">
        <v>338614.19</v>
      </c>
      <c r="O16" s="208">
        <v>0</v>
      </c>
      <c r="P16" s="207">
        <v>338614.19</v>
      </c>
    </row>
    <row r="17" spans="1:17" ht="15" customHeight="1" x14ac:dyDescent="0.2">
      <c r="A17" s="211" t="s">
        <v>953</v>
      </c>
      <c r="B17" s="210" t="s">
        <v>523</v>
      </c>
      <c r="C17" s="210" t="s">
        <v>952</v>
      </c>
      <c r="D17" s="210" t="s">
        <v>571</v>
      </c>
      <c r="E17" s="210" t="s">
        <v>823</v>
      </c>
      <c r="F17" s="201" t="s">
        <v>1078</v>
      </c>
      <c r="G17" s="201" t="s">
        <v>1074</v>
      </c>
      <c r="H17" s="208">
        <v>2018</v>
      </c>
      <c r="I17" s="208">
        <v>438</v>
      </c>
      <c r="J17" s="207">
        <v>173101.81</v>
      </c>
      <c r="K17" s="207">
        <v>1141.8</v>
      </c>
      <c r="L17" s="207">
        <v>171960.01</v>
      </c>
      <c r="M17" s="208">
        <v>0</v>
      </c>
      <c r="N17" s="207">
        <v>171960.01</v>
      </c>
      <c r="O17" s="208">
        <v>0</v>
      </c>
      <c r="P17" s="207">
        <v>171960.01</v>
      </c>
    </row>
    <row r="18" spans="1:17" ht="15" customHeight="1" x14ac:dyDescent="0.2">
      <c r="A18" s="211" t="s">
        <v>953</v>
      </c>
      <c r="B18" s="210" t="s">
        <v>523</v>
      </c>
      <c r="C18" s="210" t="s">
        <v>952</v>
      </c>
      <c r="D18" s="210" t="s">
        <v>569</v>
      </c>
      <c r="E18" s="210" t="s">
        <v>823</v>
      </c>
      <c r="F18" s="201" t="s">
        <v>1076</v>
      </c>
      <c r="G18" s="201" t="s">
        <v>1074</v>
      </c>
      <c r="H18" s="208">
        <v>2018</v>
      </c>
      <c r="I18" s="208">
        <v>171</v>
      </c>
      <c r="J18" s="207">
        <v>1189</v>
      </c>
      <c r="K18" s="208">
        <v>-3</v>
      </c>
      <c r="L18" s="207">
        <v>1192</v>
      </c>
      <c r="M18" s="208">
        <v>0</v>
      </c>
      <c r="N18" s="207">
        <v>1192</v>
      </c>
      <c r="O18" s="208">
        <v>0</v>
      </c>
      <c r="P18" s="207">
        <v>1192</v>
      </c>
    </row>
    <row r="19" spans="1:17" ht="15" customHeight="1" x14ac:dyDescent="0.2">
      <c r="A19" s="211" t="s">
        <v>953</v>
      </c>
      <c r="B19" s="210" t="s">
        <v>523</v>
      </c>
      <c r="C19" s="210" t="s">
        <v>952</v>
      </c>
      <c r="D19" s="210" t="s">
        <v>565</v>
      </c>
      <c r="E19" s="210" t="s">
        <v>792</v>
      </c>
      <c r="F19" s="201" t="s">
        <v>1117</v>
      </c>
      <c r="G19" s="201" t="s">
        <v>1074</v>
      </c>
      <c r="H19" s="208">
        <v>2018</v>
      </c>
      <c r="I19" s="208">
        <v>360</v>
      </c>
      <c r="J19" s="207">
        <v>529767</v>
      </c>
      <c r="K19" s="208">
        <v>650.86</v>
      </c>
      <c r="L19" s="207">
        <v>529116.14</v>
      </c>
      <c r="M19" s="208">
        <v>0</v>
      </c>
      <c r="N19" s="207">
        <v>529116.14</v>
      </c>
      <c r="O19" s="208">
        <v>0</v>
      </c>
      <c r="P19" s="207">
        <v>529116.14</v>
      </c>
    </row>
    <row r="20" spans="1:17" ht="15" customHeight="1" x14ac:dyDescent="0.2">
      <c r="A20" s="211" t="s">
        <v>953</v>
      </c>
      <c r="B20" s="210" t="s">
        <v>523</v>
      </c>
      <c r="C20" s="210" t="s">
        <v>952</v>
      </c>
      <c r="D20" s="210" t="s">
        <v>959</v>
      </c>
      <c r="E20" s="210" t="s">
        <v>792</v>
      </c>
      <c r="F20" s="201" t="s">
        <v>1075</v>
      </c>
      <c r="G20" s="201" t="s">
        <v>1074</v>
      </c>
      <c r="H20" s="208">
        <v>2018</v>
      </c>
      <c r="I20" s="208">
        <v>240</v>
      </c>
      <c r="J20" s="207">
        <v>550949</v>
      </c>
      <c r="K20" s="207">
        <v>5376.91</v>
      </c>
      <c r="L20" s="207">
        <v>545572.09</v>
      </c>
      <c r="M20" s="208">
        <v>0</v>
      </c>
      <c r="N20" s="207">
        <v>545572.09</v>
      </c>
      <c r="O20" s="208">
        <v>0</v>
      </c>
      <c r="P20" s="207">
        <v>545572.09</v>
      </c>
    </row>
    <row r="21" spans="1:17" ht="15" customHeight="1" x14ac:dyDescent="0.2">
      <c r="A21" s="211" t="s">
        <v>953</v>
      </c>
      <c r="B21" s="210" t="s">
        <v>523</v>
      </c>
      <c r="C21" s="210" t="s">
        <v>952</v>
      </c>
      <c r="D21" s="210" t="s">
        <v>577</v>
      </c>
      <c r="E21" s="210" t="s">
        <v>958</v>
      </c>
      <c r="F21" s="201" t="s">
        <v>1078</v>
      </c>
      <c r="G21" s="201" t="s">
        <v>1074</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953</v>
      </c>
      <c r="B22" s="210" t="s">
        <v>523</v>
      </c>
      <c r="C22" s="210" t="s">
        <v>952</v>
      </c>
      <c r="D22" s="210" t="s">
        <v>559</v>
      </c>
      <c r="E22" s="210" t="s">
        <v>954</v>
      </c>
      <c r="F22" s="201" t="s">
        <v>1080</v>
      </c>
      <c r="G22" s="201" t="s">
        <v>1074</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953</v>
      </c>
      <c r="B23" s="210" t="s">
        <v>523</v>
      </c>
      <c r="C23" s="210" t="s">
        <v>952</v>
      </c>
      <c r="D23" s="210" t="s">
        <v>557</v>
      </c>
      <c r="E23" s="210" t="s">
        <v>954</v>
      </c>
      <c r="F23" s="201" t="s">
        <v>1078</v>
      </c>
      <c r="G23" s="201" t="s">
        <v>1074</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953</v>
      </c>
      <c r="B24" s="210" t="s">
        <v>523</v>
      </c>
      <c r="C24" s="210" t="s">
        <v>952</v>
      </c>
      <c r="D24" s="210" t="s">
        <v>563</v>
      </c>
      <c r="E24" s="210" t="s">
        <v>792</v>
      </c>
      <c r="F24" s="201" t="s">
        <v>1076</v>
      </c>
      <c r="G24" s="201" t="s">
        <v>1074</v>
      </c>
      <c r="H24" s="208">
        <v>2018</v>
      </c>
      <c r="I24" s="208">
        <v>2.1</v>
      </c>
      <c r="J24" s="207">
        <v>1129.32</v>
      </c>
      <c r="K24" s="208">
        <v>0</v>
      </c>
      <c r="L24" s="207">
        <v>1129.32</v>
      </c>
      <c r="M24" s="208">
        <v>0</v>
      </c>
      <c r="N24" s="207">
        <v>1129.32</v>
      </c>
      <c r="O24" s="208">
        <v>0</v>
      </c>
      <c r="P24" s="207">
        <v>1129.32</v>
      </c>
    </row>
    <row r="25" spans="1:17" ht="15" customHeight="1" x14ac:dyDescent="0.2">
      <c r="A25" s="211" t="s">
        <v>953</v>
      </c>
      <c r="B25" s="210" t="s">
        <v>523</v>
      </c>
      <c r="C25" s="210" t="s">
        <v>952</v>
      </c>
      <c r="D25" s="210" t="s">
        <v>957</v>
      </c>
      <c r="E25" s="210" t="s">
        <v>792</v>
      </c>
      <c r="F25" s="201" t="s">
        <v>1076</v>
      </c>
      <c r="G25" s="201" t="s">
        <v>1074</v>
      </c>
      <c r="H25" s="208">
        <v>2018</v>
      </c>
      <c r="I25" s="208">
        <v>42</v>
      </c>
      <c r="J25" s="208">
        <v>0</v>
      </c>
      <c r="K25" s="208">
        <v>0</v>
      </c>
      <c r="L25" s="208">
        <v>0</v>
      </c>
      <c r="M25" s="208">
        <v>0</v>
      </c>
      <c r="N25" s="208">
        <v>0</v>
      </c>
      <c r="O25" s="208">
        <v>0</v>
      </c>
      <c r="P25" s="208">
        <v>0</v>
      </c>
    </row>
    <row r="26" spans="1:17" ht="15" customHeight="1" x14ac:dyDescent="0.2">
      <c r="A26" s="211" t="s">
        <v>953</v>
      </c>
      <c r="B26" s="210" t="s">
        <v>523</v>
      </c>
      <c r="C26" s="210" t="s">
        <v>952</v>
      </c>
      <c r="D26" s="210" t="s">
        <v>566</v>
      </c>
      <c r="E26" s="210" t="s">
        <v>792</v>
      </c>
      <c r="F26" s="201" t="s">
        <v>1076</v>
      </c>
      <c r="G26" s="201" t="s">
        <v>1074</v>
      </c>
      <c r="H26" s="208">
        <v>2018</v>
      </c>
      <c r="I26" s="208">
        <v>6</v>
      </c>
      <c r="J26" s="208">
        <v>0</v>
      </c>
      <c r="K26" s="208">
        <v>0</v>
      </c>
      <c r="L26" s="208">
        <v>0</v>
      </c>
      <c r="M26" s="208">
        <v>0</v>
      </c>
      <c r="N26" s="208">
        <v>0</v>
      </c>
      <c r="O26" s="208">
        <v>0</v>
      </c>
      <c r="P26" s="208">
        <v>0</v>
      </c>
    </row>
    <row r="27" spans="1:17" ht="15" customHeight="1" x14ac:dyDescent="0.2">
      <c r="A27" s="211" t="s">
        <v>953</v>
      </c>
      <c r="B27" s="210" t="s">
        <v>523</v>
      </c>
      <c r="C27" s="210" t="s">
        <v>952</v>
      </c>
      <c r="D27" s="210" t="s">
        <v>562</v>
      </c>
      <c r="E27" s="210" t="s">
        <v>792</v>
      </c>
      <c r="F27" s="201" t="s">
        <v>1076</v>
      </c>
      <c r="G27" s="201" t="s">
        <v>1074</v>
      </c>
      <c r="H27" s="208">
        <v>2018</v>
      </c>
      <c r="I27" s="208">
        <v>11</v>
      </c>
      <c r="J27" s="208">
        <v>0</v>
      </c>
      <c r="K27" s="208">
        <v>0</v>
      </c>
      <c r="L27" s="208">
        <v>0</v>
      </c>
      <c r="M27" s="208">
        <v>0</v>
      </c>
      <c r="N27" s="208">
        <v>0</v>
      </c>
      <c r="O27" s="208">
        <v>0</v>
      </c>
      <c r="P27" s="208">
        <v>0</v>
      </c>
    </row>
    <row r="28" spans="1:17" ht="15" customHeight="1" x14ac:dyDescent="0.2">
      <c r="A28" s="211" t="s">
        <v>953</v>
      </c>
      <c r="B28" s="210" t="s">
        <v>523</v>
      </c>
      <c r="C28" s="210" t="s">
        <v>952</v>
      </c>
      <c r="D28" s="210" t="s">
        <v>1116</v>
      </c>
      <c r="E28" s="210" t="s">
        <v>251</v>
      </c>
      <c r="F28" s="201" t="s">
        <v>1078</v>
      </c>
      <c r="G28" s="201" t="s">
        <v>1074</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953</v>
      </c>
      <c r="B29" s="210" t="s">
        <v>523</v>
      </c>
      <c r="C29" s="210" t="s">
        <v>952</v>
      </c>
      <c r="D29" s="210" t="s">
        <v>463</v>
      </c>
      <c r="E29" s="210" t="s">
        <v>146</v>
      </c>
      <c r="F29" s="201" t="s">
        <v>1085</v>
      </c>
      <c r="G29" s="201" t="s">
        <v>1074</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953</v>
      </c>
      <c r="B30" s="210" t="s">
        <v>523</v>
      </c>
      <c r="C30" s="210" t="s">
        <v>952</v>
      </c>
      <c r="D30" s="210" t="s">
        <v>955</v>
      </c>
      <c r="E30" s="210" t="s">
        <v>954</v>
      </c>
      <c r="F30" s="201" t="s">
        <v>1080</v>
      </c>
      <c r="G30" s="201" t="s">
        <v>1074</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953</v>
      </c>
      <c r="B31" s="210" t="s">
        <v>523</v>
      </c>
      <c r="C31" s="210" t="s">
        <v>952</v>
      </c>
      <c r="D31" s="210" t="s">
        <v>551</v>
      </c>
      <c r="E31" s="210" t="s">
        <v>146</v>
      </c>
      <c r="F31" s="201" t="s">
        <v>1086</v>
      </c>
      <c r="G31" s="201" t="s">
        <v>1074</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1046</v>
      </c>
      <c r="B32" s="205" t="s">
        <v>760</v>
      </c>
      <c r="C32" s="203" t="s">
        <v>1045</v>
      </c>
      <c r="D32" s="203" t="s">
        <v>1044</v>
      </c>
      <c r="E32" s="203" t="s">
        <v>1043</v>
      </c>
      <c r="F32" s="202" t="s">
        <v>1076</v>
      </c>
      <c r="G32" s="201" t="s">
        <v>1074</v>
      </c>
      <c r="H32" s="200">
        <v>2018</v>
      </c>
      <c r="I32" s="200">
        <v>0.8</v>
      </c>
      <c r="J32" s="199">
        <v>7017.39</v>
      </c>
      <c r="K32" s="200">
        <v>0</v>
      </c>
      <c r="L32" s="199">
        <v>7017.39</v>
      </c>
      <c r="M32" s="200">
        <v>174.2</v>
      </c>
      <c r="N32" s="199">
        <v>7017.39</v>
      </c>
      <c r="O32" s="199">
        <v>7191.59</v>
      </c>
      <c r="P32" s="200">
        <v>0</v>
      </c>
    </row>
    <row r="33" spans="1:16" ht="15" customHeight="1" x14ac:dyDescent="0.2">
      <c r="A33" s="204" t="s">
        <v>876</v>
      </c>
      <c r="B33" s="203" t="s">
        <v>760</v>
      </c>
      <c r="C33" s="203" t="s">
        <v>875</v>
      </c>
      <c r="D33" s="203" t="s">
        <v>874</v>
      </c>
      <c r="E33" s="203" t="s">
        <v>251</v>
      </c>
      <c r="F33" s="202" t="s">
        <v>1076</v>
      </c>
      <c r="G33" s="201" t="s">
        <v>1074</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1042</v>
      </c>
      <c r="B34" s="203" t="s">
        <v>760</v>
      </c>
      <c r="C34" s="203" t="s">
        <v>1041</v>
      </c>
      <c r="D34" s="203" t="s">
        <v>1040</v>
      </c>
      <c r="E34" s="203" t="s">
        <v>758</v>
      </c>
      <c r="F34" s="202" t="s">
        <v>1075</v>
      </c>
      <c r="G34" s="201" t="s">
        <v>1074</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1039</v>
      </c>
      <c r="B35" s="203" t="s">
        <v>760</v>
      </c>
      <c r="C35" s="203" t="s">
        <v>1038</v>
      </c>
      <c r="D35" s="203" t="s">
        <v>1037</v>
      </c>
      <c r="E35" s="203" t="s">
        <v>763</v>
      </c>
      <c r="F35" s="202" t="s">
        <v>1075</v>
      </c>
      <c r="G35" s="201" t="s">
        <v>1074</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819</v>
      </c>
      <c r="B36" s="203" t="s">
        <v>760</v>
      </c>
      <c r="C36" s="203" t="s">
        <v>1036</v>
      </c>
      <c r="D36" s="203" t="s">
        <v>1035</v>
      </c>
      <c r="E36" s="203" t="s">
        <v>763</v>
      </c>
      <c r="F36" s="202" t="s">
        <v>1075</v>
      </c>
      <c r="G36" s="201" t="s">
        <v>1074</v>
      </c>
      <c r="H36" s="200">
        <v>2018</v>
      </c>
      <c r="I36" s="200">
        <v>10</v>
      </c>
      <c r="J36" s="199">
        <v>27261.72</v>
      </c>
      <c r="K36" s="200">
        <v>0</v>
      </c>
      <c r="L36" s="199">
        <v>27261.72</v>
      </c>
      <c r="M36" s="200">
        <v>101.32</v>
      </c>
      <c r="N36" s="199">
        <v>27261.72</v>
      </c>
      <c r="O36" s="200">
        <v>29.88</v>
      </c>
      <c r="P36" s="199">
        <v>27261.72</v>
      </c>
    </row>
    <row r="37" spans="1:16" ht="15" customHeight="1" x14ac:dyDescent="0.2">
      <c r="A37" s="204" t="s">
        <v>1034</v>
      </c>
      <c r="B37" s="203" t="s">
        <v>760</v>
      </c>
      <c r="C37" s="203" t="s">
        <v>1033</v>
      </c>
      <c r="D37" s="203" t="s">
        <v>1032</v>
      </c>
      <c r="E37" s="203" t="s">
        <v>763</v>
      </c>
      <c r="F37" s="202" t="s">
        <v>1075</v>
      </c>
      <c r="G37" s="201" t="s">
        <v>1074</v>
      </c>
      <c r="H37" s="200">
        <v>2018</v>
      </c>
      <c r="I37" s="200">
        <v>19.98</v>
      </c>
      <c r="J37" s="199">
        <v>53464.91</v>
      </c>
      <c r="K37" s="200">
        <v>0</v>
      </c>
      <c r="L37" s="199">
        <v>53464.91</v>
      </c>
      <c r="M37" s="200">
        <v>175.33</v>
      </c>
      <c r="N37" s="199">
        <v>53464.91</v>
      </c>
      <c r="O37" s="200">
        <v>33.69</v>
      </c>
      <c r="P37" s="199">
        <v>53464.91</v>
      </c>
    </row>
    <row r="38" spans="1:16" ht="15" customHeight="1" x14ac:dyDescent="0.2">
      <c r="A38" s="204" t="s">
        <v>1031</v>
      </c>
      <c r="B38" s="203" t="s">
        <v>760</v>
      </c>
      <c r="C38" s="203" t="s">
        <v>1030</v>
      </c>
      <c r="D38" s="203" t="s">
        <v>524</v>
      </c>
      <c r="E38" s="203" t="s">
        <v>146</v>
      </c>
      <c r="F38" s="202" t="s">
        <v>1105</v>
      </c>
      <c r="G38" s="201" t="s">
        <v>1074</v>
      </c>
      <c r="H38" s="200">
        <v>2018</v>
      </c>
      <c r="I38" s="200">
        <v>600</v>
      </c>
      <c r="J38" s="199">
        <v>1857223</v>
      </c>
      <c r="K38" s="199">
        <v>150128</v>
      </c>
      <c r="L38" s="199">
        <v>1707095</v>
      </c>
      <c r="M38" s="200">
        <v>0</v>
      </c>
      <c r="N38" s="199">
        <v>1707095</v>
      </c>
      <c r="O38" s="200">
        <v>0</v>
      </c>
      <c r="P38" s="199">
        <v>1707095</v>
      </c>
    </row>
    <row r="39" spans="1:16" x14ac:dyDescent="0.2">
      <c r="A39" s="204" t="s">
        <v>1029</v>
      </c>
      <c r="B39" s="203" t="s">
        <v>760</v>
      </c>
      <c r="C39" s="203" t="s">
        <v>1028</v>
      </c>
      <c r="D39" s="203" t="s">
        <v>1027</v>
      </c>
      <c r="E39" s="203" t="s">
        <v>251</v>
      </c>
      <c r="F39" s="202" t="s">
        <v>1076</v>
      </c>
      <c r="G39" s="201" t="s">
        <v>1074</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1026</v>
      </c>
      <c r="B40" s="203" t="s">
        <v>760</v>
      </c>
      <c r="C40" s="203" t="s">
        <v>1115</v>
      </c>
      <c r="D40" s="203" t="s">
        <v>1024</v>
      </c>
      <c r="E40" s="203" t="s">
        <v>251</v>
      </c>
      <c r="F40" s="202" t="s">
        <v>1078</v>
      </c>
      <c r="G40" s="201" t="s">
        <v>1074</v>
      </c>
      <c r="H40" s="200">
        <v>2018</v>
      </c>
      <c r="I40" s="200">
        <v>90.8</v>
      </c>
      <c r="J40" s="199">
        <v>287529.33</v>
      </c>
      <c r="K40" s="200">
        <v>0</v>
      </c>
      <c r="L40" s="199">
        <v>287529.33</v>
      </c>
      <c r="M40" s="200">
        <v>385.34</v>
      </c>
      <c r="N40" s="199">
        <v>287143.99</v>
      </c>
      <c r="O40" s="200">
        <v>385.34</v>
      </c>
      <c r="P40" s="199">
        <v>287529.33</v>
      </c>
    </row>
    <row r="41" spans="1:16" x14ac:dyDescent="0.2">
      <c r="A41" s="204" t="s">
        <v>1023</v>
      </c>
      <c r="B41" s="203" t="s">
        <v>760</v>
      </c>
      <c r="C41" s="203" t="s">
        <v>1022</v>
      </c>
      <c r="D41" s="203" t="s">
        <v>1021</v>
      </c>
      <c r="E41" s="203" t="s">
        <v>763</v>
      </c>
      <c r="F41" s="202" t="s">
        <v>1078</v>
      </c>
      <c r="G41" s="201" t="s">
        <v>1074</v>
      </c>
      <c r="H41" s="200">
        <v>2018</v>
      </c>
      <c r="I41" s="200">
        <v>9</v>
      </c>
      <c r="J41" s="199">
        <v>18691.12</v>
      </c>
      <c r="K41" s="200">
        <v>135.21</v>
      </c>
      <c r="L41" s="199">
        <v>18826.330000000002</v>
      </c>
      <c r="M41" s="200">
        <v>0</v>
      </c>
      <c r="N41" s="199">
        <v>18691.12</v>
      </c>
      <c r="O41" s="200">
        <v>0</v>
      </c>
      <c r="P41" s="199">
        <v>18691.12</v>
      </c>
    </row>
    <row r="42" spans="1:16" x14ac:dyDescent="0.2">
      <c r="A42" s="204" t="s">
        <v>971</v>
      </c>
      <c r="B42" s="203" t="s">
        <v>760</v>
      </c>
      <c r="C42" s="203" t="s">
        <v>1114</v>
      </c>
      <c r="D42" s="203" t="s">
        <v>969</v>
      </c>
      <c r="E42" s="203" t="s">
        <v>251</v>
      </c>
      <c r="F42" s="202" t="s">
        <v>1076</v>
      </c>
      <c r="G42" s="201" t="s">
        <v>1074</v>
      </c>
      <c r="H42" s="200">
        <v>2018</v>
      </c>
      <c r="I42" s="200">
        <v>1.8</v>
      </c>
      <c r="J42" s="199">
        <v>5559.23</v>
      </c>
      <c r="K42" s="200">
        <v>0</v>
      </c>
      <c r="L42" s="199">
        <v>5559.23</v>
      </c>
      <c r="M42" s="200">
        <v>0</v>
      </c>
      <c r="N42" s="199">
        <v>5559.23</v>
      </c>
      <c r="O42" s="200">
        <v>0</v>
      </c>
      <c r="P42" s="199">
        <v>5559.23</v>
      </c>
    </row>
    <row r="43" spans="1:16" x14ac:dyDescent="0.2">
      <c r="A43" s="204" t="s">
        <v>1020</v>
      </c>
      <c r="B43" s="203" t="s">
        <v>760</v>
      </c>
      <c r="C43" s="203" t="s">
        <v>1019</v>
      </c>
      <c r="D43" s="203" t="s">
        <v>1018</v>
      </c>
      <c r="E43" s="203" t="s">
        <v>823</v>
      </c>
      <c r="F43" s="201" t="s">
        <v>1080</v>
      </c>
      <c r="G43" s="201" t="s">
        <v>1074</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1016</v>
      </c>
      <c r="B44" s="203" t="s">
        <v>760</v>
      </c>
      <c r="C44" s="203" t="s">
        <v>1015</v>
      </c>
      <c r="D44" s="203" t="s">
        <v>1017</v>
      </c>
      <c r="E44" s="203" t="s">
        <v>792</v>
      </c>
      <c r="F44" s="202" t="s">
        <v>1087</v>
      </c>
      <c r="G44" s="201" t="s">
        <v>1074</v>
      </c>
      <c r="H44" s="200">
        <v>2018</v>
      </c>
      <c r="I44" s="200">
        <v>4</v>
      </c>
      <c r="J44" s="199">
        <v>28112.14</v>
      </c>
      <c r="K44" s="200">
        <v>0</v>
      </c>
      <c r="L44" s="199">
        <v>28112.14</v>
      </c>
      <c r="M44" s="200">
        <v>0</v>
      </c>
      <c r="N44" s="199">
        <v>28112.14</v>
      </c>
      <c r="O44" s="200">
        <v>11.45</v>
      </c>
      <c r="P44" s="199">
        <v>28100.69</v>
      </c>
    </row>
    <row r="45" spans="1:16" x14ac:dyDescent="0.2">
      <c r="A45" s="204" t="s">
        <v>1016</v>
      </c>
      <c r="B45" s="203" t="s">
        <v>760</v>
      </c>
      <c r="C45" s="203" t="s">
        <v>1015</v>
      </c>
      <c r="D45" s="203" t="s">
        <v>1014</v>
      </c>
      <c r="E45" s="203" t="s">
        <v>792</v>
      </c>
      <c r="F45" s="202" t="s">
        <v>1087</v>
      </c>
      <c r="G45" s="201" t="s">
        <v>1074</v>
      </c>
      <c r="H45" s="200">
        <v>2018</v>
      </c>
      <c r="I45" s="200">
        <v>3</v>
      </c>
      <c r="J45" s="199">
        <v>17759.64</v>
      </c>
      <c r="K45" s="200">
        <v>0</v>
      </c>
      <c r="L45" s="199">
        <v>17759.64</v>
      </c>
      <c r="M45" s="200">
        <v>0</v>
      </c>
      <c r="N45" s="199">
        <v>17759.64</v>
      </c>
      <c r="O45" s="200">
        <v>10.1</v>
      </c>
      <c r="P45" s="199">
        <v>17749.54</v>
      </c>
    </row>
    <row r="46" spans="1:16" x14ac:dyDescent="0.2">
      <c r="A46" s="204" t="s">
        <v>1013</v>
      </c>
      <c r="B46" s="203" t="s">
        <v>760</v>
      </c>
      <c r="C46" s="203" t="s">
        <v>1012</v>
      </c>
      <c r="D46" s="203" t="s">
        <v>1011</v>
      </c>
      <c r="E46" s="203" t="s">
        <v>251</v>
      </c>
      <c r="F46" s="202" t="s">
        <v>1075</v>
      </c>
      <c r="G46" s="201" t="s">
        <v>1074</v>
      </c>
      <c r="H46" s="200">
        <v>2018</v>
      </c>
      <c r="I46" s="200">
        <v>135.19999999999999</v>
      </c>
      <c r="J46" s="199">
        <v>336163.48</v>
      </c>
      <c r="K46" s="200">
        <v>0</v>
      </c>
      <c r="L46" s="199">
        <v>336163.48</v>
      </c>
      <c r="M46" s="199">
        <v>1514.49</v>
      </c>
      <c r="N46" s="199">
        <v>336163.48</v>
      </c>
      <c r="O46" s="199">
        <v>1514.49</v>
      </c>
      <c r="P46" s="199">
        <v>336163.48</v>
      </c>
    </row>
    <row r="47" spans="1:16" x14ac:dyDescent="0.2">
      <c r="A47" s="206" t="s">
        <v>1010</v>
      </c>
      <c r="B47" s="205" t="s">
        <v>760</v>
      </c>
      <c r="C47" s="203" t="s">
        <v>1009</v>
      </c>
      <c r="D47" s="203" t="s">
        <v>1113</v>
      </c>
      <c r="E47" s="203" t="s">
        <v>130</v>
      </c>
      <c r="F47" s="202" t="s">
        <v>1105</v>
      </c>
      <c r="G47" s="201" t="s">
        <v>1074</v>
      </c>
      <c r="H47" s="200">
        <v>2018</v>
      </c>
      <c r="I47" s="200">
        <v>4.2</v>
      </c>
      <c r="J47" s="199">
        <v>18919.62</v>
      </c>
      <c r="K47" s="199">
        <v>3059.41</v>
      </c>
      <c r="L47" s="199">
        <v>15860.21</v>
      </c>
      <c r="M47" s="200">
        <v>0</v>
      </c>
      <c r="N47" s="199">
        <v>15860.21</v>
      </c>
      <c r="O47" s="200">
        <v>0</v>
      </c>
      <c r="P47" s="199">
        <v>15860.21</v>
      </c>
    </row>
    <row r="48" spans="1:16" x14ac:dyDescent="0.2">
      <c r="A48" s="204" t="s">
        <v>1007</v>
      </c>
      <c r="B48" s="203" t="s">
        <v>760</v>
      </c>
      <c r="C48" s="203" t="s">
        <v>1006</v>
      </c>
      <c r="D48" s="203" t="s">
        <v>1005</v>
      </c>
      <c r="E48" s="203" t="s">
        <v>251</v>
      </c>
      <c r="F48" s="202" t="s">
        <v>1075</v>
      </c>
      <c r="G48" s="201" t="s">
        <v>1074</v>
      </c>
      <c r="H48" s="200">
        <v>2018</v>
      </c>
      <c r="I48" s="200">
        <v>21</v>
      </c>
      <c r="J48" s="199">
        <v>59884.14</v>
      </c>
      <c r="K48" s="200">
        <v>0</v>
      </c>
      <c r="L48" s="199">
        <v>59884.14</v>
      </c>
      <c r="M48" s="200">
        <v>130.03</v>
      </c>
      <c r="N48" s="199">
        <v>59754.11</v>
      </c>
      <c r="O48" s="200">
        <v>0</v>
      </c>
      <c r="P48" s="199">
        <v>59754.11</v>
      </c>
    </row>
    <row r="49" spans="1:16" x14ac:dyDescent="0.2">
      <c r="A49" s="204">
        <v>820655</v>
      </c>
      <c r="B49" s="203" t="s">
        <v>794</v>
      </c>
      <c r="C49" s="203" t="s">
        <v>1001</v>
      </c>
      <c r="D49" s="203" t="s">
        <v>1004</v>
      </c>
      <c r="E49" s="203" t="s">
        <v>823</v>
      </c>
      <c r="F49" s="202" t="s">
        <v>1078</v>
      </c>
      <c r="G49" s="201" t="s">
        <v>1074</v>
      </c>
      <c r="H49" s="200">
        <v>2018</v>
      </c>
      <c r="I49" s="200">
        <v>40</v>
      </c>
      <c r="J49" s="200">
        <v>158.16999999999999</v>
      </c>
      <c r="K49" s="200">
        <v>89.28</v>
      </c>
      <c r="L49" s="200">
        <v>68.89</v>
      </c>
      <c r="M49" s="200">
        <v>0</v>
      </c>
      <c r="N49" s="200">
        <v>68.89</v>
      </c>
      <c r="O49" s="200">
        <v>0</v>
      </c>
      <c r="P49" s="200">
        <v>68.89</v>
      </c>
    </row>
    <row r="50" spans="1:16" x14ac:dyDescent="0.2">
      <c r="A50" s="204">
        <v>820655</v>
      </c>
      <c r="B50" s="203" t="s">
        <v>794</v>
      </c>
      <c r="C50" s="203" t="s">
        <v>1001</v>
      </c>
      <c r="D50" s="203" t="s">
        <v>1003</v>
      </c>
      <c r="E50" s="203" t="s">
        <v>823</v>
      </c>
      <c r="F50" s="202" t="s">
        <v>1078</v>
      </c>
      <c r="G50" s="201" t="s">
        <v>1074</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794</v>
      </c>
      <c r="C51" s="203" t="s">
        <v>1001</v>
      </c>
      <c r="D51" s="203" t="s">
        <v>1000</v>
      </c>
      <c r="E51" s="203" t="s">
        <v>954</v>
      </c>
      <c r="F51" s="202" t="s">
        <v>1078</v>
      </c>
      <c r="G51" s="201" t="s">
        <v>1074</v>
      </c>
      <c r="H51" s="200">
        <v>2018</v>
      </c>
      <c r="I51" s="200">
        <v>180</v>
      </c>
      <c r="J51" s="199">
        <v>69519.759999999995</v>
      </c>
      <c r="K51" s="200">
        <v>821.56</v>
      </c>
      <c r="L51" s="199">
        <v>68698.2</v>
      </c>
      <c r="M51" s="199">
        <v>61116.4</v>
      </c>
      <c r="N51" s="199">
        <v>7581.8</v>
      </c>
      <c r="O51" s="200">
        <v>0</v>
      </c>
      <c r="P51" s="199">
        <v>7581.8</v>
      </c>
    </row>
    <row r="52" spans="1:16" x14ac:dyDescent="0.2">
      <c r="A52" s="204" t="s">
        <v>998</v>
      </c>
      <c r="B52" s="203" t="s">
        <v>794</v>
      </c>
      <c r="C52" s="203" t="s">
        <v>1111</v>
      </c>
      <c r="D52" s="203" t="s">
        <v>1112</v>
      </c>
      <c r="E52" s="203" t="s">
        <v>146</v>
      </c>
      <c r="F52" s="202" t="s">
        <v>1105</v>
      </c>
      <c r="G52" s="201" t="s">
        <v>1074</v>
      </c>
      <c r="H52" s="200">
        <v>2018</v>
      </c>
      <c r="I52" s="200">
        <v>300</v>
      </c>
      <c r="J52" s="200">
        <v>0</v>
      </c>
      <c r="K52" s="200">
        <v>0</v>
      </c>
      <c r="L52" s="200">
        <v>0</v>
      </c>
      <c r="M52" s="199">
        <v>3503.9</v>
      </c>
      <c r="N52" s="199">
        <v>-3503.9</v>
      </c>
      <c r="O52" s="200">
        <v>0</v>
      </c>
      <c r="P52" s="200"/>
    </row>
    <row r="53" spans="1:16" x14ac:dyDescent="0.2">
      <c r="A53" s="204" t="s">
        <v>998</v>
      </c>
      <c r="B53" s="203" t="s">
        <v>794</v>
      </c>
      <c r="C53" s="203" t="s">
        <v>1111</v>
      </c>
      <c r="D53" s="203" t="s">
        <v>996</v>
      </c>
      <c r="E53" s="203" t="s">
        <v>995</v>
      </c>
      <c r="F53" s="202" t="s">
        <v>1105</v>
      </c>
      <c r="G53" s="201" t="s">
        <v>1074</v>
      </c>
      <c r="H53" s="200">
        <v>2018</v>
      </c>
      <c r="I53" s="200">
        <v>204</v>
      </c>
      <c r="J53" s="200">
        <v>0</v>
      </c>
      <c r="K53" s="200">
        <v>0</v>
      </c>
      <c r="L53" s="200">
        <v>0</v>
      </c>
      <c r="M53" s="200">
        <v>0</v>
      </c>
      <c r="N53" s="200">
        <v>0</v>
      </c>
      <c r="O53" s="199">
        <v>2174</v>
      </c>
      <c r="P53" s="200"/>
    </row>
    <row r="54" spans="1:16" x14ac:dyDescent="0.2">
      <c r="A54" s="204" t="s">
        <v>994</v>
      </c>
      <c r="B54" s="203" t="s">
        <v>760</v>
      </c>
      <c r="C54" s="203" t="s">
        <v>993</v>
      </c>
      <c r="D54" s="203" t="s">
        <v>1110</v>
      </c>
      <c r="E54" s="203" t="s">
        <v>792</v>
      </c>
      <c r="F54" s="202" t="s">
        <v>1078</v>
      </c>
      <c r="G54" s="201" t="s">
        <v>1074</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991</v>
      </c>
      <c r="B55" s="203" t="s">
        <v>760</v>
      </c>
      <c r="C55" s="203" t="s">
        <v>990</v>
      </c>
      <c r="D55" s="203" t="s">
        <v>1109</v>
      </c>
      <c r="E55" s="203" t="s">
        <v>763</v>
      </c>
      <c r="F55" s="202" t="s">
        <v>1085</v>
      </c>
      <c r="G55" s="201" t="s">
        <v>1074</v>
      </c>
      <c r="H55" s="200">
        <v>2018</v>
      </c>
      <c r="I55" s="200">
        <v>30</v>
      </c>
      <c r="J55" s="199">
        <v>59888.800000000003</v>
      </c>
      <c r="K55" s="200">
        <v>0</v>
      </c>
      <c r="L55" s="199">
        <v>59888.800000000003</v>
      </c>
      <c r="M55" s="200">
        <v>425.2</v>
      </c>
      <c r="N55" s="199">
        <v>59463.6</v>
      </c>
      <c r="O55" s="200">
        <v>0</v>
      </c>
      <c r="P55" s="199">
        <v>59463.6</v>
      </c>
    </row>
    <row r="56" spans="1:16" x14ac:dyDescent="0.2">
      <c r="A56" s="204" t="s">
        <v>989</v>
      </c>
      <c r="B56" s="203" t="s">
        <v>760</v>
      </c>
      <c r="C56" s="203" t="s">
        <v>988</v>
      </c>
      <c r="D56" s="203" t="s">
        <v>987</v>
      </c>
      <c r="E56" s="203" t="s">
        <v>251</v>
      </c>
      <c r="F56" s="202" t="s">
        <v>1075</v>
      </c>
      <c r="G56" s="201" t="s">
        <v>1074</v>
      </c>
      <c r="H56" s="200">
        <v>2018</v>
      </c>
      <c r="I56" s="200">
        <v>75</v>
      </c>
      <c r="J56" s="199">
        <v>228711.26</v>
      </c>
      <c r="K56" s="200">
        <v>540.02</v>
      </c>
      <c r="L56" s="199">
        <v>228171.24</v>
      </c>
      <c r="M56" s="200">
        <v>0</v>
      </c>
      <c r="N56" s="199">
        <v>228171.24</v>
      </c>
      <c r="O56" s="200">
        <v>540.02</v>
      </c>
      <c r="P56" s="199">
        <v>228171.24</v>
      </c>
    </row>
    <row r="57" spans="1:16" x14ac:dyDescent="0.2">
      <c r="A57" s="204" t="s">
        <v>986</v>
      </c>
      <c r="B57" s="203" t="s">
        <v>760</v>
      </c>
      <c r="C57" s="203" t="s">
        <v>985</v>
      </c>
      <c r="D57" s="203" t="s">
        <v>1108</v>
      </c>
      <c r="E57" s="203" t="s">
        <v>763</v>
      </c>
      <c r="F57" s="202" t="s">
        <v>1078</v>
      </c>
      <c r="G57" s="201" t="s">
        <v>1074</v>
      </c>
      <c r="H57" s="200">
        <v>2018</v>
      </c>
      <c r="I57" s="200">
        <v>36</v>
      </c>
      <c r="J57" s="199">
        <v>70552.17</v>
      </c>
      <c r="K57" s="200">
        <v>0</v>
      </c>
      <c r="L57" s="199">
        <v>70552.17</v>
      </c>
      <c r="M57" s="200">
        <v>153.01</v>
      </c>
      <c r="N57" s="199">
        <v>70399.16</v>
      </c>
      <c r="O57" s="200">
        <v>0</v>
      </c>
      <c r="P57" s="199">
        <v>70552.17</v>
      </c>
    </row>
    <row r="58" spans="1:16" x14ac:dyDescent="0.2">
      <c r="A58" s="204" t="s">
        <v>983</v>
      </c>
      <c r="B58" s="203" t="s">
        <v>760</v>
      </c>
      <c r="C58" s="203" t="s">
        <v>982</v>
      </c>
      <c r="D58" s="203" t="s">
        <v>1107</v>
      </c>
      <c r="E58" s="203" t="s">
        <v>251</v>
      </c>
      <c r="F58" s="202" t="s">
        <v>1078</v>
      </c>
      <c r="G58" s="201" t="s">
        <v>1074</v>
      </c>
      <c r="H58" s="200">
        <v>2018</v>
      </c>
      <c r="I58" s="200">
        <v>5.2</v>
      </c>
      <c r="J58" s="199">
        <v>7786.4</v>
      </c>
      <c r="K58" s="200">
        <v>0</v>
      </c>
      <c r="L58" s="199">
        <v>7786.4</v>
      </c>
      <c r="M58" s="200">
        <v>57.93</v>
      </c>
      <c r="N58" s="199">
        <v>7728.48</v>
      </c>
      <c r="O58" s="200">
        <v>0</v>
      </c>
      <c r="P58" s="199">
        <v>7728.48</v>
      </c>
    </row>
    <row r="59" spans="1:16" x14ac:dyDescent="0.2">
      <c r="A59" s="204" t="s">
        <v>980</v>
      </c>
      <c r="B59" s="203" t="s">
        <v>760</v>
      </c>
      <c r="C59" s="203" t="s">
        <v>979</v>
      </c>
      <c r="D59" s="203" t="s">
        <v>978</v>
      </c>
      <c r="E59" s="203" t="s">
        <v>823</v>
      </c>
      <c r="F59" s="202" t="s">
        <v>1076</v>
      </c>
      <c r="G59" s="201" t="s">
        <v>1074</v>
      </c>
      <c r="H59" s="200">
        <v>2018</v>
      </c>
      <c r="I59" s="200">
        <v>335</v>
      </c>
      <c r="J59" s="199">
        <v>121766.35</v>
      </c>
      <c r="K59" s="199">
        <v>1329.99</v>
      </c>
      <c r="L59" s="199">
        <v>120436.35</v>
      </c>
      <c r="M59" s="199">
        <v>6720.49</v>
      </c>
      <c r="N59" s="199">
        <v>120436.35</v>
      </c>
      <c r="O59" s="200">
        <v>0</v>
      </c>
      <c r="P59" s="199">
        <v>120436.35</v>
      </c>
    </row>
    <row r="60" spans="1:16" x14ac:dyDescent="0.2">
      <c r="A60" s="204" t="s">
        <v>977</v>
      </c>
      <c r="B60" s="203" t="s">
        <v>760</v>
      </c>
      <c r="C60" s="203" t="s">
        <v>976</v>
      </c>
      <c r="D60" s="203" t="s">
        <v>975</v>
      </c>
      <c r="E60" s="203" t="s">
        <v>251</v>
      </c>
      <c r="F60" s="202" t="s">
        <v>1076</v>
      </c>
      <c r="G60" s="201" t="s">
        <v>1074</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974</v>
      </c>
      <c r="B61" s="203" t="s">
        <v>760</v>
      </c>
      <c r="C61" s="203" t="s">
        <v>973</v>
      </c>
      <c r="D61" s="203" t="s">
        <v>972</v>
      </c>
      <c r="E61" s="203" t="s">
        <v>763</v>
      </c>
      <c r="F61" s="202" t="s">
        <v>1078</v>
      </c>
      <c r="G61" s="201" t="s">
        <v>1074</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967</v>
      </c>
      <c r="B62" s="203" t="s">
        <v>760</v>
      </c>
      <c r="C62" s="203" t="s">
        <v>966</v>
      </c>
      <c r="D62" s="203" t="s">
        <v>968</v>
      </c>
      <c r="E62" s="203" t="s">
        <v>964</v>
      </c>
      <c r="F62" s="202" t="s">
        <v>1105</v>
      </c>
      <c r="G62" s="201" t="s">
        <v>1074</v>
      </c>
      <c r="H62" s="200">
        <v>2018</v>
      </c>
      <c r="I62" s="200">
        <v>3</v>
      </c>
      <c r="J62" s="199">
        <v>20344.45</v>
      </c>
      <c r="K62" s="200">
        <v>0</v>
      </c>
      <c r="L62" s="199">
        <v>20344.45</v>
      </c>
      <c r="M62" s="200">
        <v>0</v>
      </c>
      <c r="N62" s="199">
        <v>20344.45</v>
      </c>
      <c r="O62" s="200">
        <v>0</v>
      </c>
      <c r="P62" s="199">
        <v>20344.45</v>
      </c>
    </row>
    <row r="63" spans="1:16" x14ac:dyDescent="0.2">
      <c r="A63" s="206" t="s">
        <v>967</v>
      </c>
      <c r="B63" s="205" t="s">
        <v>760</v>
      </c>
      <c r="C63" s="203" t="s">
        <v>966</v>
      </c>
      <c r="D63" s="203" t="s">
        <v>965</v>
      </c>
      <c r="E63" s="203" t="s">
        <v>964</v>
      </c>
      <c r="F63" s="202" t="s">
        <v>1105</v>
      </c>
      <c r="G63" s="201" t="s">
        <v>1074</v>
      </c>
      <c r="H63" s="200">
        <v>2018</v>
      </c>
      <c r="I63" s="200">
        <v>5</v>
      </c>
      <c r="J63" s="199">
        <v>2954.68</v>
      </c>
      <c r="K63" s="200">
        <v>6.03</v>
      </c>
      <c r="L63" s="199">
        <v>2954.68</v>
      </c>
      <c r="M63" s="200">
        <v>6.03</v>
      </c>
      <c r="N63" s="199">
        <v>2954.68</v>
      </c>
      <c r="O63" s="200">
        <v>6.03</v>
      </c>
      <c r="P63" s="199">
        <v>2954.68</v>
      </c>
    </row>
    <row r="64" spans="1:16" x14ac:dyDescent="0.2">
      <c r="A64" s="206" t="s">
        <v>967</v>
      </c>
      <c r="B64" s="205" t="s">
        <v>760</v>
      </c>
      <c r="C64" s="203" t="s">
        <v>966</v>
      </c>
      <c r="D64" s="203" t="s">
        <v>1106</v>
      </c>
      <c r="E64" s="203" t="s">
        <v>964</v>
      </c>
      <c r="F64" s="202" t="s">
        <v>1105</v>
      </c>
      <c r="G64" s="201" t="s">
        <v>1074</v>
      </c>
      <c r="H64" s="200">
        <v>2018</v>
      </c>
      <c r="I64" s="200">
        <v>5</v>
      </c>
      <c r="J64" s="199">
        <v>9794.1</v>
      </c>
      <c r="K64" s="200">
        <v>4.95</v>
      </c>
      <c r="L64" s="199">
        <v>9794.1</v>
      </c>
      <c r="M64" s="200">
        <v>4.95</v>
      </c>
      <c r="N64" s="199">
        <v>9794.1</v>
      </c>
      <c r="O64" s="200">
        <v>4.95</v>
      </c>
      <c r="P64" s="199">
        <v>9794.1</v>
      </c>
    </row>
    <row r="65" spans="1:16" x14ac:dyDescent="0.2">
      <c r="A65" s="204" t="s">
        <v>963</v>
      </c>
      <c r="B65" s="203" t="s">
        <v>760</v>
      </c>
      <c r="C65" s="203" t="s">
        <v>962</v>
      </c>
      <c r="D65" s="203" t="s">
        <v>961</v>
      </c>
      <c r="E65" s="203" t="s">
        <v>763</v>
      </c>
      <c r="F65" s="202" t="s">
        <v>1105</v>
      </c>
      <c r="G65" s="201" t="s">
        <v>1074</v>
      </c>
      <c r="H65" s="200">
        <v>2018</v>
      </c>
      <c r="I65" s="200">
        <v>28</v>
      </c>
      <c r="J65" s="199">
        <v>58938.3</v>
      </c>
      <c r="K65" s="200">
        <v>0</v>
      </c>
      <c r="L65" s="199">
        <v>58938.3</v>
      </c>
      <c r="M65" s="200">
        <v>592.4</v>
      </c>
      <c r="N65" s="199">
        <v>58345.9</v>
      </c>
      <c r="O65" s="200">
        <v>0</v>
      </c>
      <c r="P65" s="199">
        <v>58345.9</v>
      </c>
    </row>
    <row r="66" spans="1:16" x14ac:dyDescent="0.2">
      <c r="A66" s="204" t="s">
        <v>951</v>
      </c>
      <c r="B66" s="203" t="s">
        <v>760</v>
      </c>
      <c r="C66" s="203" t="s">
        <v>950</v>
      </c>
      <c r="D66" s="203" t="s">
        <v>949</v>
      </c>
      <c r="E66" s="203" t="s">
        <v>763</v>
      </c>
      <c r="F66" s="202" t="s">
        <v>1075</v>
      </c>
      <c r="G66" s="201" t="s">
        <v>1074</v>
      </c>
      <c r="H66" s="200">
        <v>2018</v>
      </c>
      <c r="I66" s="200">
        <v>60</v>
      </c>
      <c r="J66" s="199">
        <v>128270.93</v>
      </c>
      <c r="K66" s="200">
        <v>0</v>
      </c>
      <c r="L66" s="199">
        <v>128270.93</v>
      </c>
      <c r="M66" s="200">
        <v>817.64</v>
      </c>
      <c r="N66" s="199">
        <v>127453.29</v>
      </c>
      <c r="O66" s="200">
        <v>0</v>
      </c>
      <c r="P66" s="199">
        <v>127453.29</v>
      </c>
    </row>
    <row r="67" spans="1:16" x14ac:dyDescent="0.2">
      <c r="A67" s="204" t="s">
        <v>948</v>
      </c>
      <c r="B67" s="203" t="s">
        <v>760</v>
      </c>
      <c r="C67" s="203" t="s">
        <v>947</v>
      </c>
      <c r="D67" s="203" t="s">
        <v>946</v>
      </c>
      <c r="E67" s="203" t="s">
        <v>763</v>
      </c>
      <c r="F67" s="202" t="s">
        <v>1076</v>
      </c>
      <c r="G67" s="201" t="s">
        <v>1074</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945</v>
      </c>
      <c r="B68" s="203" t="s">
        <v>760</v>
      </c>
      <c r="C68" s="203" t="s">
        <v>944</v>
      </c>
      <c r="D68" s="203" t="s">
        <v>1104</v>
      </c>
      <c r="E68" s="203" t="s">
        <v>792</v>
      </c>
      <c r="F68" s="202" t="s">
        <v>1086</v>
      </c>
      <c r="G68" s="201" t="s">
        <v>1074</v>
      </c>
      <c r="H68" s="200">
        <v>2018</v>
      </c>
      <c r="I68" s="200">
        <v>2.5</v>
      </c>
      <c r="J68" s="199">
        <v>12472.39</v>
      </c>
      <c r="K68" s="200">
        <v>0</v>
      </c>
      <c r="L68" s="199">
        <v>12472.39</v>
      </c>
      <c r="M68" s="200">
        <v>0</v>
      </c>
      <c r="N68" s="199">
        <v>12472.39</v>
      </c>
      <c r="O68" s="200">
        <v>124.72</v>
      </c>
      <c r="P68" s="199">
        <v>12347.67</v>
      </c>
    </row>
    <row r="69" spans="1:16" x14ac:dyDescent="0.2">
      <c r="A69" s="204" t="s">
        <v>942</v>
      </c>
      <c r="B69" s="203" t="s">
        <v>760</v>
      </c>
      <c r="C69" s="203" t="s">
        <v>941</v>
      </c>
      <c r="D69" s="203" t="s">
        <v>940</v>
      </c>
      <c r="E69" s="203" t="s">
        <v>251</v>
      </c>
      <c r="F69" s="202" t="s">
        <v>1075</v>
      </c>
      <c r="G69" s="201" t="s">
        <v>1074</v>
      </c>
      <c r="H69" s="200">
        <v>2018</v>
      </c>
      <c r="I69" s="200">
        <v>111</v>
      </c>
      <c r="J69" s="199">
        <v>370867.36</v>
      </c>
      <c r="K69" s="200">
        <v>0</v>
      </c>
      <c r="L69" s="199">
        <v>370867.36</v>
      </c>
      <c r="M69" s="200">
        <v>276.16000000000003</v>
      </c>
      <c r="N69" s="199">
        <v>370591.2</v>
      </c>
      <c r="O69" s="200">
        <v>6</v>
      </c>
      <c r="P69" s="199">
        <v>370585.2</v>
      </c>
    </row>
    <row r="70" spans="1:16" x14ac:dyDescent="0.2">
      <c r="A70" s="204" t="s">
        <v>939</v>
      </c>
      <c r="B70" s="203" t="s">
        <v>760</v>
      </c>
      <c r="C70" s="203" t="s">
        <v>938</v>
      </c>
      <c r="D70" s="203" t="s">
        <v>937</v>
      </c>
      <c r="E70" s="203" t="s">
        <v>251</v>
      </c>
      <c r="F70" s="202" t="s">
        <v>1076</v>
      </c>
      <c r="G70" s="201" t="s">
        <v>1074</v>
      </c>
      <c r="H70" s="200">
        <v>2018</v>
      </c>
      <c r="I70" s="200">
        <v>59.8</v>
      </c>
      <c r="J70" s="199">
        <v>164323.68</v>
      </c>
      <c r="K70" s="200">
        <v>0</v>
      </c>
      <c r="L70" s="199">
        <v>164323.68</v>
      </c>
      <c r="M70" s="200">
        <v>529.15</v>
      </c>
      <c r="N70" s="199">
        <v>163794.51999999999</v>
      </c>
      <c r="O70" s="200">
        <v>0</v>
      </c>
      <c r="P70" s="199">
        <v>163794.51999999999</v>
      </c>
    </row>
    <row r="71" spans="1:16" x14ac:dyDescent="0.2">
      <c r="A71" s="204" t="s">
        <v>936</v>
      </c>
      <c r="B71" s="203" t="s">
        <v>760</v>
      </c>
      <c r="C71" s="203" t="s">
        <v>935</v>
      </c>
      <c r="D71" s="203" t="s">
        <v>934</v>
      </c>
      <c r="E71" s="203" t="s">
        <v>131</v>
      </c>
      <c r="F71" s="201" t="s">
        <v>1080</v>
      </c>
      <c r="G71" s="201" t="s">
        <v>1074</v>
      </c>
      <c r="H71" s="200">
        <v>2018</v>
      </c>
      <c r="I71" s="200">
        <v>2</v>
      </c>
      <c r="J71" s="199">
        <v>29747.439999999999</v>
      </c>
      <c r="K71" s="199">
        <v>26817.73</v>
      </c>
      <c r="L71" s="199">
        <v>2929.71</v>
      </c>
      <c r="M71" s="199">
        <v>1901.06</v>
      </c>
      <c r="N71" s="199">
        <v>1028.6500000000001</v>
      </c>
      <c r="O71" s="199">
        <v>28718.79</v>
      </c>
      <c r="P71" s="200">
        <v>0</v>
      </c>
    </row>
    <row r="72" spans="1:16" x14ac:dyDescent="0.2">
      <c r="A72" s="204" t="s">
        <v>933</v>
      </c>
      <c r="B72" s="203" t="s">
        <v>760</v>
      </c>
      <c r="C72" s="203" t="s">
        <v>932</v>
      </c>
      <c r="D72" s="203" t="s">
        <v>1103</v>
      </c>
      <c r="E72" s="203" t="s">
        <v>763</v>
      </c>
      <c r="F72" s="202" t="s">
        <v>1075</v>
      </c>
      <c r="G72" s="201" t="s">
        <v>1074</v>
      </c>
      <c r="H72" s="200">
        <v>2018</v>
      </c>
      <c r="I72" s="200">
        <v>75</v>
      </c>
      <c r="J72" s="199">
        <v>175645.18</v>
      </c>
      <c r="K72" s="200">
        <v>0</v>
      </c>
      <c r="L72" s="199">
        <v>175645.18</v>
      </c>
      <c r="M72" s="199">
        <v>1123.27</v>
      </c>
      <c r="N72" s="199">
        <v>174521.91</v>
      </c>
      <c r="O72" s="200">
        <v>13.72</v>
      </c>
      <c r="P72" s="199">
        <v>174508.19</v>
      </c>
    </row>
    <row r="73" spans="1:16" x14ac:dyDescent="0.2">
      <c r="A73" s="204" t="s">
        <v>930</v>
      </c>
      <c r="B73" s="203" t="s">
        <v>760</v>
      </c>
      <c r="C73" s="203" t="s">
        <v>929</v>
      </c>
      <c r="D73" s="203" t="s">
        <v>928</v>
      </c>
      <c r="E73" s="203" t="s">
        <v>251</v>
      </c>
      <c r="F73" s="202" t="s">
        <v>1076</v>
      </c>
      <c r="G73" s="201" t="s">
        <v>1074</v>
      </c>
      <c r="H73" s="200">
        <v>2018</v>
      </c>
      <c r="I73" s="200">
        <v>133.86000000000001</v>
      </c>
      <c r="J73" s="199">
        <v>416304.23</v>
      </c>
      <c r="K73" s="200">
        <v>0</v>
      </c>
      <c r="L73" s="199">
        <v>416304.49</v>
      </c>
      <c r="M73" s="200">
        <v>0</v>
      </c>
      <c r="N73" s="199">
        <v>416304.49</v>
      </c>
      <c r="O73" s="200">
        <v>0</v>
      </c>
      <c r="P73" s="199">
        <v>416304.49</v>
      </c>
    </row>
    <row r="74" spans="1:16" x14ac:dyDescent="0.2">
      <c r="A74" s="204" t="s">
        <v>927</v>
      </c>
      <c r="B74" s="203" t="s">
        <v>760</v>
      </c>
      <c r="C74" s="203" t="s">
        <v>926</v>
      </c>
      <c r="D74" s="203" t="s">
        <v>925</v>
      </c>
      <c r="E74" s="203" t="s">
        <v>758</v>
      </c>
      <c r="F74" s="202" t="s">
        <v>1075</v>
      </c>
      <c r="G74" s="201" t="s">
        <v>1074</v>
      </c>
      <c r="H74" s="200">
        <v>2018</v>
      </c>
      <c r="I74" s="200">
        <v>100</v>
      </c>
      <c r="J74" s="199">
        <v>348742.72</v>
      </c>
      <c r="K74" s="199">
        <v>33324.67</v>
      </c>
      <c r="L74" s="199">
        <v>348742.72</v>
      </c>
      <c r="M74" s="199">
        <v>9061.51</v>
      </c>
      <c r="N74" s="199">
        <v>315418.05</v>
      </c>
      <c r="O74" s="199">
        <v>33324.67</v>
      </c>
      <c r="P74" s="199">
        <v>315418.05</v>
      </c>
    </row>
    <row r="75" spans="1:16" x14ac:dyDescent="0.2">
      <c r="A75" s="204" t="s">
        <v>924</v>
      </c>
      <c r="B75" s="203" t="s">
        <v>760</v>
      </c>
      <c r="C75" s="203" t="s">
        <v>923</v>
      </c>
      <c r="D75" s="203" t="s">
        <v>922</v>
      </c>
      <c r="E75" s="203" t="s">
        <v>792</v>
      </c>
      <c r="F75" s="202" t="s">
        <v>1075</v>
      </c>
      <c r="G75" s="201" t="s">
        <v>1074</v>
      </c>
      <c r="H75" s="200">
        <v>2018</v>
      </c>
      <c r="I75" s="200">
        <v>10</v>
      </c>
      <c r="J75" s="199">
        <v>43103.21</v>
      </c>
      <c r="K75" s="200">
        <v>0</v>
      </c>
      <c r="L75" s="199">
        <v>43103.21</v>
      </c>
      <c r="M75" s="200">
        <v>26.83</v>
      </c>
      <c r="N75" s="199">
        <v>42814.01</v>
      </c>
      <c r="O75" s="200">
        <v>26.83</v>
      </c>
      <c r="P75" s="199">
        <v>42814.01</v>
      </c>
    </row>
    <row r="76" spans="1:16" x14ac:dyDescent="0.2">
      <c r="A76" s="204" t="s">
        <v>921</v>
      </c>
      <c r="B76" s="203" t="s">
        <v>760</v>
      </c>
      <c r="C76" s="203" t="s">
        <v>920</v>
      </c>
      <c r="D76" s="203" t="s">
        <v>1102</v>
      </c>
      <c r="E76" s="203" t="s">
        <v>758</v>
      </c>
      <c r="F76" s="202" t="s">
        <v>1075</v>
      </c>
      <c r="G76" s="201" t="s">
        <v>1074</v>
      </c>
      <c r="H76" s="200">
        <v>2018</v>
      </c>
      <c r="I76" s="200">
        <v>50</v>
      </c>
      <c r="J76" s="199">
        <v>111959.79</v>
      </c>
      <c r="K76" s="199">
        <v>6141.48</v>
      </c>
      <c r="L76" s="199">
        <v>111959.79</v>
      </c>
      <c r="M76" s="199">
        <v>8348.31</v>
      </c>
      <c r="N76" s="199">
        <v>105818.31</v>
      </c>
      <c r="O76" s="199">
        <v>6141.48</v>
      </c>
      <c r="P76" s="199">
        <v>105818.31</v>
      </c>
    </row>
    <row r="77" spans="1:16" x14ac:dyDescent="0.2">
      <c r="A77" s="204" t="s">
        <v>918</v>
      </c>
      <c r="B77" s="203" t="s">
        <v>760</v>
      </c>
      <c r="C77" s="203" t="s">
        <v>917</v>
      </c>
      <c r="D77" s="203" t="s">
        <v>916</v>
      </c>
      <c r="E77" s="203" t="s">
        <v>251</v>
      </c>
      <c r="F77" s="202" t="s">
        <v>1078</v>
      </c>
      <c r="G77" s="201" t="s">
        <v>1074</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912</v>
      </c>
      <c r="B78" s="203" t="s">
        <v>760</v>
      </c>
      <c r="C78" s="203" t="s">
        <v>1101</v>
      </c>
      <c r="D78" s="203" t="s">
        <v>1101</v>
      </c>
      <c r="E78" s="203" t="s">
        <v>763</v>
      </c>
      <c r="F78" s="202" t="s">
        <v>1075</v>
      </c>
      <c r="G78" s="201" t="s">
        <v>1074</v>
      </c>
      <c r="H78" s="200">
        <v>2018</v>
      </c>
      <c r="I78" s="200">
        <v>10</v>
      </c>
      <c r="J78" s="199">
        <v>21753.75</v>
      </c>
      <c r="K78" s="200">
        <v>0</v>
      </c>
      <c r="L78" s="199">
        <v>21753.75</v>
      </c>
      <c r="M78" s="200">
        <v>75.31</v>
      </c>
      <c r="N78" s="199">
        <v>21753.75</v>
      </c>
      <c r="O78" s="200">
        <v>28.18</v>
      </c>
      <c r="P78" s="199">
        <v>21753.75</v>
      </c>
    </row>
    <row r="79" spans="1:16" x14ac:dyDescent="0.2">
      <c r="A79" s="206" t="s">
        <v>910</v>
      </c>
      <c r="B79" s="205" t="s">
        <v>760</v>
      </c>
      <c r="C79" s="203" t="s">
        <v>909</v>
      </c>
      <c r="D79" s="203" t="s">
        <v>908</v>
      </c>
      <c r="E79" s="203" t="s">
        <v>792</v>
      </c>
      <c r="F79" s="202" t="s">
        <v>1078</v>
      </c>
      <c r="G79" s="201" t="s">
        <v>1074</v>
      </c>
      <c r="H79" s="200">
        <v>2018</v>
      </c>
      <c r="I79" s="200">
        <v>2.42</v>
      </c>
      <c r="J79" s="200">
        <v>0</v>
      </c>
      <c r="K79" s="200">
        <v>14.09</v>
      </c>
      <c r="L79" s="200">
        <v>-14.09</v>
      </c>
      <c r="M79" s="199">
        <v>4536.0600000000004</v>
      </c>
      <c r="N79" s="200">
        <v>-14.09</v>
      </c>
      <c r="O79" s="200">
        <v>0</v>
      </c>
      <c r="P79" s="200">
        <v>0</v>
      </c>
    </row>
    <row r="80" spans="1:16" x14ac:dyDescent="0.2">
      <c r="A80" s="204" t="s">
        <v>907</v>
      </c>
      <c r="B80" s="203" t="s">
        <v>760</v>
      </c>
      <c r="C80" s="203" t="s">
        <v>906</v>
      </c>
      <c r="D80" s="203" t="s">
        <v>905</v>
      </c>
      <c r="E80" s="203" t="s">
        <v>251</v>
      </c>
      <c r="F80" s="202" t="s">
        <v>1075</v>
      </c>
      <c r="G80" s="201" t="s">
        <v>1074</v>
      </c>
      <c r="H80" s="200">
        <v>2018</v>
      </c>
      <c r="I80" s="200">
        <v>138.96</v>
      </c>
      <c r="J80" s="199">
        <v>467892.82</v>
      </c>
      <c r="K80" s="200">
        <v>0</v>
      </c>
      <c r="L80" s="199">
        <v>467892.82</v>
      </c>
      <c r="M80" s="200">
        <v>296.08999999999997</v>
      </c>
      <c r="N80" s="199">
        <v>453663.82</v>
      </c>
      <c r="O80" s="199">
        <v>14525.1</v>
      </c>
      <c r="P80" s="199">
        <v>453663.82</v>
      </c>
    </row>
    <row r="81" spans="1:16" x14ac:dyDescent="0.2">
      <c r="A81" s="204" t="s">
        <v>904</v>
      </c>
      <c r="B81" s="203" t="s">
        <v>760</v>
      </c>
      <c r="C81" s="203" t="s">
        <v>903</v>
      </c>
      <c r="D81" s="203" t="s">
        <v>1100</v>
      </c>
      <c r="E81" s="203" t="s">
        <v>251</v>
      </c>
      <c r="F81" s="202" t="s">
        <v>1075</v>
      </c>
      <c r="G81" s="201" t="s">
        <v>1074</v>
      </c>
      <c r="H81" s="200">
        <v>2018</v>
      </c>
      <c r="I81" s="200">
        <v>96.48</v>
      </c>
      <c r="J81" s="199">
        <v>294538.07</v>
      </c>
      <c r="K81" s="200">
        <v>0</v>
      </c>
      <c r="L81" s="199">
        <v>294538.07</v>
      </c>
      <c r="M81" s="200">
        <v>340.69</v>
      </c>
      <c r="N81" s="199">
        <v>285035.07</v>
      </c>
      <c r="O81" s="199">
        <v>9843.69</v>
      </c>
      <c r="P81" s="199">
        <v>285035.07</v>
      </c>
    </row>
    <row r="82" spans="1:16" x14ac:dyDescent="0.2">
      <c r="A82" s="204" t="s">
        <v>901</v>
      </c>
      <c r="B82" s="203" t="s">
        <v>760</v>
      </c>
      <c r="C82" s="203" t="s">
        <v>900</v>
      </c>
      <c r="D82" s="203" t="s">
        <v>899</v>
      </c>
      <c r="E82" s="203" t="s">
        <v>823</v>
      </c>
      <c r="F82" s="202" t="s">
        <v>1078</v>
      </c>
      <c r="G82" s="201" t="s">
        <v>1074</v>
      </c>
      <c r="H82" s="200">
        <v>2018</v>
      </c>
      <c r="I82" s="200">
        <v>4.25</v>
      </c>
      <c r="J82" s="199">
        <v>8721.81</v>
      </c>
      <c r="K82" s="200">
        <v>0</v>
      </c>
      <c r="L82" s="199">
        <v>8721.81</v>
      </c>
      <c r="M82" s="200">
        <v>456.8</v>
      </c>
      <c r="N82" s="199">
        <v>8290.43</v>
      </c>
      <c r="O82" s="200">
        <v>0</v>
      </c>
      <c r="P82" s="199">
        <v>8290.43</v>
      </c>
    </row>
    <row r="83" spans="1:16" x14ac:dyDescent="0.2">
      <c r="A83" s="204" t="s">
        <v>898</v>
      </c>
      <c r="B83" s="203" t="s">
        <v>760</v>
      </c>
      <c r="C83" s="203" t="s">
        <v>897</v>
      </c>
      <c r="D83" s="203" t="s">
        <v>896</v>
      </c>
      <c r="E83" s="203" t="s">
        <v>895</v>
      </c>
      <c r="F83" s="201" t="s">
        <v>1080</v>
      </c>
      <c r="G83" s="201" t="s">
        <v>1074</v>
      </c>
      <c r="H83" s="200">
        <v>2018</v>
      </c>
      <c r="I83" s="200">
        <v>75</v>
      </c>
      <c r="J83" s="199">
        <v>711588.58</v>
      </c>
      <c r="K83" s="200">
        <v>0</v>
      </c>
      <c r="L83" s="199">
        <v>711588.58</v>
      </c>
      <c r="M83" s="199">
        <v>52421.99</v>
      </c>
      <c r="N83" s="199">
        <v>764010.56</v>
      </c>
      <c r="O83" s="199">
        <v>720984.65</v>
      </c>
      <c r="P83" s="199">
        <v>43389.58</v>
      </c>
    </row>
    <row r="84" spans="1:16" x14ac:dyDescent="0.2">
      <c r="A84" s="204" t="s">
        <v>894</v>
      </c>
      <c r="B84" s="203" t="s">
        <v>760</v>
      </c>
      <c r="C84" s="203" t="s">
        <v>893</v>
      </c>
      <c r="D84" s="203" t="s">
        <v>892</v>
      </c>
      <c r="E84" s="203" t="s">
        <v>891</v>
      </c>
      <c r="F84" s="202" t="s">
        <v>1086</v>
      </c>
      <c r="G84" s="201" t="s">
        <v>1074</v>
      </c>
      <c r="H84" s="200">
        <v>2018</v>
      </c>
      <c r="I84" s="200">
        <v>5.0999999999999996</v>
      </c>
      <c r="J84" s="199">
        <v>9299.57</v>
      </c>
      <c r="K84" s="200">
        <v>0</v>
      </c>
      <c r="L84" s="199">
        <v>9299.57</v>
      </c>
      <c r="M84" s="199">
        <v>84662.88</v>
      </c>
      <c r="N84" s="200">
        <v>0</v>
      </c>
      <c r="O84" s="199">
        <v>93962.45</v>
      </c>
      <c r="P84" s="200">
        <v>0</v>
      </c>
    </row>
    <row r="85" spans="1:16" x14ac:dyDescent="0.2">
      <c r="A85" s="204" t="s">
        <v>890</v>
      </c>
      <c r="B85" s="203" t="s">
        <v>760</v>
      </c>
      <c r="C85" s="203" t="s">
        <v>889</v>
      </c>
      <c r="D85" s="203" t="s">
        <v>888</v>
      </c>
      <c r="E85" s="203" t="s">
        <v>763</v>
      </c>
      <c r="F85" s="202" t="s">
        <v>1075</v>
      </c>
      <c r="G85" s="201" t="s">
        <v>1074</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887</v>
      </c>
      <c r="B86" s="203" t="s">
        <v>760</v>
      </c>
      <c r="C86" s="203" t="s">
        <v>886</v>
      </c>
      <c r="D86" s="203" t="s">
        <v>886</v>
      </c>
      <c r="E86" s="203" t="s">
        <v>763</v>
      </c>
      <c r="F86" s="202" t="s">
        <v>1075</v>
      </c>
      <c r="G86" s="201" t="s">
        <v>1074</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885</v>
      </c>
      <c r="B87" s="203" t="s">
        <v>760</v>
      </c>
      <c r="C87" s="203" t="s">
        <v>884</v>
      </c>
      <c r="D87" s="203" t="s">
        <v>1099</v>
      </c>
      <c r="E87" s="203" t="s">
        <v>763</v>
      </c>
      <c r="F87" s="202" t="s">
        <v>1075</v>
      </c>
      <c r="G87" s="201" t="s">
        <v>1074</v>
      </c>
      <c r="H87" s="200">
        <v>2018</v>
      </c>
      <c r="I87" s="200">
        <v>75</v>
      </c>
      <c r="J87" s="199">
        <v>165473.07</v>
      </c>
      <c r="K87" s="200">
        <v>0</v>
      </c>
      <c r="L87" s="199">
        <v>165473.07</v>
      </c>
      <c r="M87" s="200">
        <v>717.32</v>
      </c>
      <c r="N87" s="199">
        <v>165473.07</v>
      </c>
      <c r="O87" s="200">
        <v>97.38</v>
      </c>
      <c r="P87" s="199">
        <v>165473.07</v>
      </c>
    </row>
    <row r="88" spans="1:16" x14ac:dyDescent="0.2">
      <c r="A88" s="204" t="s">
        <v>882</v>
      </c>
      <c r="B88" s="203" t="s">
        <v>794</v>
      </c>
      <c r="C88" s="203" t="s">
        <v>881</v>
      </c>
      <c r="D88" s="203" t="s">
        <v>880</v>
      </c>
      <c r="E88" s="203" t="s">
        <v>823</v>
      </c>
      <c r="F88" s="202" t="s">
        <v>1076</v>
      </c>
      <c r="G88" s="201" t="s">
        <v>1074</v>
      </c>
      <c r="H88" s="200">
        <v>2018</v>
      </c>
      <c r="I88" s="200">
        <v>40</v>
      </c>
      <c r="J88" s="200">
        <v>0</v>
      </c>
      <c r="K88" s="200">
        <v>0</v>
      </c>
      <c r="L88" s="200">
        <v>0</v>
      </c>
      <c r="M88" s="200">
        <v>0</v>
      </c>
      <c r="N88" s="200">
        <v>0</v>
      </c>
      <c r="O88" s="200">
        <v>0</v>
      </c>
      <c r="P88" s="200">
        <v>0</v>
      </c>
    </row>
    <row r="89" spans="1:16" x14ac:dyDescent="0.2">
      <c r="A89" s="204" t="s">
        <v>879</v>
      </c>
      <c r="B89" s="203" t="s">
        <v>760</v>
      </c>
      <c r="C89" s="203" t="s">
        <v>878</v>
      </c>
      <c r="D89" s="203" t="s">
        <v>877</v>
      </c>
      <c r="E89" s="203" t="s">
        <v>823</v>
      </c>
      <c r="F89" s="201" t="s">
        <v>1080</v>
      </c>
      <c r="G89" s="201" t="s">
        <v>1074</v>
      </c>
      <c r="H89" s="200">
        <v>2018</v>
      </c>
      <c r="I89" s="200">
        <v>13</v>
      </c>
      <c r="J89" s="200">
        <v>0</v>
      </c>
      <c r="K89" s="200">
        <v>0</v>
      </c>
      <c r="L89" s="200">
        <v>0</v>
      </c>
      <c r="M89" s="200">
        <v>0</v>
      </c>
      <c r="N89" s="200">
        <v>0</v>
      </c>
      <c r="O89" s="200">
        <v>0</v>
      </c>
      <c r="P89" s="200">
        <v>0</v>
      </c>
    </row>
    <row r="90" spans="1:16" x14ac:dyDescent="0.2">
      <c r="A90" s="204" t="s">
        <v>873</v>
      </c>
      <c r="B90" s="203" t="s">
        <v>760</v>
      </c>
      <c r="C90" s="203" t="s">
        <v>872</v>
      </c>
      <c r="D90" s="203" t="s">
        <v>871</v>
      </c>
      <c r="E90" s="203" t="s">
        <v>763</v>
      </c>
      <c r="F90" s="202" t="s">
        <v>1075</v>
      </c>
      <c r="G90" s="201" t="s">
        <v>1074</v>
      </c>
      <c r="H90" s="200">
        <v>2018</v>
      </c>
      <c r="I90" s="200">
        <v>64</v>
      </c>
      <c r="J90" s="199">
        <v>149862.69</v>
      </c>
      <c r="K90" s="199">
        <v>1222.57</v>
      </c>
      <c r="L90" s="199">
        <v>148640.12</v>
      </c>
      <c r="M90" s="200">
        <v>0</v>
      </c>
      <c r="N90" s="199">
        <v>148640.12</v>
      </c>
      <c r="O90" s="200">
        <v>0</v>
      </c>
      <c r="P90" s="199">
        <v>148640.12</v>
      </c>
    </row>
    <row r="91" spans="1:16" x14ac:dyDescent="0.2">
      <c r="A91" s="204" t="s">
        <v>870</v>
      </c>
      <c r="B91" s="203" t="s">
        <v>760</v>
      </c>
      <c r="C91" s="203" t="s">
        <v>869</v>
      </c>
      <c r="D91" s="203" t="s">
        <v>868</v>
      </c>
      <c r="E91" s="203" t="s">
        <v>823</v>
      </c>
      <c r="F91" s="202" t="s">
        <v>1086</v>
      </c>
      <c r="G91" s="201" t="s">
        <v>1074</v>
      </c>
      <c r="H91" s="200">
        <v>2018</v>
      </c>
      <c r="I91" s="200">
        <v>10.7</v>
      </c>
      <c r="J91" s="200">
        <v>0</v>
      </c>
      <c r="K91" s="200">
        <v>0</v>
      </c>
      <c r="L91" s="200">
        <v>0</v>
      </c>
      <c r="M91" s="200">
        <v>0</v>
      </c>
      <c r="N91" s="200">
        <v>0</v>
      </c>
      <c r="O91" s="200">
        <v>0</v>
      </c>
      <c r="P91" s="200">
        <v>0</v>
      </c>
    </row>
    <row r="92" spans="1:16" x14ac:dyDescent="0.2">
      <c r="A92" s="204" t="s">
        <v>867</v>
      </c>
      <c r="B92" s="203" t="s">
        <v>760</v>
      </c>
      <c r="C92" s="203" t="s">
        <v>866</v>
      </c>
      <c r="D92" s="203" t="s">
        <v>865</v>
      </c>
      <c r="E92" s="203" t="s">
        <v>763</v>
      </c>
      <c r="F92" s="202" t="s">
        <v>1087</v>
      </c>
      <c r="G92" s="201" t="s">
        <v>1074</v>
      </c>
      <c r="H92" s="200">
        <v>2018</v>
      </c>
      <c r="I92" s="200">
        <v>75</v>
      </c>
      <c r="J92" s="199">
        <v>144016.1</v>
      </c>
      <c r="K92" s="200">
        <v>0</v>
      </c>
      <c r="L92" s="199">
        <v>144016.1</v>
      </c>
      <c r="M92" s="199">
        <v>1083.2</v>
      </c>
      <c r="N92" s="199">
        <v>142932.91</v>
      </c>
      <c r="O92" s="200">
        <v>6</v>
      </c>
      <c r="P92" s="199">
        <v>142926.91</v>
      </c>
    </row>
    <row r="93" spans="1:16" x14ac:dyDescent="0.2">
      <c r="A93" s="204" t="s">
        <v>863</v>
      </c>
      <c r="B93" s="203" t="s">
        <v>760</v>
      </c>
      <c r="C93" s="203" t="s">
        <v>1098</v>
      </c>
      <c r="D93" s="203" t="s">
        <v>443</v>
      </c>
      <c r="E93" s="203" t="s">
        <v>782</v>
      </c>
      <c r="F93" s="202" t="s">
        <v>1086</v>
      </c>
      <c r="G93" s="201" t="s">
        <v>1074</v>
      </c>
      <c r="H93" s="200">
        <v>2018</v>
      </c>
      <c r="I93" s="200">
        <v>4</v>
      </c>
      <c r="J93" s="199">
        <v>82927.12</v>
      </c>
      <c r="K93" s="200">
        <v>0</v>
      </c>
      <c r="L93" s="199">
        <v>82927.12</v>
      </c>
      <c r="M93" s="199">
        <v>3888.66</v>
      </c>
      <c r="N93" s="199">
        <v>82927.12</v>
      </c>
      <c r="O93" s="199">
        <v>81273.58</v>
      </c>
      <c r="P93" s="199">
        <v>5542.2</v>
      </c>
    </row>
    <row r="94" spans="1:16" x14ac:dyDescent="0.2">
      <c r="A94" s="204" t="s">
        <v>863</v>
      </c>
      <c r="B94" s="203" t="s">
        <v>760</v>
      </c>
      <c r="C94" s="203" t="s">
        <v>1098</v>
      </c>
      <c r="D94" s="203" t="s">
        <v>1097</v>
      </c>
      <c r="E94" s="203" t="s">
        <v>782</v>
      </c>
      <c r="F94" s="202" t="s">
        <v>1086</v>
      </c>
      <c r="G94" s="201" t="s">
        <v>1074</v>
      </c>
      <c r="H94" s="200">
        <v>2018</v>
      </c>
      <c r="I94" s="200">
        <v>3.5</v>
      </c>
      <c r="J94" s="199">
        <v>98726.17</v>
      </c>
      <c r="K94" s="200">
        <v>0</v>
      </c>
      <c r="L94" s="199">
        <v>98726.17</v>
      </c>
      <c r="M94" s="199">
        <v>7485.56</v>
      </c>
      <c r="N94" s="199">
        <v>98005.11</v>
      </c>
      <c r="O94" s="199">
        <v>87505.31</v>
      </c>
      <c r="P94" s="199">
        <v>18706.419999999998</v>
      </c>
    </row>
    <row r="95" spans="1:16" x14ac:dyDescent="0.2">
      <c r="A95" s="204" t="s">
        <v>915</v>
      </c>
      <c r="B95" s="203" t="s">
        <v>760</v>
      </c>
      <c r="C95" s="203" t="s">
        <v>914</v>
      </c>
      <c r="D95" s="203" t="s">
        <v>1096</v>
      </c>
      <c r="E95" s="203" t="s">
        <v>251</v>
      </c>
      <c r="F95" s="202" t="s">
        <v>1076</v>
      </c>
      <c r="G95" s="201" t="s">
        <v>1074</v>
      </c>
      <c r="H95" s="200">
        <v>2018</v>
      </c>
      <c r="I95" s="200">
        <v>80</v>
      </c>
      <c r="J95" s="199">
        <v>264602.53999999998</v>
      </c>
      <c r="K95" s="200">
        <v>0</v>
      </c>
      <c r="L95" s="199">
        <v>264602.53999999998</v>
      </c>
      <c r="M95" s="200">
        <v>124.58</v>
      </c>
      <c r="N95" s="199">
        <v>264477.95</v>
      </c>
      <c r="O95" s="200">
        <v>0</v>
      </c>
      <c r="P95" s="199">
        <v>264477.95</v>
      </c>
    </row>
    <row r="96" spans="1:16" x14ac:dyDescent="0.2">
      <c r="A96" s="204" t="s">
        <v>860</v>
      </c>
      <c r="B96" s="203" t="s">
        <v>760</v>
      </c>
      <c r="C96" s="203" t="s">
        <v>859</v>
      </c>
      <c r="D96" s="203" t="s">
        <v>858</v>
      </c>
      <c r="E96" s="203" t="s">
        <v>763</v>
      </c>
      <c r="F96" s="202" t="s">
        <v>1075</v>
      </c>
      <c r="G96" s="201" t="s">
        <v>1074</v>
      </c>
      <c r="H96" s="200">
        <v>2018</v>
      </c>
      <c r="I96" s="200">
        <v>75</v>
      </c>
      <c r="J96" s="199">
        <v>183729.9</v>
      </c>
      <c r="K96" s="199">
        <v>2013.25</v>
      </c>
      <c r="L96" s="199">
        <v>181716.65</v>
      </c>
      <c r="M96" s="199">
        <v>2305.13</v>
      </c>
      <c r="N96" s="199">
        <v>179411.52</v>
      </c>
      <c r="O96" s="200">
        <v>168.92</v>
      </c>
      <c r="P96" s="199">
        <v>176956.14</v>
      </c>
    </row>
    <row r="97" spans="1:17" x14ac:dyDescent="0.2">
      <c r="A97" s="204" t="s">
        <v>857</v>
      </c>
      <c r="B97" s="203" t="s">
        <v>760</v>
      </c>
      <c r="C97" s="203" t="s">
        <v>856</v>
      </c>
      <c r="D97" s="203" t="s">
        <v>1095</v>
      </c>
      <c r="E97" s="203" t="s">
        <v>251</v>
      </c>
      <c r="F97" s="202" t="s">
        <v>1076</v>
      </c>
      <c r="G97" s="201" t="s">
        <v>1074</v>
      </c>
      <c r="H97" s="200">
        <v>2018</v>
      </c>
      <c r="I97" s="200">
        <v>138.6</v>
      </c>
      <c r="J97" s="199">
        <v>323614.55</v>
      </c>
      <c r="K97" s="200">
        <v>0</v>
      </c>
      <c r="L97" s="199">
        <v>323614.55</v>
      </c>
      <c r="M97" s="199">
        <v>1443.78</v>
      </c>
      <c r="N97" s="199">
        <v>323614.55</v>
      </c>
      <c r="O97" s="200">
        <v>0</v>
      </c>
      <c r="P97" s="199">
        <v>316114.06</v>
      </c>
    </row>
    <row r="98" spans="1:17" x14ac:dyDescent="0.2">
      <c r="A98" s="204" t="s">
        <v>854</v>
      </c>
      <c r="B98" s="203" t="s">
        <v>760</v>
      </c>
      <c r="C98" s="203" t="s">
        <v>1094</v>
      </c>
      <c r="D98" s="203" t="s">
        <v>852</v>
      </c>
      <c r="E98" s="203" t="s">
        <v>251</v>
      </c>
      <c r="F98" s="202" t="s">
        <v>1076</v>
      </c>
      <c r="G98" s="201" t="s">
        <v>1074</v>
      </c>
      <c r="H98" s="200">
        <v>2018</v>
      </c>
      <c r="I98" s="200">
        <v>27</v>
      </c>
      <c r="J98" s="199">
        <v>69913.09</v>
      </c>
      <c r="K98" s="200">
        <v>0</v>
      </c>
      <c r="L98" s="199">
        <v>69913.09</v>
      </c>
      <c r="M98" s="200">
        <v>97.68</v>
      </c>
      <c r="N98" s="199">
        <v>69913.09</v>
      </c>
      <c r="O98" s="200">
        <v>0</v>
      </c>
      <c r="P98" s="199">
        <v>69913.09</v>
      </c>
    </row>
    <row r="99" spans="1:17" x14ac:dyDescent="0.2">
      <c r="A99" s="204" t="s">
        <v>851</v>
      </c>
      <c r="B99" s="203" t="s">
        <v>760</v>
      </c>
      <c r="C99" s="203" t="s">
        <v>850</v>
      </c>
      <c r="D99" s="203" t="s">
        <v>850</v>
      </c>
      <c r="E99" s="203" t="s">
        <v>763</v>
      </c>
      <c r="F99" s="202" t="s">
        <v>1093</v>
      </c>
      <c r="G99" s="201" t="s">
        <v>1074</v>
      </c>
      <c r="H99" s="200">
        <v>2018</v>
      </c>
      <c r="I99" s="200">
        <v>7</v>
      </c>
      <c r="J99" s="199">
        <v>11897.79</v>
      </c>
      <c r="K99" s="200">
        <v>0</v>
      </c>
      <c r="L99" s="199">
        <v>11897.8</v>
      </c>
      <c r="M99" s="200">
        <v>0</v>
      </c>
      <c r="N99" s="199">
        <v>11897.8</v>
      </c>
      <c r="O99" s="200">
        <v>0</v>
      </c>
      <c r="P99" s="199">
        <v>11897.8</v>
      </c>
    </row>
    <row r="100" spans="1:17" x14ac:dyDescent="0.2">
      <c r="A100" s="204" t="s">
        <v>849</v>
      </c>
      <c r="B100" s="203" t="s">
        <v>760</v>
      </c>
      <c r="C100" s="203" t="s">
        <v>848</v>
      </c>
      <c r="D100" s="203" t="s">
        <v>847</v>
      </c>
      <c r="E100" s="203" t="s">
        <v>763</v>
      </c>
      <c r="F100" s="202" t="s">
        <v>1075</v>
      </c>
      <c r="G100" s="201" t="s">
        <v>1074</v>
      </c>
      <c r="H100" s="200">
        <v>2018</v>
      </c>
      <c r="I100" s="200">
        <v>48.5</v>
      </c>
      <c r="J100" s="199">
        <v>94719.039999999994</v>
      </c>
      <c r="K100" s="200">
        <v>0</v>
      </c>
      <c r="L100" s="199">
        <v>94430.67</v>
      </c>
      <c r="M100" s="200">
        <v>0</v>
      </c>
      <c r="N100" s="199">
        <v>94430.67</v>
      </c>
      <c r="O100" s="200">
        <v>0</v>
      </c>
      <c r="P100" s="199">
        <v>94430.67</v>
      </c>
    </row>
    <row r="101" spans="1:17" x14ac:dyDescent="0.2">
      <c r="A101" s="204" t="s">
        <v>846</v>
      </c>
      <c r="B101" s="203" t="s">
        <v>760</v>
      </c>
      <c r="C101" s="203" t="s">
        <v>845</v>
      </c>
      <c r="D101" s="203" t="s">
        <v>844</v>
      </c>
      <c r="E101" s="203" t="s">
        <v>763</v>
      </c>
      <c r="F101" s="202" t="s">
        <v>1075</v>
      </c>
      <c r="G101" s="201" t="s">
        <v>1074</v>
      </c>
      <c r="H101" s="200">
        <v>2018</v>
      </c>
      <c r="I101" s="200">
        <v>48.5</v>
      </c>
      <c r="J101" s="199">
        <v>91691.3</v>
      </c>
      <c r="K101" s="200">
        <v>0</v>
      </c>
      <c r="L101" s="199">
        <v>91691.3</v>
      </c>
      <c r="M101" s="200">
        <v>0</v>
      </c>
      <c r="N101" s="199">
        <v>91691.3</v>
      </c>
      <c r="O101" s="200">
        <v>0</v>
      </c>
      <c r="P101" s="199">
        <v>91691.3</v>
      </c>
    </row>
    <row r="102" spans="1:17" x14ac:dyDescent="0.2">
      <c r="A102" s="204" t="s">
        <v>843</v>
      </c>
      <c r="B102" s="203" t="s">
        <v>760</v>
      </c>
      <c r="C102" s="203" t="s">
        <v>842</v>
      </c>
      <c r="D102" s="203" t="s">
        <v>1092</v>
      </c>
      <c r="E102" s="203" t="s">
        <v>251</v>
      </c>
      <c r="F102" s="202" t="s">
        <v>1075</v>
      </c>
      <c r="G102" s="201" t="s">
        <v>1074</v>
      </c>
      <c r="H102" s="200">
        <v>2018</v>
      </c>
      <c r="I102" s="200">
        <v>138</v>
      </c>
      <c r="J102" s="199">
        <v>506322.28</v>
      </c>
      <c r="K102" s="200">
        <v>0</v>
      </c>
      <c r="L102" s="199">
        <v>506322.28</v>
      </c>
      <c r="M102" s="200">
        <v>828.02</v>
      </c>
      <c r="N102" s="199">
        <v>505494.26</v>
      </c>
      <c r="O102" s="200">
        <v>0</v>
      </c>
      <c r="P102" s="199">
        <v>505494.26</v>
      </c>
    </row>
    <row r="103" spans="1:17" x14ac:dyDescent="0.2">
      <c r="A103" s="204" t="s">
        <v>840</v>
      </c>
      <c r="B103" s="203" t="s">
        <v>760</v>
      </c>
      <c r="C103" s="203" t="s">
        <v>839</v>
      </c>
      <c r="D103" s="203" t="s">
        <v>1091</v>
      </c>
      <c r="E103" s="203" t="s">
        <v>251</v>
      </c>
      <c r="F103" s="202" t="s">
        <v>1075</v>
      </c>
      <c r="G103" s="201" t="s">
        <v>1074</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837</v>
      </c>
      <c r="B104" s="203" t="s">
        <v>760</v>
      </c>
      <c r="C104" s="203" t="s">
        <v>836</v>
      </c>
      <c r="D104" s="203" t="s">
        <v>835</v>
      </c>
      <c r="E104" s="203" t="s">
        <v>251</v>
      </c>
      <c r="F104" s="202" t="s">
        <v>1075</v>
      </c>
      <c r="G104" s="201" t="s">
        <v>1074</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833</v>
      </c>
      <c r="B105" s="203" t="s">
        <v>760</v>
      </c>
      <c r="C105" s="203" t="s">
        <v>832</v>
      </c>
      <c r="D105" s="203" t="s">
        <v>834</v>
      </c>
      <c r="E105" s="203" t="s">
        <v>830</v>
      </c>
      <c r="F105" s="201" t="s">
        <v>1080</v>
      </c>
      <c r="G105" s="201" t="s">
        <v>1074</v>
      </c>
      <c r="H105" s="200">
        <v>2018</v>
      </c>
      <c r="I105" s="200">
        <v>2</v>
      </c>
      <c r="J105" s="199">
        <v>188090.87</v>
      </c>
      <c r="K105" s="199">
        <v>1351.58</v>
      </c>
      <c r="L105" s="199">
        <v>186739.29</v>
      </c>
      <c r="M105" s="199">
        <v>328589.59000000003</v>
      </c>
      <c r="N105" s="200">
        <v>0</v>
      </c>
      <c r="O105" s="199">
        <v>516680.46</v>
      </c>
      <c r="P105" s="200">
        <v>0</v>
      </c>
    </row>
    <row r="106" spans="1:17" x14ac:dyDescent="0.2">
      <c r="A106" s="204" t="s">
        <v>833</v>
      </c>
      <c r="B106" s="203" t="s">
        <v>760</v>
      </c>
      <c r="C106" s="203" t="s">
        <v>832</v>
      </c>
      <c r="D106" s="203" t="s">
        <v>831</v>
      </c>
      <c r="E106" s="203" t="s">
        <v>830</v>
      </c>
      <c r="F106" s="202" t="s">
        <v>1086</v>
      </c>
      <c r="G106" s="201" t="s">
        <v>1074</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826</v>
      </c>
      <c r="B107" s="203" t="s">
        <v>760</v>
      </c>
      <c r="C107" s="203" t="s">
        <v>825</v>
      </c>
      <c r="D107" s="203" t="s">
        <v>829</v>
      </c>
      <c r="E107" s="203" t="s">
        <v>146</v>
      </c>
      <c r="F107" s="202" t="s">
        <v>1087</v>
      </c>
      <c r="G107" s="201" t="s">
        <v>1074</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826</v>
      </c>
      <c r="B108" s="203" t="s">
        <v>760</v>
      </c>
      <c r="C108" s="203" t="s">
        <v>825</v>
      </c>
      <c r="D108" s="203" t="s">
        <v>828</v>
      </c>
      <c r="E108" s="203" t="s">
        <v>146</v>
      </c>
      <c r="F108" s="202" t="s">
        <v>1086</v>
      </c>
      <c r="G108" s="201" t="s">
        <v>1074</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826</v>
      </c>
      <c r="B109" s="203" t="s">
        <v>760</v>
      </c>
      <c r="C109" s="203" t="s">
        <v>825</v>
      </c>
      <c r="D109" s="203" t="s">
        <v>1090</v>
      </c>
      <c r="E109" s="203" t="s">
        <v>823</v>
      </c>
      <c r="F109" s="202" t="s">
        <v>1087</v>
      </c>
      <c r="G109" s="201" t="s">
        <v>1074</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826</v>
      </c>
      <c r="B110" s="203" t="s">
        <v>760</v>
      </c>
      <c r="C110" s="203" t="s">
        <v>825</v>
      </c>
      <c r="D110" s="203" t="s">
        <v>824</v>
      </c>
      <c r="E110" s="203" t="s">
        <v>823</v>
      </c>
      <c r="F110" s="202" t="s">
        <v>1086</v>
      </c>
      <c r="G110" s="201" t="s">
        <v>1074</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822</v>
      </c>
      <c r="B111" s="203" t="s">
        <v>760</v>
      </c>
      <c r="C111" s="203" t="s">
        <v>1089</v>
      </c>
      <c r="D111" s="203" t="s">
        <v>1088</v>
      </c>
      <c r="E111" s="203" t="s">
        <v>763</v>
      </c>
      <c r="F111" s="202" t="s">
        <v>1075</v>
      </c>
      <c r="G111" s="201" t="s">
        <v>1074</v>
      </c>
      <c r="H111" s="200">
        <v>2018</v>
      </c>
      <c r="I111" s="200">
        <v>75</v>
      </c>
      <c r="J111" s="199">
        <v>146605.71</v>
      </c>
      <c r="K111" s="200">
        <v>824.47</v>
      </c>
      <c r="L111" s="199">
        <v>145781.24</v>
      </c>
      <c r="M111" s="200">
        <v>898.47</v>
      </c>
      <c r="N111" s="199">
        <v>146605.71</v>
      </c>
      <c r="O111" s="200">
        <v>898.47</v>
      </c>
      <c r="P111" s="199">
        <v>146605.71</v>
      </c>
    </row>
    <row r="112" spans="1:17" x14ac:dyDescent="0.2">
      <c r="A112" s="204" t="s">
        <v>819</v>
      </c>
      <c r="B112" s="203" t="s">
        <v>760</v>
      </c>
      <c r="C112" s="203" t="s">
        <v>818</v>
      </c>
      <c r="D112" s="203" t="s">
        <v>817</v>
      </c>
      <c r="E112" s="203" t="s">
        <v>763</v>
      </c>
      <c r="F112" s="202" t="s">
        <v>1075</v>
      </c>
      <c r="G112" s="201" t="s">
        <v>1074</v>
      </c>
      <c r="H112" s="200">
        <v>2018</v>
      </c>
      <c r="I112" s="200">
        <v>10</v>
      </c>
      <c r="J112" s="199">
        <v>21483.49</v>
      </c>
      <c r="K112" s="200">
        <v>0</v>
      </c>
      <c r="L112" s="199">
        <v>21483.49</v>
      </c>
      <c r="M112" s="200">
        <v>79.31</v>
      </c>
      <c r="N112" s="199">
        <v>21483.49</v>
      </c>
      <c r="O112" s="200">
        <v>24.55</v>
      </c>
      <c r="P112" s="199">
        <v>21483.49</v>
      </c>
    </row>
    <row r="113" spans="1:16" x14ac:dyDescent="0.2">
      <c r="A113" s="204" t="s">
        <v>816</v>
      </c>
      <c r="B113" s="203" t="s">
        <v>760</v>
      </c>
      <c r="C113" s="203" t="s">
        <v>815</v>
      </c>
      <c r="D113" s="203" t="s">
        <v>814</v>
      </c>
      <c r="E113" s="203" t="s">
        <v>763</v>
      </c>
      <c r="F113" s="202" t="s">
        <v>1075</v>
      </c>
      <c r="G113" s="201" t="s">
        <v>1074</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813</v>
      </c>
      <c r="B114" s="203" t="s">
        <v>760</v>
      </c>
      <c r="C114" s="203" t="s">
        <v>812</v>
      </c>
      <c r="D114" s="203" t="s">
        <v>811</v>
      </c>
      <c r="E114" s="203" t="s">
        <v>763</v>
      </c>
      <c r="F114" s="202" t="s">
        <v>1075</v>
      </c>
      <c r="G114" s="201" t="s">
        <v>1074</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810</v>
      </c>
      <c r="B115" s="203" t="s">
        <v>760</v>
      </c>
      <c r="C115" s="203" t="s">
        <v>809</v>
      </c>
      <c r="D115" s="203" t="s">
        <v>808</v>
      </c>
      <c r="E115" s="203" t="s">
        <v>763</v>
      </c>
      <c r="F115" s="202" t="s">
        <v>1076</v>
      </c>
      <c r="G115" s="201" t="s">
        <v>1074</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807</v>
      </c>
      <c r="B116" s="203" t="s">
        <v>760</v>
      </c>
      <c r="C116" s="203" t="s">
        <v>806</v>
      </c>
      <c r="D116" s="203" t="s">
        <v>805</v>
      </c>
      <c r="E116" s="203" t="s">
        <v>763</v>
      </c>
      <c r="F116" s="202" t="s">
        <v>1075</v>
      </c>
      <c r="G116" s="201" t="s">
        <v>1074</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804</v>
      </c>
      <c r="B117" s="203" t="s">
        <v>760</v>
      </c>
      <c r="C117" s="203" t="s">
        <v>803</v>
      </c>
      <c r="D117" s="203" t="s">
        <v>802</v>
      </c>
      <c r="E117" s="203" t="s">
        <v>763</v>
      </c>
      <c r="F117" s="202" t="s">
        <v>1075</v>
      </c>
      <c r="G117" s="201" t="s">
        <v>1074</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801</v>
      </c>
      <c r="B118" s="203" t="s">
        <v>760</v>
      </c>
      <c r="C118" s="203" t="s">
        <v>800</v>
      </c>
      <c r="D118" s="203" t="s">
        <v>800</v>
      </c>
      <c r="E118" s="203" t="s">
        <v>792</v>
      </c>
      <c r="F118" s="202" t="s">
        <v>1087</v>
      </c>
      <c r="G118" s="201" t="s">
        <v>1074</v>
      </c>
      <c r="H118" s="200">
        <v>2018</v>
      </c>
      <c r="I118" s="200">
        <v>4.3099999999999996</v>
      </c>
      <c r="J118" s="199">
        <v>31698.2</v>
      </c>
      <c r="K118" s="200">
        <v>0</v>
      </c>
      <c r="L118" s="199">
        <v>31698.2</v>
      </c>
      <c r="M118" s="200">
        <v>132.18</v>
      </c>
      <c r="N118" s="199">
        <v>31566.02</v>
      </c>
      <c r="O118" s="200">
        <v>6</v>
      </c>
      <c r="P118" s="199">
        <v>31560.02</v>
      </c>
    </row>
    <row r="119" spans="1:16" x14ac:dyDescent="0.2">
      <c r="A119" s="204" t="s">
        <v>799</v>
      </c>
      <c r="B119" s="203" t="s">
        <v>760</v>
      </c>
      <c r="C119" s="203" t="s">
        <v>798</v>
      </c>
      <c r="D119" s="203" t="s">
        <v>797</v>
      </c>
      <c r="E119" s="203" t="s">
        <v>763</v>
      </c>
      <c r="F119" s="202" t="s">
        <v>1075</v>
      </c>
      <c r="G119" s="201" t="s">
        <v>1074</v>
      </c>
      <c r="H119" s="200">
        <v>2018</v>
      </c>
      <c r="I119" s="200">
        <v>8.9</v>
      </c>
      <c r="J119" s="199">
        <v>18827.2</v>
      </c>
      <c r="K119" s="200">
        <v>0</v>
      </c>
      <c r="L119" s="199">
        <v>18827.2</v>
      </c>
      <c r="M119" s="200">
        <v>117.22</v>
      </c>
      <c r="N119" s="199">
        <v>18709.98</v>
      </c>
      <c r="O119" s="200">
        <v>0</v>
      </c>
      <c r="P119" s="199">
        <v>18709.98</v>
      </c>
    </row>
    <row r="120" spans="1:16" x14ac:dyDescent="0.2">
      <c r="A120" s="204" t="s">
        <v>796</v>
      </c>
      <c r="B120" s="203" t="s">
        <v>794</v>
      </c>
      <c r="C120" s="203" t="s">
        <v>795</v>
      </c>
      <c r="D120" s="203" t="s">
        <v>793</v>
      </c>
      <c r="E120" s="203" t="s">
        <v>792</v>
      </c>
      <c r="F120" s="202" t="s">
        <v>1086</v>
      </c>
      <c r="G120" s="201" t="s">
        <v>1074</v>
      </c>
      <c r="H120" s="200">
        <v>2018</v>
      </c>
      <c r="I120" s="200">
        <v>3.35</v>
      </c>
      <c r="J120" s="200">
        <v>0</v>
      </c>
      <c r="K120" s="200">
        <v>0</v>
      </c>
      <c r="L120" s="200">
        <v>0</v>
      </c>
      <c r="M120" s="200">
        <v>0</v>
      </c>
      <c r="N120" s="200">
        <v>0</v>
      </c>
      <c r="O120" s="200">
        <v>0</v>
      </c>
      <c r="P120" s="200">
        <v>0</v>
      </c>
    </row>
    <row r="121" spans="1:16" x14ac:dyDescent="0.2">
      <c r="A121" s="204" t="s">
        <v>791</v>
      </c>
      <c r="B121" s="203" t="s">
        <v>760</v>
      </c>
      <c r="C121" s="203" t="s">
        <v>790</v>
      </c>
      <c r="D121" s="203" t="s">
        <v>789</v>
      </c>
      <c r="E121" s="203" t="s">
        <v>763</v>
      </c>
      <c r="F121" s="202" t="s">
        <v>1085</v>
      </c>
      <c r="G121" s="201" t="s">
        <v>1074</v>
      </c>
      <c r="H121" s="200">
        <v>2018</v>
      </c>
      <c r="I121" s="200">
        <v>60</v>
      </c>
      <c r="J121" s="199">
        <v>113944.17</v>
      </c>
      <c r="K121" s="200">
        <v>0</v>
      </c>
      <c r="L121" s="199">
        <v>113944.17</v>
      </c>
      <c r="M121" s="199">
        <v>1005.16</v>
      </c>
      <c r="N121" s="199">
        <v>112939.01</v>
      </c>
      <c r="O121" s="200">
        <v>0</v>
      </c>
      <c r="P121" s="199">
        <v>112939.01</v>
      </c>
    </row>
    <row r="122" spans="1:16" x14ac:dyDescent="0.2">
      <c r="A122" s="204" t="s">
        <v>785</v>
      </c>
      <c r="B122" s="203" t="s">
        <v>760</v>
      </c>
      <c r="C122" s="203" t="s">
        <v>784</v>
      </c>
      <c r="D122" s="203" t="s">
        <v>1084</v>
      </c>
      <c r="E122" s="203" t="s">
        <v>782</v>
      </c>
      <c r="F122" s="201" t="s">
        <v>1080</v>
      </c>
      <c r="G122" s="201" t="s">
        <v>1074</v>
      </c>
      <c r="H122" s="200">
        <v>2018</v>
      </c>
      <c r="I122" s="200">
        <v>12</v>
      </c>
      <c r="J122" s="199">
        <v>31290</v>
      </c>
      <c r="K122" s="200">
        <v>0</v>
      </c>
      <c r="L122" s="199">
        <v>31290</v>
      </c>
      <c r="M122" s="199">
        <v>7839.94</v>
      </c>
      <c r="N122" s="200">
        <v>0</v>
      </c>
      <c r="O122" s="199">
        <v>37023.1</v>
      </c>
      <c r="P122" s="199">
        <v>2106.85</v>
      </c>
    </row>
    <row r="123" spans="1:16" x14ac:dyDescent="0.2">
      <c r="A123" s="204" t="s">
        <v>785</v>
      </c>
      <c r="B123" s="203" t="s">
        <v>760</v>
      </c>
      <c r="C123" s="203" t="s">
        <v>784</v>
      </c>
      <c r="D123" s="203" t="s">
        <v>1083</v>
      </c>
      <c r="E123" s="203" t="s">
        <v>782</v>
      </c>
      <c r="F123" s="201" t="s">
        <v>1080</v>
      </c>
      <c r="G123" s="201" t="s">
        <v>1074</v>
      </c>
      <c r="H123" s="200">
        <v>2018</v>
      </c>
      <c r="I123" s="200">
        <v>12</v>
      </c>
      <c r="J123" s="199">
        <v>19280</v>
      </c>
      <c r="K123" s="200">
        <v>0</v>
      </c>
      <c r="L123" s="199">
        <v>19280</v>
      </c>
      <c r="M123" s="199">
        <v>4689.32</v>
      </c>
      <c r="N123" s="200">
        <v>0</v>
      </c>
      <c r="O123" s="199">
        <v>23969.32</v>
      </c>
      <c r="P123" s="200">
        <v>0</v>
      </c>
    </row>
    <row r="124" spans="1:16" x14ac:dyDescent="0.2">
      <c r="A124" s="204" t="s">
        <v>785</v>
      </c>
      <c r="B124" s="203" t="s">
        <v>760</v>
      </c>
      <c r="C124" s="203" t="s">
        <v>784</v>
      </c>
      <c r="D124" s="203" t="s">
        <v>1082</v>
      </c>
      <c r="E124" s="203" t="s">
        <v>782</v>
      </c>
      <c r="F124" s="201" t="s">
        <v>1080</v>
      </c>
      <c r="G124" s="201" t="s">
        <v>1074</v>
      </c>
      <c r="H124" s="200">
        <v>2018</v>
      </c>
      <c r="I124" s="200">
        <v>32</v>
      </c>
      <c r="J124" s="199">
        <v>86900</v>
      </c>
      <c r="K124" s="200">
        <v>0</v>
      </c>
      <c r="L124" s="199">
        <v>86900</v>
      </c>
      <c r="M124" s="199">
        <v>6265.43</v>
      </c>
      <c r="N124" s="200">
        <v>0</v>
      </c>
      <c r="O124" s="199">
        <v>69981.52</v>
      </c>
      <c r="P124" s="199">
        <v>23183.91</v>
      </c>
    </row>
    <row r="125" spans="1:16" x14ac:dyDescent="0.2">
      <c r="A125" s="204" t="s">
        <v>785</v>
      </c>
      <c r="B125" s="203" t="s">
        <v>760</v>
      </c>
      <c r="C125" s="203" t="s">
        <v>784</v>
      </c>
      <c r="D125" s="203" t="s">
        <v>1081</v>
      </c>
      <c r="E125" s="203" t="s">
        <v>782</v>
      </c>
      <c r="F125" s="201" t="s">
        <v>1080</v>
      </c>
      <c r="G125" s="201" t="s">
        <v>1074</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781</v>
      </c>
      <c r="B126" s="203" t="s">
        <v>760</v>
      </c>
      <c r="C126" s="203" t="s">
        <v>780</v>
      </c>
      <c r="D126" s="203" t="s">
        <v>779</v>
      </c>
      <c r="E126" s="203" t="s">
        <v>251</v>
      </c>
      <c r="F126" s="202" t="s">
        <v>1076</v>
      </c>
      <c r="G126" s="201" t="s">
        <v>1074</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778</v>
      </c>
      <c r="B127" s="203" t="s">
        <v>760</v>
      </c>
      <c r="C127" s="203" t="s">
        <v>777</v>
      </c>
      <c r="D127" s="203" t="s">
        <v>776</v>
      </c>
      <c r="E127" s="203" t="s">
        <v>131</v>
      </c>
      <c r="F127" s="201" t="s">
        <v>1080</v>
      </c>
      <c r="G127" s="201" t="s">
        <v>1074</v>
      </c>
      <c r="H127" s="200">
        <v>2018</v>
      </c>
      <c r="I127" s="200">
        <v>5</v>
      </c>
      <c r="J127" s="199">
        <v>53811.21</v>
      </c>
      <c r="K127" s="200">
        <v>0</v>
      </c>
      <c r="L127" s="199">
        <v>53811.21</v>
      </c>
      <c r="M127" s="199">
        <v>2675.43</v>
      </c>
      <c r="N127" s="200">
        <v>0</v>
      </c>
      <c r="O127" s="199">
        <v>47771.47</v>
      </c>
      <c r="P127" s="199">
        <v>8715.17</v>
      </c>
    </row>
    <row r="128" spans="1:16" x14ac:dyDescent="0.2">
      <c r="A128" s="204" t="s">
        <v>775</v>
      </c>
      <c r="B128" s="203" t="s">
        <v>760</v>
      </c>
      <c r="C128" s="203" t="s">
        <v>774</v>
      </c>
      <c r="D128" s="203" t="s">
        <v>1079</v>
      </c>
      <c r="E128" s="203" t="s">
        <v>251</v>
      </c>
      <c r="F128" s="202" t="s">
        <v>1078</v>
      </c>
      <c r="G128" s="201" t="s">
        <v>1074</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772</v>
      </c>
      <c r="B129" s="203" t="s">
        <v>760</v>
      </c>
      <c r="C129" s="203" t="s">
        <v>771</v>
      </c>
      <c r="D129" s="203" t="s">
        <v>770</v>
      </c>
      <c r="E129" s="203" t="s">
        <v>763</v>
      </c>
      <c r="F129" s="202" t="s">
        <v>1078</v>
      </c>
      <c r="G129" s="201" t="s">
        <v>1074</v>
      </c>
      <c r="H129" s="200">
        <v>2018</v>
      </c>
      <c r="I129" s="200">
        <v>8.82</v>
      </c>
      <c r="J129" s="199">
        <v>18709.2</v>
      </c>
      <c r="K129" s="200">
        <v>97.21</v>
      </c>
      <c r="L129" s="199">
        <v>18806.41</v>
      </c>
      <c r="M129" s="200">
        <v>0</v>
      </c>
      <c r="N129" s="199">
        <v>18709.2</v>
      </c>
      <c r="O129" s="200">
        <v>0</v>
      </c>
      <c r="P129" s="199">
        <v>18709.2</v>
      </c>
    </row>
    <row r="130" spans="1:16" x14ac:dyDescent="0.2">
      <c r="A130" s="204" t="s">
        <v>769</v>
      </c>
      <c r="B130" s="203" t="s">
        <v>760</v>
      </c>
      <c r="C130" s="203" t="s">
        <v>768</v>
      </c>
      <c r="D130" s="203" t="s">
        <v>1077</v>
      </c>
      <c r="E130" s="203" t="s">
        <v>251</v>
      </c>
      <c r="F130" s="202" t="s">
        <v>1076</v>
      </c>
      <c r="G130" s="201" t="s">
        <v>1074</v>
      </c>
      <c r="H130" s="200">
        <v>2018</v>
      </c>
      <c r="I130" s="200">
        <v>23.4</v>
      </c>
      <c r="J130" s="199">
        <v>92581.04</v>
      </c>
      <c r="K130" s="200">
        <v>0</v>
      </c>
      <c r="L130" s="199">
        <v>92581.04</v>
      </c>
      <c r="M130" s="200">
        <v>103.1</v>
      </c>
      <c r="N130" s="199">
        <v>92477.95</v>
      </c>
      <c r="O130" s="200">
        <v>0</v>
      </c>
      <c r="P130" s="199">
        <v>92477.95</v>
      </c>
    </row>
    <row r="131" spans="1:16" x14ac:dyDescent="0.2">
      <c r="A131" s="204" t="s">
        <v>766</v>
      </c>
      <c r="B131" s="203" t="s">
        <v>760</v>
      </c>
      <c r="C131" s="203" t="s">
        <v>765</v>
      </c>
      <c r="D131" s="203" t="s">
        <v>764</v>
      </c>
      <c r="E131" s="203" t="s">
        <v>763</v>
      </c>
      <c r="F131" s="202" t="s">
        <v>1075</v>
      </c>
      <c r="G131" s="201" t="s">
        <v>1074</v>
      </c>
      <c r="H131" s="200">
        <v>2018</v>
      </c>
      <c r="I131" s="200">
        <v>74</v>
      </c>
      <c r="J131" s="199">
        <v>205329.77</v>
      </c>
      <c r="K131" s="200">
        <v>0</v>
      </c>
      <c r="L131" s="199">
        <v>205329.77</v>
      </c>
      <c r="M131" s="199">
        <v>1374.3</v>
      </c>
      <c r="N131" s="199">
        <v>205329.77</v>
      </c>
      <c r="O131" s="199">
        <v>1374.3</v>
      </c>
      <c r="P131" s="199">
        <v>205329.77</v>
      </c>
    </row>
    <row r="132" spans="1:16" x14ac:dyDescent="0.2">
      <c r="A132" s="204" t="s">
        <v>762</v>
      </c>
      <c r="B132" s="203" t="s">
        <v>760</v>
      </c>
      <c r="C132" s="203" t="s">
        <v>761</v>
      </c>
      <c r="D132" s="203" t="s">
        <v>759</v>
      </c>
      <c r="E132" s="203" t="s">
        <v>758</v>
      </c>
      <c r="F132" s="202" t="s">
        <v>1075</v>
      </c>
      <c r="G132" s="201" t="s">
        <v>1074</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1073</v>
      </c>
      <c r="K135" s="196" t="s">
        <v>1072</v>
      </c>
      <c r="L135" s="196" t="s">
        <v>162</v>
      </c>
      <c r="M135" s="192" t="s">
        <v>755</v>
      </c>
      <c r="N135" s="192" t="s">
        <v>157</v>
      </c>
      <c r="O135" s="196" t="s">
        <v>146</v>
      </c>
      <c r="P135" s="196" t="s">
        <v>823</v>
      </c>
    </row>
    <row r="136" spans="1:16" ht="15.75" x14ac:dyDescent="0.25">
      <c r="K136" s="196" t="s">
        <v>127</v>
      </c>
      <c r="O136" s="196" t="s">
        <v>144</v>
      </c>
      <c r="P136" s="196" t="s">
        <v>144</v>
      </c>
    </row>
    <row r="137" spans="1:16" ht="15.75" x14ac:dyDescent="0.25">
      <c r="I137" s="193">
        <f>(K137+K139)*3.6</f>
        <v>16387370.82</v>
      </c>
      <c r="J137" s="196" t="s">
        <v>1071</v>
      </c>
      <c r="K137" s="193">
        <f>O108</f>
        <v>3629277.15</v>
      </c>
      <c r="L137" s="195">
        <v>0.28999999999999998</v>
      </c>
      <c r="M137" s="192">
        <f>I108</f>
        <v>600</v>
      </c>
      <c r="N137" s="194">
        <f>K137/(M137*8760)</f>
        <v>0.69050174086757987</v>
      </c>
      <c r="O137" s="193">
        <f>K137*3.6/L137/1000</f>
        <v>45053.095655172416</v>
      </c>
    </row>
    <row r="138" spans="1:16" ht="15.75" x14ac:dyDescent="0.25">
      <c r="J138" s="196" t="s">
        <v>1070</v>
      </c>
      <c r="K138" s="193">
        <f>O107</f>
        <v>648526.81999999995</v>
      </c>
      <c r="L138" s="195">
        <v>0.28999999999999998</v>
      </c>
      <c r="M138" s="192">
        <f>I107</f>
        <v>128</v>
      </c>
      <c r="N138" s="194">
        <f>K138/(M138*8760)</f>
        <v>0.57838079694634703</v>
      </c>
      <c r="O138" s="193">
        <f>K138*3.6/L138/1000</f>
        <v>8050.67776551724</v>
      </c>
    </row>
    <row r="139" spans="1:16" ht="15.75" x14ac:dyDescent="0.25">
      <c r="J139" s="196" t="s">
        <v>1069</v>
      </c>
      <c r="K139" s="193">
        <f>N109</f>
        <v>922770.3</v>
      </c>
      <c r="L139" s="195">
        <v>0.45</v>
      </c>
      <c r="P139" s="193">
        <f>K139*3.6/L139/1000</f>
        <v>7382.1624000000002</v>
      </c>
    </row>
    <row r="140" spans="1:16" ht="15.75" x14ac:dyDescent="0.25">
      <c r="J140" s="196" t="s">
        <v>1068</v>
      </c>
      <c r="K140" s="193">
        <f>N110</f>
        <v>1705272.78</v>
      </c>
      <c r="L140" s="195">
        <v>0.45</v>
      </c>
      <c r="P140" s="193">
        <f>K140*3.6/L140/1000</f>
        <v>13642.18224</v>
      </c>
    </row>
    <row r="141" spans="1:16" ht="15.75" x14ac:dyDescent="0.25">
      <c r="J141" s="196" t="s">
        <v>1067</v>
      </c>
      <c r="O141" s="193">
        <f>SUM(O137:O138)</f>
        <v>53103.773420689657</v>
      </c>
      <c r="P141" s="193">
        <f>SUM(P139:P140)</f>
        <v>21024.344639999999</v>
      </c>
    </row>
    <row r="143" spans="1:16" ht="15.75" x14ac:dyDescent="0.25">
      <c r="J143" s="196" t="s">
        <v>1066</v>
      </c>
      <c r="L143" s="196" t="s">
        <v>1065</v>
      </c>
      <c r="M143" s="196" t="s">
        <v>116</v>
      </c>
      <c r="N143" s="196" t="s">
        <v>146</v>
      </c>
      <c r="O143" s="196" t="s">
        <v>1043</v>
      </c>
      <c r="P143" s="196" t="s">
        <v>1064</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1063</v>
      </c>
      <c r="K146" s="193">
        <f>L71+L93+L94+L122+L123+L124+L125+L127</f>
        <v>409965.13</v>
      </c>
      <c r="L146" s="193"/>
      <c r="M146" s="193"/>
      <c r="N146" s="193"/>
      <c r="O146" s="193"/>
    </row>
    <row r="147" spans="10:15" ht="15.75" x14ac:dyDescent="0.25">
      <c r="J147" s="196" t="s">
        <v>1062</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1061</v>
      </c>
      <c r="O149" s="196" t="s">
        <v>146</v>
      </c>
    </row>
    <row r="150" spans="10:15" ht="15.75" x14ac:dyDescent="0.25">
      <c r="J150" s="192" t="s">
        <v>524</v>
      </c>
      <c r="K150" s="193">
        <f>N38</f>
        <v>1707095</v>
      </c>
      <c r="L150" s="195">
        <v>0.3</v>
      </c>
      <c r="M150" s="192">
        <v>600</v>
      </c>
      <c r="N150" s="194">
        <f>K150/(M150*8760)</f>
        <v>0.32478976407914761</v>
      </c>
      <c r="O150" s="193">
        <f>K150*3.6/L150/1000</f>
        <v>20485.14</v>
      </c>
    </row>
    <row r="153" spans="10:15" ht="15" customHeight="1" x14ac:dyDescent="0.2">
      <c r="J153" s="192" t="s">
        <v>1817</v>
      </c>
      <c r="K153" s="338">
        <f>SUMIF(E2:E132,"Gas",N2:N132)/1000000</f>
        <v>3.5372053500000002</v>
      </c>
    </row>
    <row r="154" spans="10:15" ht="15" customHeight="1" x14ac:dyDescent="0.2">
      <c r="J154" s="192" t="s">
        <v>1818</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1057</v>
      </c>
      <c r="C2" s="212" t="s">
        <v>1056</v>
      </c>
      <c r="D2" s="214" t="s">
        <v>1123</v>
      </c>
      <c r="E2" s="213" t="s">
        <v>137</v>
      </c>
      <c r="F2" s="212" t="s">
        <v>1055</v>
      </c>
      <c r="G2" s="212" t="s">
        <v>1122</v>
      </c>
      <c r="H2" s="212" t="s">
        <v>1121</v>
      </c>
      <c r="I2" s="212" t="s">
        <v>1120</v>
      </c>
      <c r="J2" s="212" t="s">
        <v>1119</v>
      </c>
      <c r="K2" s="212" t="s">
        <v>1050</v>
      </c>
      <c r="L2" s="212" t="s">
        <v>1049</v>
      </c>
      <c r="M2" s="212" t="s">
        <v>1118</v>
      </c>
      <c r="N2" s="212" t="s">
        <v>1047</v>
      </c>
    </row>
    <row r="3" spans="2:14" x14ac:dyDescent="0.2">
      <c r="B3" s="210" t="s">
        <v>453</v>
      </c>
      <c r="C3" s="210" t="s">
        <v>146</v>
      </c>
      <c r="D3" s="201" t="s">
        <v>1086</v>
      </c>
      <c r="E3" s="201" t="s">
        <v>1074</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507</v>
      </c>
      <c r="C4" s="210" t="s">
        <v>146</v>
      </c>
      <c r="D4" s="201" t="s">
        <v>1086</v>
      </c>
      <c r="E4" s="201" t="s">
        <v>1074</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503</v>
      </c>
      <c r="C5" s="210" t="s">
        <v>146</v>
      </c>
      <c r="D5" s="201" t="s">
        <v>1086</v>
      </c>
      <c r="E5" s="201" t="s">
        <v>1074</v>
      </c>
      <c r="F5" s="208">
        <v>2018</v>
      </c>
      <c r="G5" s="207">
        <v>3450</v>
      </c>
      <c r="H5" s="207">
        <v>11698000.35</v>
      </c>
      <c r="I5" s="207">
        <v>1086090.8400000001</v>
      </c>
      <c r="J5" s="207">
        <v>10611909.51</v>
      </c>
      <c r="K5" s="208">
        <v>0</v>
      </c>
      <c r="L5" s="207">
        <v>10611909.51</v>
      </c>
      <c r="M5" s="208">
        <v>0</v>
      </c>
      <c r="N5" s="207">
        <v>10611909.51</v>
      </c>
    </row>
    <row r="6" spans="2:14" x14ac:dyDescent="0.2">
      <c r="B6" s="210" t="s">
        <v>442</v>
      </c>
      <c r="C6" s="210" t="s">
        <v>146</v>
      </c>
      <c r="D6" s="201" t="s">
        <v>1086</v>
      </c>
      <c r="E6" s="201" t="s">
        <v>1074</v>
      </c>
      <c r="F6" s="208">
        <v>2018</v>
      </c>
      <c r="G6" s="207">
        <v>1130</v>
      </c>
      <c r="H6" s="207">
        <v>2644796.23</v>
      </c>
      <c r="I6" s="207">
        <v>237762.33</v>
      </c>
      <c r="J6" s="207">
        <v>2407033.9</v>
      </c>
      <c r="K6" s="208">
        <v>0</v>
      </c>
      <c r="L6" s="207">
        <v>2407033.9</v>
      </c>
      <c r="M6" s="208">
        <v>0</v>
      </c>
      <c r="N6" s="207">
        <v>2407033.9</v>
      </c>
    </row>
    <row r="7" spans="2:14" x14ac:dyDescent="0.2">
      <c r="B7" s="210" t="s">
        <v>446</v>
      </c>
      <c r="C7" s="210" t="s">
        <v>146</v>
      </c>
      <c r="D7" s="201" t="s">
        <v>1086</v>
      </c>
      <c r="E7" s="201" t="s">
        <v>1074</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492</v>
      </c>
      <c r="C8" s="210" t="s">
        <v>146</v>
      </c>
      <c r="D8" s="201" t="s">
        <v>1086</v>
      </c>
      <c r="E8" s="201" t="s">
        <v>1074</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443</v>
      </c>
      <c r="C9" s="210" t="s">
        <v>146</v>
      </c>
      <c r="D9" s="201" t="s">
        <v>1086</v>
      </c>
      <c r="E9" s="201" t="s">
        <v>1074</v>
      </c>
      <c r="F9" s="208">
        <v>2018</v>
      </c>
      <c r="G9" s="207">
        <v>1000</v>
      </c>
      <c r="H9" s="207">
        <v>2318905.87</v>
      </c>
      <c r="I9" s="207">
        <v>165328.51</v>
      </c>
      <c r="J9" s="207">
        <v>2153577.36</v>
      </c>
      <c r="K9" s="208">
        <v>0</v>
      </c>
      <c r="L9" s="207">
        <v>2153577.36</v>
      </c>
      <c r="M9" s="208">
        <v>0</v>
      </c>
      <c r="N9" s="207">
        <v>2153577.36</v>
      </c>
    </row>
    <row r="10" spans="2:14" x14ac:dyDescent="0.2">
      <c r="B10" s="210" t="s">
        <v>447</v>
      </c>
      <c r="C10" s="210" t="s">
        <v>146</v>
      </c>
      <c r="D10" s="201" t="s">
        <v>1086</v>
      </c>
      <c r="E10" s="201" t="s">
        <v>1074</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478</v>
      </c>
      <c r="C11" s="210" t="s">
        <v>146</v>
      </c>
      <c r="D11" s="201" t="s">
        <v>1087</v>
      </c>
      <c r="E11" s="201" t="s">
        <v>1074</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444</v>
      </c>
      <c r="C12" s="210" t="s">
        <v>146</v>
      </c>
      <c r="D12" s="201" t="s">
        <v>1086</v>
      </c>
      <c r="E12" s="201" t="s">
        <v>1074</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471</v>
      </c>
      <c r="C13" s="210" t="s">
        <v>146</v>
      </c>
      <c r="D13" s="201" t="s">
        <v>1085</v>
      </c>
      <c r="E13" s="201" t="s">
        <v>1074</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450</v>
      </c>
      <c r="C14" s="210" t="s">
        <v>146</v>
      </c>
      <c r="D14" s="201" t="s">
        <v>1086</v>
      </c>
      <c r="E14" s="201" t="s">
        <v>1074</v>
      </c>
      <c r="F14" s="208">
        <v>2018</v>
      </c>
      <c r="G14" s="207">
        <v>3450</v>
      </c>
      <c r="H14" s="207">
        <v>20761579.800000001</v>
      </c>
      <c r="I14" s="207">
        <v>1218096.32</v>
      </c>
      <c r="J14" s="207">
        <v>19543483.48</v>
      </c>
      <c r="K14" s="208">
        <v>0</v>
      </c>
      <c r="L14" s="207">
        <v>19543483.48</v>
      </c>
      <c r="M14" s="208">
        <v>0</v>
      </c>
      <c r="N14" s="207">
        <v>19543483.48</v>
      </c>
    </row>
    <row r="15" spans="2:14" x14ac:dyDescent="0.2">
      <c r="B15" s="210" t="s">
        <v>455</v>
      </c>
      <c r="C15" s="210" t="s">
        <v>146</v>
      </c>
      <c r="D15" s="201" t="s">
        <v>1086</v>
      </c>
      <c r="E15" s="201" t="s">
        <v>1074</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463</v>
      </c>
      <c r="C16" s="210" t="s">
        <v>146</v>
      </c>
      <c r="D16" s="201" t="s">
        <v>1085</v>
      </c>
      <c r="E16" s="201" t="s">
        <v>1074</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551</v>
      </c>
      <c r="C17" s="210" t="s">
        <v>146</v>
      </c>
      <c r="D17" s="201" t="s">
        <v>1086</v>
      </c>
      <c r="E17" s="201" t="s">
        <v>1074</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1150</v>
      </c>
      <c r="E22" s="87" t="s">
        <v>1149</v>
      </c>
      <c r="F22" s="87" t="s">
        <v>1132</v>
      </c>
      <c r="G22" s="87" t="s">
        <v>1148</v>
      </c>
      <c r="H22" s="87" t="s">
        <v>1147</v>
      </c>
      <c r="I22" s="87" t="s">
        <v>1146</v>
      </c>
      <c r="J22" s="87" t="s">
        <v>1145</v>
      </c>
      <c r="K22" s="87" t="s">
        <v>1144</v>
      </c>
      <c r="L22" s="87" t="s">
        <v>1143</v>
      </c>
      <c r="M22" s="87"/>
    </row>
    <row r="23" spans="2:14" x14ac:dyDescent="0.2">
      <c r="B23" s="87" t="s">
        <v>1057</v>
      </c>
      <c r="C23" s="87" t="s">
        <v>1142</v>
      </c>
      <c r="D23" s="87"/>
      <c r="E23" s="87"/>
      <c r="F23" s="87" t="s">
        <v>1141</v>
      </c>
      <c r="G23" s="87"/>
      <c r="H23" s="87" t="s">
        <v>1140</v>
      </c>
      <c r="I23" s="87"/>
      <c r="J23" s="87"/>
      <c r="K23" s="87"/>
      <c r="L23" s="87"/>
      <c r="M23" s="87" t="s">
        <v>1139</v>
      </c>
    </row>
    <row r="24" spans="2:14" ht="13.5" thickBot="1" x14ac:dyDescent="0.25">
      <c r="B24" s="87"/>
      <c r="C24" s="87"/>
      <c r="D24" s="87"/>
      <c r="E24" s="87" t="s">
        <v>124</v>
      </c>
      <c r="F24" s="87" t="s">
        <v>124</v>
      </c>
      <c r="G24" s="87" t="s">
        <v>127</v>
      </c>
      <c r="H24" s="87" t="s">
        <v>127</v>
      </c>
      <c r="I24" s="87" t="s">
        <v>127</v>
      </c>
      <c r="J24" s="87" t="s">
        <v>127</v>
      </c>
      <c r="K24" s="87" t="s">
        <v>127</v>
      </c>
      <c r="L24" s="87" t="s">
        <v>127</v>
      </c>
      <c r="M24" s="87" t="s">
        <v>127</v>
      </c>
    </row>
    <row r="25" spans="2:14" ht="13.5" thickBot="1" x14ac:dyDescent="0.25">
      <c r="B25" s="231" t="s">
        <v>1138</v>
      </c>
      <c r="C25" s="230"/>
      <c r="D25" s="230"/>
      <c r="E25" s="230"/>
      <c r="F25" s="230"/>
      <c r="G25" s="230"/>
      <c r="H25" s="230"/>
      <c r="I25" s="230"/>
      <c r="J25" s="230"/>
      <c r="K25" s="230"/>
      <c r="L25" s="230"/>
      <c r="M25" s="229"/>
    </row>
    <row r="26" spans="2:14" ht="13.5" thickBot="1" x14ac:dyDescent="0.25">
      <c r="B26" s="219" t="s">
        <v>453</v>
      </c>
      <c r="C26" s="227" t="s">
        <v>146</v>
      </c>
      <c r="D26" s="227" t="s">
        <v>523</v>
      </c>
      <c r="E26" s="226">
        <v>2232</v>
      </c>
      <c r="F26" s="226">
        <v>2012</v>
      </c>
      <c r="G26" s="226">
        <v>13026226.029999999</v>
      </c>
      <c r="H26" s="226">
        <v>911870.03</v>
      </c>
      <c r="I26" s="226">
        <v>12114356</v>
      </c>
      <c r="J26" s="224" t="s">
        <v>1137</v>
      </c>
      <c r="K26" s="228">
        <v>12114356</v>
      </c>
      <c r="L26" s="224" t="s">
        <v>1137</v>
      </c>
      <c r="M26" s="223">
        <v>12114356</v>
      </c>
    </row>
    <row r="27" spans="2:14" ht="13.5" thickBot="1" x14ac:dyDescent="0.25">
      <c r="B27" s="219" t="s">
        <v>507</v>
      </c>
      <c r="C27" s="227" t="s">
        <v>146</v>
      </c>
      <c r="D27" s="227" t="s">
        <v>523</v>
      </c>
      <c r="E27" s="226">
        <v>1450</v>
      </c>
      <c r="F27" s="226">
        <v>1451</v>
      </c>
      <c r="G27" s="226">
        <v>8902148</v>
      </c>
      <c r="H27" s="226">
        <v>640513.62</v>
      </c>
      <c r="I27" s="226">
        <v>8261634.3799999999</v>
      </c>
      <c r="J27" s="224" t="s">
        <v>1137</v>
      </c>
      <c r="K27" s="225">
        <v>8261634.3799999999</v>
      </c>
      <c r="L27" s="224" t="s">
        <v>1137</v>
      </c>
      <c r="M27" s="223">
        <v>8261634.3799999999</v>
      </c>
    </row>
    <row r="28" spans="2:14" ht="13.5" thickBot="1" x14ac:dyDescent="0.25">
      <c r="B28" s="219" t="s">
        <v>503</v>
      </c>
      <c r="C28" s="227" t="s">
        <v>146</v>
      </c>
      <c r="D28" s="227" t="s">
        <v>523</v>
      </c>
      <c r="E28" s="226">
        <v>3450</v>
      </c>
      <c r="F28" s="226">
        <v>2645</v>
      </c>
      <c r="G28" s="226">
        <v>18131754</v>
      </c>
      <c r="H28" s="226">
        <v>1069966</v>
      </c>
      <c r="I28" s="226">
        <v>17061788</v>
      </c>
      <c r="J28" s="224" t="s">
        <v>1137</v>
      </c>
      <c r="K28" s="225">
        <v>17061788</v>
      </c>
      <c r="L28" s="224" t="s">
        <v>1137</v>
      </c>
      <c r="M28" s="223">
        <v>17061788</v>
      </c>
    </row>
    <row r="29" spans="2:14" ht="13.5" thickBot="1" x14ac:dyDescent="0.25">
      <c r="B29" s="219" t="s">
        <v>442</v>
      </c>
      <c r="C29" s="227" t="s">
        <v>146</v>
      </c>
      <c r="D29" s="227" t="s">
        <v>523</v>
      </c>
      <c r="E29" s="226">
        <v>1090</v>
      </c>
      <c r="F29" s="226">
        <v>1077</v>
      </c>
      <c r="G29" s="226">
        <v>6232252.8899999997</v>
      </c>
      <c r="H29" s="226">
        <v>395871.89</v>
      </c>
      <c r="I29" s="226">
        <v>5836381</v>
      </c>
      <c r="J29" s="224" t="s">
        <v>1137</v>
      </c>
      <c r="K29" s="225">
        <v>5836381</v>
      </c>
      <c r="L29" s="224" t="s">
        <v>1137</v>
      </c>
      <c r="M29" s="223">
        <v>5836381</v>
      </c>
    </row>
    <row r="30" spans="2:14" ht="13.5" thickBot="1" x14ac:dyDescent="0.25">
      <c r="B30" s="219" t="s">
        <v>446</v>
      </c>
      <c r="C30" s="227" t="s">
        <v>146</v>
      </c>
      <c r="D30" s="227" t="s">
        <v>523</v>
      </c>
      <c r="E30" s="226">
        <v>1865</v>
      </c>
      <c r="F30" s="226">
        <v>1596</v>
      </c>
      <c r="G30" s="226">
        <v>10695691.49</v>
      </c>
      <c r="H30" s="226">
        <v>673685.49</v>
      </c>
      <c r="I30" s="226">
        <v>10022006</v>
      </c>
      <c r="J30" s="224" t="s">
        <v>1137</v>
      </c>
      <c r="K30" s="225">
        <v>10022006</v>
      </c>
      <c r="L30" s="224" t="s">
        <v>1137</v>
      </c>
      <c r="M30" s="223">
        <v>10022006</v>
      </c>
    </row>
    <row r="31" spans="2:14" ht="13.5" thickBot="1" x14ac:dyDescent="0.25">
      <c r="B31" s="219" t="s">
        <v>492</v>
      </c>
      <c r="C31" s="227" t="s">
        <v>146</v>
      </c>
      <c r="D31" s="227" t="s">
        <v>523</v>
      </c>
      <c r="E31" s="226">
        <v>3840</v>
      </c>
      <c r="F31" s="226">
        <v>3949</v>
      </c>
      <c r="G31" s="226">
        <v>28855844.899999999</v>
      </c>
      <c r="H31" s="226">
        <v>2060012.9</v>
      </c>
      <c r="I31" s="226">
        <v>26795832</v>
      </c>
      <c r="J31" s="224" t="s">
        <v>1137</v>
      </c>
      <c r="K31" s="225">
        <v>26795832</v>
      </c>
      <c r="L31" s="224" t="s">
        <v>1137</v>
      </c>
      <c r="M31" s="223">
        <v>26795832</v>
      </c>
    </row>
    <row r="32" spans="2:14" ht="13.5" thickBot="1" x14ac:dyDescent="0.25">
      <c r="B32" s="219" t="s">
        <v>443</v>
      </c>
      <c r="C32" s="227" t="s">
        <v>146</v>
      </c>
      <c r="D32" s="227" t="s">
        <v>523</v>
      </c>
      <c r="E32" s="224">
        <v>791</v>
      </c>
      <c r="F32" s="224">
        <v>757</v>
      </c>
      <c r="G32" s="226">
        <v>3963569.04</v>
      </c>
      <c r="H32" s="226">
        <v>249003.04</v>
      </c>
      <c r="I32" s="226">
        <v>3714566</v>
      </c>
      <c r="J32" s="224" t="s">
        <v>1137</v>
      </c>
      <c r="K32" s="225">
        <v>3714566</v>
      </c>
      <c r="L32" s="224" t="s">
        <v>1137</v>
      </c>
      <c r="M32" s="223">
        <v>3714566</v>
      </c>
    </row>
    <row r="33" spans="1:17" ht="13.5" thickBot="1" x14ac:dyDescent="0.25">
      <c r="B33" s="219" t="s">
        <v>447</v>
      </c>
      <c r="C33" s="227" t="s">
        <v>146</v>
      </c>
      <c r="D33" s="227" t="s">
        <v>523</v>
      </c>
      <c r="E33" s="226">
        <v>2850</v>
      </c>
      <c r="F33" s="226">
        <v>2580</v>
      </c>
      <c r="G33" s="226">
        <v>16944768.719999999</v>
      </c>
      <c r="H33" s="226">
        <v>1223746.72</v>
      </c>
      <c r="I33" s="226">
        <v>15721022</v>
      </c>
      <c r="J33" s="224" t="s">
        <v>1137</v>
      </c>
      <c r="K33" s="225">
        <v>15721022</v>
      </c>
      <c r="L33" s="224" t="s">
        <v>1137</v>
      </c>
      <c r="M33" s="223">
        <v>15721022</v>
      </c>
    </row>
    <row r="34" spans="1:17" ht="13.5" thickBot="1" x14ac:dyDescent="0.25">
      <c r="B34" s="219" t="s">
        <v>478</v>
      </c>
      <c r="C34" s="227" t="s">
        <v>146</v>
      </c>
      <c r="D34" s="227" t="s">
        <v>523</v>
      </c>
      <c r="E34" s="226">
        <v>3558</v>
      </c>
      <c r="F34" s="226">
        <v>3575</v>
      </c>
      <c r="G34" s="226">
        <v>24333573.600000001</v>
      </c>
      <c r="H34" s="226">
        <v>1388506.6</v>
      </c>
      <c r="I34" s="226">
        <v>22945067</v>
      </c>
      <c r="J34" s="224" t="s">
        <v>1137</v>
      </c>
      <c r="K34" s="225">
        <v>22945067</v>
      </c>
      <c r="L34" s="224" t="s">
        <v>1137</v>
      </c>
      <c r="M34" s="223">
        <v>22945067</v>
      </c>
    </row>
    <row r="35" spans="1:17" ht="13.5" thickBot="1" x14ac:dyDescent="0.25">
      <c r="B35" s="219" t="s">
        <v>444</v>
      </c>
      <c r="C35" s="227" t="s">
        <v>146</v>
      </c>
      <c r="D35" s="227" t="s">
        <v>523</v>
      </c>
      <c r="E35" s="226">
        <v>3843</v>
      </c>
      <c r="F35" s="226">
        <v>3814</v>
      </c>
      <c r="G35" s="226">
        <v>27647993.219999999</v>
      </c>
      <c r="H35" s="226">
        <v>2226465.2200000002</v>
      </c>
      <c r="I35" s="226">
        <v>25421528</v>
      </c>
      <c r="J35" s="224" t="s">
        <v>1137</v>
      </c>
      <c r="K35" s="225">
        <v>25421528</v>
      </c>
      <c r="L35" s="224" t="s">
        <v>1137</v>
      </c>
      <c r="M35" s="223">
        <v>25421528</v>
      </c>
    </row>
    <row r="36" spans="1:17" ht="13.5" thickBot="1" x14ac:dyDescent="0.25">
      <c r="B36" s="219" t="s">
        <v>471</v>
      </c>
      <c r="C36" s="227" t="s">
        <v>146</v>
      </c>
      <c r="D36" s="227" t="s">
        <v>523</v>
      </c>
      <c r="E36" s="226">
        <v>3690</v>
      </c>
      <c r="F36" s="226">
        <v>3723</v>
      </c>
      <c r="G36" s="226">
        <v>29865255.359999999</v>
      </c>
      <c r="H36" s="226">
        <v>2679386.36</v>
      </c>
      <c r="I36" s="226">
        <v>27185869</v>
      </c>
      <c r="J36" s="224" t="s">
        <v>1137</v>
      </c>
      <c r="K36" s="225">
        <v>27185869</v>
      </c>
      <c r="L36" s="224" t="s">
        <v>1137</v>
      </c>
      <c r="M36" s="223">
        <v>27185869</v>
      </c>
    </row>
    <row r="37" spans="1:17" ht="13.5" thickBot="1" x14ac:dyDescent="0.25">
      <c r="B37" s="219" t="s">
        <v>450</v>
      </c>
      <c r="C37" s="227" t="s">
        <v>146</v>
      </c>
      <c r="D37" s="227" t="s">
        <v>523</v>
      </c>
      <c r="E37" s="226">
        <v>3450</v>
      </c>
      <c r="F37" s="226">
        <v>3388</v>
      </c>
      <c r="G37" s="226">
        <v>22765429.289999999</v>
      </c>
      <c r="H37" s="226">
        <v>1358253.29</v>
      </c>
      <c r="I37" s="226">
        <v>21407176</v>
      </c>
      <c r="J37" s="224" t="s">
        <v>1137</v>
      </c>
      <c r="K37" s="225">
        <v>21407176</v>
      </c>
      <c r="L37" s="224" t="s">
        <v>1137</v>
      </c>
      <c r="M37" s="223">
        <v>21407176</v>
      </c>
    </row>
    <row r="38" spans="1:17" ht="13.5" thickBot="1" x14ac:dyDescent="0.25">
      <c r="B38" s="219" t="s">
        <v>455</v>
      </c>
      <c r="C38" s="227" t="s">
        <v>146</v>
      </c>
      <c r="D38" s="227" t="s">
        <v>523</v>
      </c>
      <c r="E38" s="226">
        <v>3510</v>
      </c>
      <c r="F38" s="226">
        <v>3378</v>
      </c>
      <c r="G38" s="226">
        <v>20747557</v>
      </c>
      <c r="H38" s="226">
        <v>1160271</v>
      </c>
      <c r="I38" s="226">
        <v>19587286</v>
      </c>
      <c r="J38" s="224" t="s">
        <v>1137</v>
      </c>
      <c r="K38" s="225">
        <v>19587286</v>
      </c>
      <c r="L38" s="224" t="s">
        <v>1137</v>
      </c>
      <c r="M38" s="223">
        <v>19587286</v>
      </c>
    </row>
    <row r="40" spans="1:17" x14ac:dyDescent="0.2">
      <c r="G40" s="217"/>
    </row>
    <row r="41" spans="1:17" x14ac:dyDescent="0.2">
      <c r="B41" s="222" t="s">
        <v>1136</v>
      </c>
      <c r="C41" s="87" t="s">
        <v>1127</v>
      </c>
      <c r="D41" s="87"/>
      <c r="E41" s="54" t="s">
        <v>1135</v>
      </c>
      <c r="F41" s="54" t="s">
        <v>1134</v>
      </c>
      <c r="G41" s="54" t="s">
        <v>1133</v>
      </c>
      <c r="H41" s="87" t="s">
        <v>1132</v>
      </c>
      <c r="J41" s="54" t="s">
        <v>1131</v>
      </c>
      <c r="L41" s="54" t="s">
        <v>1130</v>
      </c>
    </row>
    <row r="42" spans="1:17" x14ac:dyDescent="0.2">
      <c r="B42" s="212" t="s">
        <v>1057</v>
      </c>
      <c r="C42" s="87" t="s">
        <v>124</v>
      </c>
      <c r="D42" s="87" t="s">
        <v>124</v>
      </c>
      <c r="E42" s="54" t="s">
        <v>124</v>
      </c>
      <c r="F42" s="54" t="s">
        <v>124</v>
      </c>
      <c r="H42" s="87" t="s">
        <v>124</v>
      </c>
      <c r="I42" s="54" t="s">
        <v>1129</v>
      </c>
      <c r="J42" s="87" t="s">
        <v>1128</v>
      </c>
      <c r="L42" s="87" t="s">
        <v>1127</v>
      </c>
      <c r="M42" s="54" t="s">
        <v>1126</v>
      </c>
      <c r="N42" s="54" t="s">
        <v>1127</v>
      </c>
      <c r="O42" s="54" t="s">
        <v>1126</v>
      </c>
      <c r="P42" s="54" t="s">
        <v>1125</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453</v>
      </c>
      <c r="B44" s="210" t="s">
        <v>453</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507</v>
      </c>
      <c r="B45" s="210" t="s">
        <v>507</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503</v>
      </c>
      <c r="B46" s="210" t="s">
        <v>503</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442</v>
      </c>
      <c r="B47" s="210" t="s">
        <v>442</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446</v>
      </c>
      <c r="B48" s="210" t="s">
        <v>446</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492</v>
      </c>
      <c r="B49" s="210" t="s">
        <v>492</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443</v>
      </c>
      <c r="B50" s="210" t="s">
        <v>443</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447</v>
      </c>
      <c r="B51" s="210" t="s">
        <v>447</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478</v>
      </c>
      <c r="B52" s="210" t="s">
        <v>478</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444</v>
      </c>
      <c r="B53" s="210" t="s">
        <v>444</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471</v>
      </c>
      <c r="B54" s="210" t="s">
        <v>471</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450</v>
      </c>
      <c r="B55" s="210" t="s">
        <v>450</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455</v>
      </c>
      <c r="B56" s="210" t="s">
        <v>455</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463</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551</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152</v>
      </c>
      <c r="B63" s="54" t="s">
        <v>315</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152</v>
      </c>
      <c r="B64" s="54" t="s">
        <v>321</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152</v>
      </c>
      <c r="B65" s="54" t="s">
        <v>313</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152</v>
      </c>
      <c r="B66" s="54" t="s">
        <v>319</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152</v>
      </c>
      <c r="B67" s="54" t="s">
        <v>311</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152</v>
      </c>
      <c r="B68" s="54" t="s">
        <v>309</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152</v>
      </c>
      <c r="B69" s="54" t="s">
        <v>317</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152</v>
      </c>
      <c r="B70" s="54" t="s">
        <v>307</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152</v>
      </c>
      <c r="B71" s="54" t="s">
        <v>305</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152</v>
      </c>
      <c r="B72" s="54" t="s">
        <v>303</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152</v>
      </c>
      <c r="B73" s="54" t="s">
        <v>301</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152</v>
      </c>
      <c r="B74" s="54" t="s">
        <v>299</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1124</v>
      </c>
      <c r="AK74" s="54">
        <v>0</v>
      </c>
    </row>
    <row r="75" spans="1:37" x14ac:dyDescent="0.2">
      <c r="A75" s="54" t="s">
        <v>152</v>
      </c>
      <c r="B75" s="54" t="s">
        <v>297</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152</v>
      </c>
      <c r="B76" s="54" t="s">
        <v>295</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workbookViewId="0"/>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2203</v>
      </c>
      <c r="N2" t="s">
        <v>2204</v>
      </c>
    </row>
    <row r="35" spans="2:20" x14ac:dyDescent="0.2">
      <c r="E35" s="341" t="s">
        <v>2195</v>
      </c>
      <c r="K35" s="341" t="s">
        <v>2198</v>
      </c>
      <c r="N35" s="341" t="s">
        <v>2200</v>
      </c>
      <c r="Q35" s="341" t="s">
        <v>2201</v>
      </c>
    </row>
    <row r="36" spans="2:20" x14ac:dyDescent="0.2">
      <c r="B36" s="341" t="s">
        <v>2192</v>
      </c>
      <c r="C36" s="341" t="s">
        <v>2193</v>
      </c>
      <c r="D36" s="341" t="s">
        <v>2194</v>
      </c>
      <c r="E36" s="341" t="s">
        <v>2196</v>
      </c>
      <c r="F36" s="341" t="s">
        <v>251</v>
      </c>
      <c r="G36" s="341" t="s">
        <v>823</v>
      </c>
      <c r="H36" s="341" t="s">
        <v>2197</v>
      </c>
      <c r="I36" s="341" t="s">
        <v>2199</v>
      </c>
      <c r="J36" s="341" t="s">
        <v>1128</v>
      </c>
      <c r="K36" s="341" t="s">
        <v>2196</v>
      </c>
      <c r="L36" s="341" t="s">
        <v>251</v>
      </c>
      <c r="M36" s="341" t="s">
        <v>823</v>
      </c>
      <c r="N36" t="str">
        <f>K36</f>
        <v>Solar</v>
      </c>
      <c r="O36" t="str">
        <f t="shared" ref="O36:P36" si="0">L36</f>
        <v>Wind</v>
      </c>
      <c r="P36" t="str">
        <f t="shared" si="0"/>
        <v>Gas</v>
      </c>
      <c r="Q36" t="str">
        <f>N36</f>
        <v>Solar</v>
      </c>
      <c r="R36" t="str">
        <f t="shared" ref="R36:S36" si="1">O36</f>
        <v>Wind</v>
      </c>
      <c r="S36" t="str">
        <f t="shared" si="1"/>
        <v>Gas</v>
      </c>
      <c r="T36" s="341" t="s">
        <v>2202</v>
      </c>
    </row>
    <row r="37" spans="2:20" x14ac:dyDescent="0.2">
      <c r="B37" t="s">
        <v>2184</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2185</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2186</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2187</v>
      </c>
      <c r="C40" s="414">
        <v>1468.87</v>
      </c>
      <c r="D40">
        <v>450</v>
      </c>
      <c r="G40">
        <f>D40</f>
        <v>450</v>
      </c>
      <c r="I40" s="399">
        <v>0.5</v>
      </c>
      <c r="J40" s="376">
        <f t="shared" si="2"/>
        <v>1971</v>
      </c>
      <c r="M40" s="399">
        <v>0.5</v>
      </c>
      <c r="P40" s="399">
        <v>1</v>
      </c>
      <c r="T40" s="399">
        <v>0.1</v>
      </c>
    </row>
    <row r="41" spans="2:20" x14ac:dyDescent="0.2">
      <c r="B41" t="s">
        <v>2188</v>
      </c>
      <c r="C41" s="414">
        <v>1496.03</v>
      </c>
      <c r="D41">
        <v>450</v>
      </c>
      <c r="G41">
        <f>D41</f>
        <v>450</v>
      </c>
      <c r="I41" s="399">
        <v>0.5</v>
      </c>
      <c r="J41" s="376">
        <f t="shared" si="2"/>
        <v>1971</v>
      </c>
      <c r="M41" s="399">
        <v>0.5</v>
      </c>
      <c r="P41" s="399">
        <v>1</v>
      </c>
      <c r="T41" s="399">
        <v>0.1</v>
      </c>
    </row>
    <row r="42" spans="2:20" x14ac:dyDescent="0.2">
      <c r="B42" t="s">
        <v>2189</v>
      </c>
      <c r="C42" s="414">
        <v>1686.48</v>
      </c>
      <c r="D42">
        <v>320</v>
      </c>
      <c r="G42">
        <f>D42</f>
        <v>320</v>
      </c>
      <c r="I42" s="399">
        <v>0.5</v>
      </c>
      <c r="J42" s="376">
        <f t="shared" si="2"/>
        <v>1401.6</v>
      </c>
      <c r="M42" s="399">
        <v>0.5</v>
      </c>
      <c r="P42" s="399">
        <v>1</v>
      </c>
      <c r="T42" s="399">
        <v>0.1</v>
      </c>
    </row>
    <row r="43" spans="2:20" x14ac:dyDescent="0.2">
      <c r="B43" t="s">
        <v>2190</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2191</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2205</v>
      </c>
      <c r="D47" s="403">
        <f>H46*0.7+G46</f>
        <v>1687.6960000000001</v>
      </c>
    </row>
    <row r="48" spans="2:20" x14ac:dyDescent="0.2">
      <c r="D48" s="402">
        <f>2.4*0.7</f>
        <v>1.68</v>
      </c>
    </row>
    <row r="52" spans="2:4" x14ac:dyDescent="0.2">
      <c r="B52" s="341" t="s">
        <v>2232</v>
      </c>
      <c r="D52" s="415">
        <v>8.2000000000000003E-2</v>
      </c>
    </row>
    <row r="53" spans="2:4" x14ac:dyDescent="0.2">
      <c r="B53" t="s">
        <v>2226</v>
      </c>
    </row>
    <row r="54" spans="2:4" x14ac:dyDescent="0.2">
      <c r="B54" s="341" t="s">
        <v>2227</v>
      </c>
      <c r="C54" s="341" t="s">
        <v>2234</v>
      </c>
      <c r="D54" s="424">
        <f>ProcDataGen2012On!M27</f>
        <v>14143.598673031798</v>
      </c>
    </row>
    <row r="55" spans="2:4" x14ac:dyDescent="0.2">
      <c r="B55" s="341" t="s">
        <v>1942</v>
      </c>
      <c r="C55" s="341" t="s">
        <v>2234</v>
      </c>
      <c r="D55" s="376">
        <f>ProcDataGen2012On!L27</f>
        <v>425.19944979367261</v>
      </c>
    </row>
    <row r="56" spans="2:4" x14ac:dyDescent="0.2">
      <c r="B56" s="341" t="s">
        <v>162</v>
      </c>
      <c r="D56">
        <f>ProcDataGen2012On!I27</f>
        <v>0.45</v>
      </c>
    </row>
    <row r="57" spans="2:4" x14ac:dyDescent="0.2">
      <c r="B57" s="341" t="s">
        <v>2228</v>
      </c>
      <c r="C57" s="341" t="s">
        <v>125</v>
      </c>
      <c r="D57">
        <v>120</v>
      </c>
    </row>
    <row r="58" spans="2:4" x14ac:dyDescent="0.2">
      <c r="B58" s="341" t="s">
        <v>2229</v>
      </c>
      <c r="D58" s="399">
        <v>0.5</v>
      </c>
    </row>
    <row r="59" spans="2:4" x14ac:dyDescent="0.2">
      <c r="B59" s="341" t="s">
        <v>161</v>
      </c>
      <c r="D59">
        <v>20</v>
      </c>
    </row>
    <row r="60" spans="2:4" x14ac:dyDescent="0.2">
      <c r="B60" s="341" t="s">
        <v>2230</v>
      </c>
      <c r="C60" s="341" t="s">
        <v>2231</v>
      </c>
      <c r="D60" s="402">
        <f>((-PMT(D52,D59,D54,0,1)+D55)/(D58*8.76)+D57/D56*3.6)/1000</f>
        <v>1.3655842993457556</v>
      </c>
    </row>
    <row r="61" spans="2:4" x14ac:dyDescent="0.2">
      <c r="C61" s="341" t="s">
        <v>2233</v>
      </c>
      <c r="D61" s="402">
        <f>D60*1.25</f>
        <v>1.7069803741821945</v>
      </c>
    </row>
    <row r="68" spans="2:13" x14ac:dyDescent="0.2">
      <c r="B68" s="341" t="s">
        <v>2412</v>
      </c>
      <c r="L68" s="341" t="s">
        <v>2423</v>
      </c>
      <c r="M68" s="341" t="s">
        <v>2424</v>
      </c>
    </row>
    <row r="70" spans="2:13" x14ac:dyDescent="0.2">
      <c r="K70" s="341" t="s">
        <v>2419</v>
      </c>
    </row>
    <row r="71" spans="2:13" x14ac:dyDescent="0.2">
      <c r="L71">
        <v>2023</v>
      </c>
      <c r="M71">
        <v>2024</v>
      </c>
    </row>
    <row r="72" spans="2:13" x14ac:dyDescent="0.2">
      <c r="K72" s="341" t="s">
        <v>2420</v>
      </c>
    </row>
    <row r="73" spans="2:13" x14ac:dyDescent="0.2">
      <c r="K73" s="341" t="s">
        <v>2421</v>
      </c>
      <c r="L73">
        <f>E46/1000</f>
        <v>0.59858333333333347</v>
      </c>
      <c r="M73">
        <f>D86/1000</f>
        <v>0.54</v>
      </c>
    </row>
    <row r="74" spans="2:13" x14ac:dyDescent="0.2">
      <c r="K74" s="341" t="s">
        <v>251</v>
      </c>
      <c r="L74">
        <f>F46/1000</f>
        <v>0.16916666666666666</v>
      </c>
    </row>
    <row r="75" spans="2:13" x14ac:dyDescent="0.2">
      <c r="K75" s="341" t="s">
        <v>2422</v>
      </c>
      <c r="L75">
        <f>H46/1000</f>
        <v>0.52688000000000001</v>
      </c>
      <c r="M75">
        <f>D87/1000</f>
        <v>0.22500000000000001</v>
      </c>
    </row>
    <row r="76" spans="2:13" x14ac:dyDescent="0.2">
      <c r="K76" s="341" t="s">
        <v>1888</v>
      </c>
      <c r="L76">
        <f>G43/1000</f>
        <v>9.8879999999999996E-2</v>
      </c>
    </row>
    <row r="86" spans="2:6" x14ac:dyDescent="0.2">
      <c r="B86" s="500" t="s">
        <v>2413</v>
      </c>
      <c r="D86">
        <v>540</v>
      </c>
      <c r="E86" s="341" t="s">
        <v>2414</v>
      </c>
    </row>
    <row r="87" spans="2:6" x14ac:dyDescent="0.2">
      <c r="D87">
        <v>225</v>
      </c>
      <c r="E87" s="341" t="s">
        <v>124</v>
      </c>
      <c r="F87" s="341" t="s">
        <v>2408</v>
      </c>
    </row>
    <row r="88" spans="2:6" x14ac:dyDescent="0.2">
      <c r="D88">
        <v>1140</v>
      </c>
      <c r="E88" s="341" t="s">
        <v>2415</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workbookViewId="0"/>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2290</v>
      </c>
    </row>
    <row r="4" spans="1:27" x14ac:dyDescent="0.2">
      <c r="C4" s="232" t="s">
        <v>1221</v>
      </c>
      <c r="N4" s="54" t="s">
        <v>2204</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251</v>
      </c>
      <c r="D7" s="54">
        <v>257</v>
      </c>
      <c r="E7" s="54">
        <v>560</v>
      </c>
      <c r="F7" s="54">
        <v>1075</v>
      </c>
      <c r="G7" s="54">
        <v>1460</v>
      </c>
      <c r="H7" s="54">
        <v>2080</v>
      </c>
      <c r="I7" s="54">
        <v>2080</v>
      </c>
      <c r="J7" s="54">
        <v>2080</v>
      </c>
      <c r="K7" s="54">
        <v>2495</v>
      </c>
    </row>
    <row r="8" spans="1:27" x14ac:dyDescent="0.2">
      <c r="C8" s="54" t="s">
        <v>1219</v>
      </c>
      <c r="D8" s="54">
        <v>210</v>
      </c>
      <c r="E8" s="54">
        <v>960</v>
      </c>
      <c r="F8" s="54">
        <v>965</v>
      </c>
      <c r="G8" s="54">
        <v>1474</v>
      </c>
      <c r="H8" s="54">
        <v>1474</v>
      </c>
      <c r="I8" s="54">
        <v>1474</v>
      </c>
      <c r="J8" s="54">
        <v>1474</v>
      </c>
      <c r="K8" s="54">
        <v>2032</v>
      </c>
    </row>
    <row r="9" spans="1:27" x14ac:dyDescent="0.2">
      <c r="C9" s="54" t="s">
        <v>1218</v>
      </c>
      <c r="G9" s="54">
        <v>200</v>
      </c>
      <c r="H9" s="54">
        <v>300</v>
      </c>
      <c r="I9" s="54">
        <v>400</v>
      </c>
      <c r="J9" s="54">
        <v>500</v>
      </c>
      <c r="K9" s="54">
        <v>500</v>
      </c>
    </row>
    <row r="10" spans="1:27" x14ac:dyDescent="0.2">
      <c r="C10" s="232" t="s">
        <v>1220</v>
      </c>
    </row>
    <row r="11" spans="1:27" x14ac:dyDescent="0.2">
      <c r="C11" s="54" t="s">
        <v>251</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1219</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1218</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763</v>
      </c>
    </row>
    <row r="16" spans="1:27" x14ac:dyDescent="0.2">
      <c r="AA16" s="54" t="s">
        <v>1159</v>
      </c>
    </row>
    <row r="17" spans="3:27" x14ac:dyDescent="0.2">
      <c r="AA17" s="54" t="s">
        <v>1158</v>
      </c>
    </row>
    <row r="18" spans="3:27" x14ac:dyDescent="0.2">
      <c r="C18" s="232" t="s">
        <v>1217</v>
      </c>
      <c r="AA18" s="54" t="s">
        <v>1043</v>
      </c>
    </row>
    <row r="19" spans="3:27" x14ac:dyDescent="0.2">
      <c r="C19" s="51" t="s">
        <v>1216</v>
      </c>
    </row>
    <row r="20" spans="3:27" x14ac:dyDescent="0.2">
      <c r="C20" s="54" t="s">
        <v>1215</v>
      </c>
      <c r="D20" s="54" t="s">
        <v>1214</v>
      </c>
      <c r="E20" s="54" t="s">
        <v>1213</v>
      </c>
      <c r="F20" s="54" t="s">
        <v>1212</v>
      </c>
      <c r="G20" s="54" t="s">
        <v>1211</v>
      </c>
      <c r="H20" s="54" t="s">
        <v>1210</v>
      </c>
    </row>
    <row r="21" spans="3:27" x14ac:dyDescent="0.2">
      <c r="C21" s="54" t="s">
        <v>1209</v>
      </c>
      <c r="D21" s="54" t="s">
        <v>763</v>
      </c>
      <c r="E21" s="54">
        <v>40</v>
      </c>
      <c r="F21" s="54" t="s">
        <v>1163</v>
      </c>
      <c r="G21" s="54" t="s">
        <v>1208</v>
      </c>
      <c r="H21" s="54" t="s">
        <v>1161</v>
      </c>
    </row>
    <row r="22" spans="3:27" x14ac:dyDescent="0.2">
      <c r="C22" s="54" t="s">
        <v>1207</v>
      </c>
      <c r="D22" s="54" t="s">
        <v>763</v>
      </c>
      <c r="E22" s="54">
        <v>68</v>
      </c>
      <c r="F22" s="54" t="s">
        <v>1163</v>
      </c>
      <c r="G22" s="54" t="s">
        <v>1206</v>
      </c>
      <c r="H22" s="54" t="s">
        <v>1161</v>
      </c>
    </row>
    <row r="23" spans="3:27" x14ac:dyDescent="0.2">
      <c r="C23" s="54" t="s">
        <v>1205</v>
      </c>
      <c r="D23" s="54" t="s">
        <v>1159</v>
      </c>
      <c r="E23" s="54">
        <v>102</v>
      </c>
      <c r="F23" s="54" t="s">
        <v>1163</v>
      </c>
      <c r="G23" s="54" t="s">
        <v>1195</v>
      </c>
      <c r="H23" s="54" t="s">
        <v>1161</v>
      </c>
    </row>
    <row r="24" spans="3:27" x14ac:dyDescent="0.2">
      <c r="C24" s="54" t="s">
        <v>1204</v>
      </c>
      <c r="D24" s="54" t="s">
        <v>763</v>
      </c>
      <c r="E24" s="54">
        <v>50</v>
      </c>
      <c r="F24" s="54" t="s">
        <v>1163</v>
      </c>
      <c r="G24" s="54" t="s">
        <v>1203</v>
      </c>
      <c r="H24" s="54" t="s">
        <v>1161</v>
      </c>
    </row>
    <row r="25" spans="3:27" x14ac:dyDescent="0.2">
      <c r="C25" s="54" t="s">
        <v>1202</v>
      </c>
      <c r="D25" s="54" t="s">
        <v>763</v>
      </c>
      <c r="E25" s="54">
        <v>75</v>
      </c>
      <c r="F25" s="54" t="s">
        <v>1163</v>
      </c>
      <c r="G25" s="54" t="s">
        <v>1201</v>
      </c>
      <c r="H25" s="54" t="s">
        <v>1161</v>
      </c>
    </row>
    <row r="26" spans="3:27" x14ac:dyDescent="0.2">
      <c r="C26" s="54" t="s">
        <v>1200</v>
      </c>
      <c r="D26" s="54" t="s">
        <v>763</v>
      </c>
      <c r="E26" s="54">
        <v>75</v>
      </c>
      <c r="F26" s="54" t="s">
        <v>1163</v>
      </c>
      <c r="G26" s="54" t="s">
        <v>1172</v>
      </c>
      <c r="H26" s="54" t="s">
        <v>1161</v>
      </c>
    </row>
    <row r="27" spans="3:27" x14ac:dyDescent="0.2">
      <c r="C27" s="54" t="s">
        <v>1199</v>
      </c>
      <c r="D27" s="54" t="s">
        <v>763</v>
      </c>
      <c r="E27" s="54">
        <v>75</v>
      </c>
      <c r="F27" s="54" t="s">
        <v>1163</v>
      </c>
      <c r="G27" s="54" t="s">
        <v>1172</v>
      </c>
      <c r="H27" s="54" t="s">
        <v>1161</v>
      </c>
    </row>
    <row r="28" spans="3:27" x14ac:dyDescent="0.2">
      <c r="C28" s="54" t="s">
        <v>1198</v>
      </c>
      <c r="D28" s="54" t="s">
        <v>1159</v>
      </c>
      <c r="E28" s="54">
        <v>32</v>
      </c>
      <c r="F28" s="54" t="s">
        <v>1163</v>
      </c>
      <c r="G28" s="54" t="s">
        <v>1197</v>
      </c>
      <c r="H28" s="54" t="s">
        <v>1161</v>
      </c>
    </row>
    <row r="29" spans="3:27" x14ac:dyDescent="0.2">
      <c r="C29" s="54" t="s">
        <v>1196</v>
      </c>
      <c r="D29" s="54" t="s">
        <v>1159</v>
      </c>
      <c r="E29" s="54">
        <v>136</v>
      </c>
      <c r="F29" s="54" t="s">
        <v>1163</v>
      </c>
      <c r="G29" s="54" t="s">
        <v>1195</v>
      </c>
      <c r="H29" s="54" t="s">
        <v>1161</v>
      </c>
    </row>
    <row r="30" spans="3:27" x14ac:dyDescent="0.2">
      <c r="C30" s="54" t="s">
        <v>1194</v>
      </c>
      <c r="D30" s="54" t="s">
        <v>1159</v>
      </c>
      <c r="E30" s="54">
        <v>120</v>
      </c>
      <c r="F30" s="54" t="s">
        <v>1163</v>
      </c>
      <c r="G30" s="54" t="s">
        <v>1181</v>
      </c>
      <c r="H30" s="54" t="s">
        <v>1161</v>
      </c>
    </row>
    <row r="31" spans="3:27" x14ac:dyDescent="0.2">
      <c r="C31" s="54" t="s">
        <v>1193</v>
      </c>
      <c r="D31" s="54" t="s">
        <v>763</v>
      </c>
      <c r="E31" s="54">
        <v>55</v>
      </c>
      <c r="F31" s="54" t="s">
        <v>1163</v>
      </c>
      <c r="G31" s="54" t="s">
        <v>1192</v>
      </c>
      <c r="H31" s="54" t="s">
        <v>1161</v>
      </c>
    </row>
    <row r="32" spans="3:27" x14ac:dyDescent="0.2">
      <c r="C32" s="54" t="s">
        <v>1191</v>
      </c>
      <c r="D32" s="54" t="s">
        <v>1159</v>
      </c>
      <c r="E32" s="54">
        <v>137</v>
      </c>
      <c r="F32" s="54" t="s">
        <v>1163</v>
      </c>
      <c r="G32" s="54" t="s">
        <v>1190</v>
      </c>
      <c r="H32" s="54" t="s">
        <v>1176</v>
      </c>
    </row>
    <row r="33" spans="3:42" x14ac:dyDescent="0.2">
      <c r="C33" s="54" t="s">
        <v>1189</v>
      </c>
      <c r="D33" s="54" t="s">
        <v>1159</v>
      </c>
      <c r="E33" s="54">
        <v>140</v>
      </c>
      <c r="F33" s="54" t="s">
        <v>1163</v>
      </c>
      <c r="G33" s="54" t="s">
        <v>1174</v>
      </c>
      <c r="H33" s="54" t="s">
        <v>1161</v>
      </c>
    </row>
    <row r="34" spans="3:42" x14ac:dyDescent="0.2">
      <c r="C34" s="54" t="s">
        <v>1188</v>
      </c>
      <c r="D34" s="54" t="s">
        <v>763</v>
      </c>
      <c r="E34" s="54">
        <v>75</v>
      </c>
      <c r="F34" s="54" t="s">
        <v>1163</v>
      </c>
      <c r="G34" s="54" t="s">
        <v>1187</v>
      </c>
      <c r="H34" s="54" t="s">
        <v>1161</v>
      </c>
    </row>
    <row r="35" spans="3:42" x14ac:dyDescent="0.2">
      <c r="C35" s="54" t="s">
        <v>1186</v>
      </c>
      <c r="D35" s="54" t="s">
        <v>1158</v>
      </c>
      <c r="E35" s="54">
        <v>4.5</v>
      </c>
      <c r="F35" s="54" t="s">
        <v>1163</v>
      </c>
      <c r="G35" s="54" t="s">
        <v>1185</v>
      </c>
      <c r="H35" s="54" t="s">
        <v>1161</v>
      </c>
    </row>
    <row r="36" spans="3:42" x14ac:dyDescent="0.2">
      <c r="C36" s="54" t="s">
        <v>1184</v>
      </c>
      <c r="D36" s="54" t="s">
        <v>1043</v>
      </c>
      <c r="E36" s="54">
        <v>62</v>
      </c>
      <c r="F36" s="54" t="s">
        <v>1163</v>
      </c>
      <c r="G36" s="54" t="s">
        <v>1183</v>
      </c>
      <c r="H36" s="54" t="s">
        <v>1161</v>
      </c>
    </row>
    <row r="37" spans="3:42" x14ac:dyDescent="0.2">
      <c r="C37" s="54" t="s">
        <v>1182</v>
      </c>
      <c r="D37" s="54" t="s">
        <v>1159</v>
      </c>
      <c r="E37" s="54">
        <v>140</v>
      </c>
      <c r="F37" s="54" t="s">
        <v>1163</v>
      </c>
      <c r="G37" s="54" t="s">
        <v>1181</v>
      </c>
      <c r="H37" s="54" t="s">
        <v>1161</v>
      </c>
    </row>
    <row r="38" spans="3:42" x14ac:dyDescent="0.2">
      <c r="C38" s="54" t="s">
        <v>1180</v>
      </c>
      <c r="D38" s="54" t="s">
        <v>1159</v>
      </c>
      <c r="E38" s="54">
        <v>140</v>
      </c>
      <c r="F38" s="54" t="s">
        <v>1163</v>
      </c>
      <c r="G38" s="54" t="s">
        <v>1179</v>
      </c>
      <c r="H38" s="54" t="s">
        <v>1161</v>
      </c>
    </row>
    <row r="39" spans="3:42" x14ac:dyDescent="0.2">
      <c r="C39" s="54" t="s">
        <v>1178</v>
      </c>
      <c r="D39" s="54" t="s">
        <v>1159</v>
      </c>
      <c r="E39" s="54">
        <v>108</v>
      </c>
      <c r="F39" s="54" t="s">
        <v>1163</v>
      </c>
      <c r="G39" s="54" t="s">
        <v>1177</v>
      </c>
      <c r="H39" s="54" t="s">
        <v>1176</v>
      </c>
    </row>
    <row r="40" spans="3:42" x14ac:dyDescent="0.2">
      <c r="C40" s="54" t="s">
        <v>1175</v>
      </c>
      <c r="D40" s="54" t="s">
        <v>1159</v>
      </c>
      <c r="E40" s="54">
        <v>140</v>
      </c>
      <c r="F40" s="54" t="s">
        <v>1163</v>
      </c>
      <c r="G40" s="54" t="s">
        <v>1174</v>
      </c>
      <c r="H40" s="54" t="s">
        <v>1161</v>
      </c>
    </row>
    <row r="41" spans="3:42" x14ac:dyDescent="0.2">
      <c r="C41" s="54" t="s">
        <v>1173</v>
      </c>
      <c r="D41" s="54" t="s">
        <v>763</v>
      </c>
      <c r="E41" s="54">
        <v>75</v>
      </c>
      <c r="F41" s="54" t="s">
        <v>1163</v>
      </c>
      <c r="G41" s="54" t="s">
        <v>1172</v>
      </c>
      <c r="H41" s="54" t="s">
        <v>1161</v>
      </c>
    </row>
    <row r="42" spans="3:42" x14ac:dyDescent="0.2">
      <c r="C42" s="54" t="s">
        <v>1171</v>
      </c>
      <c r="D42" s="54" t="s">
        <v>763</v>
      </c>
      <c r="E42" s="54">
        <v>75</v>
      </c>
      <c r="F42" s="54" t="s">
        <v>1163</v>
      </c>
      <c r="G42" s="54" t="s">
        <v>1170</v>
      </c>
      <c r="H42" s="54" t="s">
        <v>1161</v>
      </c>
    </row>
    <row r="43" spans="3:42" x14ac:dyDescent="0.2">
      <c r="C43" s="54" t="s">
        <v>1169</v>
      </c>
      <c r="D43" s="54" t="s">
        <v>1159</v>
      </c>
      <c r="E43" s="54">
        <v>139</v>
      </c>
      <c r="F43" s="54" t="s">
        <v>1163</v>
      </c>
      <c r="G43" s="54" t="s">
        <v>1168</v>
      </c>
      <c r="H43" s="54" t="s">
        <v>1161</v>
      </c>
    </row>
    <row r="44" spans="3:42" x14ac:dyDescent="0.2">
      <c r="C44" s="54" t="s">
        <v>1167</v>
      </c>
      <c r="D44" s="54" t="s">
        <v>763</v>
      </c>
      <c r="E44" s="54">
        <v>75</v>
      </c>
      <c r="F44" s="54" t="s">
        <v>1163</v>
      </c>
      <c r="G44" s="54" t="s">
        <v>1166</v>
      </c>
      <c r="H44" s="54" t="s">
        <v>1161</v>
      </c>
    </row>
    <row r="45" spans="3:42" x14ac:dyDescent="0.2">
      <c r="C45" s="54" t="s">
        <v>1165</v>
      </c>
      <c r="D45" s="54" t="s">
        <v>1159</v>
      </c>
      <c r="E45" s="54">
        <v>33</v>
      </c>
      <c r="F45" s="54" t="s">
        <v>1163</v>
      </c>
      <c r="G45" s="54" t="s">
        <v>1164</v>
      </c>
      <c r="H45" s="54" t="s">
        <v>1161</v>
      </c>
      <c r="AJ45" s="54" t="s">
        <v>580</v>
      </c>
      <c r="AK45" s="54" t="s">
        <v>1885</v>
      </c>
      <c r="AL45" s="54" t="s">
        <v>1886</v>
      </c>
      <c r="AM45" s="54" t="s">
        <v>1887</v>
      </c>
      <c r="AN45" s="54" t="s">
        <v>1888</v>
      </c>
      <c r="AO45" s="54" t="s">
        <v>1889</v>
      </c>
      <c r="AP45" s="54" t="s">
        <v>1890</v>
      </c>
    </row>
    <row r="46" spans="3:42" x14ac:dyDescent="0.2">
      <c r="C46" s="54" t="s">
        <v>1162</v>
      </c>
      <c r="D46" s="54" t="s">
        <v>763</v>
      </c>
      <c r="E46" s="54">
        <v>75</v>
      </c>
      <c r="F46" s="54" t="s">
        <v>1163</v>
      </c>
      <c r="G46" s="54" t="s">
        <v>1162</v>
      </c>
      <c r="H46" s="54" t="s">
        <v>1161</v>
      </c>
    </row>
    <row r="47" spans="3:42" x14ac:dyDescent="0.2">
      <c r="C47" s="232" t="s">
        <v>1160</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763</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1159</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1158</v>
      </c>
      <c r="AI50" s="54">
        <v>2023</v>
      </c>
      <c r="AJ50" s="54">
        <v>0.75</v>
      </c>
      <c r="AL50" s="54">
        <v>1</v>
      </c>
      <c r="AM50" s="54">
        <v>1.6</v>
      </c>
      <c r="AN50" s="54">
        <v>1</v>
      </c>
      <c r="AO50" s="54">
        <f>SUM(AJ50:AN50)</f>
        <v>4.3499999999999996</v>
      </c>
      <c r="AP50" s="54">
        <f>AP49+AO50</f>
        <v>12.972</v>
      </c>
    </row>
    <row r="51" spans="3:42" x14ac:dyDescent="0.2">
      <c r="C51" s="54" t="s">
        <v>1043</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1157</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1156</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1155</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1154</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1153</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1152</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1072</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1151</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1841</v>
      </c>
      <c r="D101" s="54" t="s">
        <v>1842</v>
      </c>
    </row>
    <row r="103" spans="3:8" ht="47.25" x14ac:dyDescent="0.2">
      <c r="C103" s="348" t="s">
        <v>1837</v>
      </c>
    </row>
    <row r="104" spans="3:8" ht="31.5" x14ac:dyDescent="0.2">
      <c r="C104" s="348" t="s">
        <v>1838</v>
      </c>
    </row>
    <row r="105" spans="3:8" ht="31.5" x14ac:dyDescent="0.2">
      <c r="C105" s="348" t="s">
        <v>1839</v>
      </c>
    </row>
    <row r="106" spans="3:8" ht="31.5" x14ac:dyDescent="0.2">
      <c r="C106" s="348" t="s">
        <v>1840</v>
      </c>
    </row>
    <row r="109" spans="3:8" ht="18" x14ac:dyDescent="0.25">
      <c r="C109" s="435" t="s">
        <v>2267</v>
      </c>
    </row>
    <row r="111" spans="3:8" x14ac:dyDescent="0.2">
      <c r="C111" s="447" t="s">
        <v>1116</v>
      </c>
      <c r="D111" s="447" t="s">
        <v>2268</v>
      </c>
      <c r="E111" s="447" t="s">
        <v>2269</v>
      </c>
      <c r="F111" s="447"/>
      <c r="G111" s="447"/>
      <c r="H111" s="447"/>
    </row>
    <row r="114" spans="3:16" x14ac:dyDescent="0.2">
      <c r="C114" s="436" t="s">
        <v>2281</v>
      </c>
    </row>
    <row r="115" spans="3:16" x14ac:dyDescent="0.2">
      <c r="C115" s="448" t="s">
        <v>2284</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2282</v>
      </c>
    </row>
    <row r="118" spans="3:16" x14ac:dyDescent="0.2">
      <c r="C118" s="440"/>
      <c r="D118" s="436" t="s">
        <v>2279</v>
      </c>
      <c r="E118" s="436" t="s">
        <v>2279</v>
      </c>
      <c r="F118" s="436" t="s">
        <v>2279</v>
      </c>
      <c r="G118" s="436" t="s">
        <v>2279</v>
      </c>
      <c r="H118" s="436" t="s">
        <v>2279</v>
      </c>
      <c r="I118" s="436" t="s">
        <v>2279</v>
      </c>
      <c r="J118" s="436" t="s">
        <v>2279</v>
      </c>
      <c r="K118" s="436" t="s">
        <v>2279</v>
      </c>
      <c r="L118" s="436" t="s">
        <v>2279</v>
      </c>
      <c r="M118" s="441" t="s">
        <v>2279</v>
      </c>
    </row>
    <row r="119" spans="3:16" x14ac:dyDescent="0.2">
      <c r="C119" s="440" t="s">
        <v>2270</v>
      </c>
      <c r="D119" s="436" t="s">
        <v>2280</v>
      </c>
      <c r="E119" s="436" t="s">
        <v>2280</v>
      </c>
      <c r="F119" s="436" t="s">
        <v>2280</v>
      </c>
      <c r="G119" s="436" t="s">
        <v>2280</v>
      </c>
      <c r="H119" s="436" t="s">
        <v>2280</v>
      </c>
      <c r="I119" s="436" t="s">
        <v>2280</v>
      </c>
      <c r="J119" s="436" t="s">
        <v>2280</v>
      </c>
      <c r="K119" s="436" t="s">
        <v>2280</v>
      </c>
      <c r="L119" s="436" t="s">
        <v>2280</v>
      </c>
      <c r="M119" s="441" t="s">
        <v>2280</v>
      </c>
    </row>
    <row r="120" spans="3:16" ht="25.5" x14ac:dyDescent="0.2">
      <c r="C120" s="442" t="s">
        <v>2271</v>
      </c>
      <c r="D120" s="436"/>
      <c r="E120" s="436"/>
      <c r="F120" s="436"/>
      <c r="G120" s="436">
        <v>18</v>
      </c>
      <c r="H120" s="436"/>
      <c r="I120" s="436"/>
      <c r="J120" s="436"/>
      <c r="K120" s="436"/>
      <c r="L120" s="436"/>
      <c r="M120" s="441"/>
      <c r="N120" s="436"/>
      <c r="O120" s="436"/>
      <c r="P120" s="436"/>
    </row>
    <row r="121" spans="3:16" ht="51" x14ac:dyDescent="0.2">
      <c r="C121" s="449" t="s">
        <v>2272</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2273</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2274</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2275</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2288</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2276</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2277</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2285</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2286</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2287</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2278</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2283</v>
      </c>
      <c r="P134" s="54" t="s">
        <v>2307</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256</v>
      </c>
      <c r="C136" s="54" t="s">
        <v>255</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254</v>
      </c>
      <c r="C137" s="54" t="s">
        <v>253</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252</v>
      </c>
      <c r="C138" s="54" t="s">
        <v>251</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2289</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2299</v>
      </c>
      <c r="G144"/>
    </row>
    <row r="145" spans="3:16" ht="15.75" x14ac:dyDescent="0.25">
      <c r="C145" s="462" t="s">
        <v>2293</v>
      </c>
      <c r="D145" s="462" t="s">
        <v>2294</v>
      </c>
      <c r="E145" s="462"/>
      <c r="F145" s="462"/>
      <c r="G145"/>
    </row>
    <row r="146" spans="3:16" ht="15.75" x14ac:dyDescent="0.25">
      <c r="C146" s="463" t="s">
        <v>2295</v>
      </c>
      <c r="D146" s="463" t="s">
        <v>2296</v>
      </c>
      <c r="E146" s="463" t="s">
        <v>2297</v>
      </c>
      <c r="F146" s="463" t="s">
        <v>2298</v>
      </c>
    </row>
    <row r="147" spans="3:16" x14ac:dyDescent="0.2">
      <c r="C147" s="461" t="s">
        <v>2291</v>
      </c>
      <c r="D147">
        <v>100</v>
      </c>
      <c r="E147"/>
      <c r="F147">
        <v>100</v>
      </c>
    </row>
    <row r="148" spans="3:16" x14ac:dyDescent="0.2">
      <c r="C148" s="461" t="s">
        <v>1159</v>
      </c>
      <c r="D148"/>
      <c r="E148">
        <v>279.20000000000005</v>
      </c>
      <c r="F148">
        <v>279.20000000000005</v>
      </c>
    </row>
    <row r="149" spans="3:16" x14ac:dyDescent="0.2">
      <c r="C149" s="461" t="s">
        <v>2292</v>
      </c>
      <c r="D149"/>
      <c r="E149">
        <v>75</v>
      </c>
      <c r="F149">
        <v>75</v>
      </c>
    </row>
    <row r="150" spans="3:16" ht="15.75" x14ac:dyDescent="0.25">
      <c r="C150" s="464" t="s">
        <v>2298</v>
      </c>
      <c r="D150" s="465">
        <v>100</v>
      </c>
      <c r="E150" s="465">
        <v>354.20000000000005</v>
      </c>
      <c r="F150" s="465">
        <v>454.20000000000005</v>
      </c>
    </row>
    <row r="151" spans="3:16" x14ac:dyDescent="0.2">
      <c r="C151" s="54" t="s">
        <v>2306</v>
      </c>
    </row>
    <row r="152" spans="3:16" ht="15.75" x14ac:dyDescent="0.25">
      <c r="C152" s="462" t="s">
        <v>2293</v>
      </c>
      <c r="D152" s="462" t="s">
        <v>2294</v>
      </c>
      <c r="E152" s="462"/>
      <c r="F152" s="462"/>
      <c r="G152" s="462"/>
      <c r="H152" s="462"/>
      <c r="I152" s="462"/>
      <c r="L152" s="54" t="s">
        <v>2308</v>
      </c>
      <c r="M152" s="54" t="s">
        <v>2309</v>
      </c>
      <c r="N152" s="54" t="s">
        <v>1556</v>
      </c>
      <c r="O152" s="54" t="s">
        <v>2311</v>
      </c>
      <c r="P152" s="54" t="s">
        <v>2310</v>
      </c>
    </row>
    <row r="153" spans="3:16" ht="15.75" x14ac:dyDescent="0.25">
      <c r="C153" s="463" t="s">
        <v>2295</v>
      </c>
      <c r="D153" s="463" t="s">
        <v>2300</v>
      </c>
      <c r="E153" s="463" t="s">
        <v>2301</v>
      </c>
      <c r="F153" s="463" t="s">
        <v>2302</v>
      </c>
      <c r="G153" s="463" t="s">
        <v>2296</v>
      </c>
      <c r="H153" s="463" t="s">
        <v>2297</v>
      </c>
      <c r="I153" s="463" t="s">
        <v>2298</v>
      </c>
      <c r="K153" s="54" t="s">
        <v>255</v>
      </c>
      <c r="L153" s="107">
        <f>(I156+I159)/1000</f>
        <v>0.96335000000000004</v>
      </c>
      <c r="M153" s="107">
        <v>0</v>
      </c>
      <c r="N153" s="107">
        <f>L153+M153</f>
        <v>0.96335000000000004</v>
      </c>
      <c r="O153" s="467">
        <f>P136</f>
        <v>0.96399999999999997</v>
      </c>
    </row>
    <row r="154" spans="3:16" x14ac:dyDescent="0.2">
      <c r="C154" s="461" t="s">
        <v>2291</v>
      </c>
      <c r="D154">
        <v>150</v>
      </c>
      <c r="E154">
        <v>50</v>
      </c>
      <c r="F154">
        <v>200</v>
      </c>
      <c r="G154">
        <v>100</v>
      </c>
      <c r="H154"/>
      <c r="I154">
        <v>500</v>
      </c>
      <c r="K154" s="54" t="s">
        <v>253</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1159</v>
      </c>
      <c r="D155">
        <v>639.34</v>
      </c>
      <c r="E155">
        <v>555.13</v>
      </c>
      <c r="F155">
        <v>785.31000000000006</v>
      </c>
      <c r="G155"/>
      <c r="H155">
        <v>1083.6100000000001</v>
      </c>
      <c r="I155">
        <v>3063.3900000000003</v>
      </c>
      <c r="K155" s="54" t="s">
        <v>251</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2303</v>
      </c>
      <c r="D156">
        <v>351.75</v>
      </c>
      <c r="E156">
        <v>92.7</v>
      </c>
      <c r="F156">
        <v>225</v>
      </c>
      <c r="G156"/>
      <c r="H156"/>
      <c r="I156">
        <v>669.45</v>
      </c>
      <c r="K156" s="54" t="s">
        <v>2289</v>
      </c>
      <c r="L156" s="107">
        <f>I154/1000</f>
        <v>0.5</v>
      </c>
      <c r="M156" s="107">
        <f>F147/1000</f>
        <v>0.1</v>
      </c>
      <c r="N156" s="107">
        <f t="shared" si="25"/>
        <v>0.6</v>
      </c>
      <c r="O156" s="107">
        <f>P139</f>
        <v>0.5</v>
      </c>
      <c r="P156" s="107">
        <f>O156-N156</f>
        <v>-9.9999999999999978E-2</v>
      </c>
    </row>
    <row r="157" spans="3:16" x14ac:dyDescent="0.2">
      <c r="C157" s="461" t="s">
        <v>2304</v>
      </c>
      <c r="D157">
        <v>36</v>
      </c>
      <c r="E157"/>
      <c r="F157"/>
      <c r="G157"/>
      <c r="H157"/>
      <c r="I157">
        <v>36</v>
      </c>
    </row>
    <row r="158" spans="3:16" x14ac:dyDescent="0.2">
      <c r="C158" s="461" t="s">
        <v>2292</v>
      </c>
      <c r="D158">
        <v>162.42000000000002</v>
      </c>
      <c r="E158">
        <v>237.39999999999998</v>
      </c>
      <c r="F158">
        <v>75</v>
      </c>
      <c r="G158"/>
      <c r="H158">
        <v>737.9</v>
      </c>
      <c r="I158">
        <v>1212.72</v>
      </c>
    </row>
    <row r="159" spans="3:16" x14ac:dyDescent="0.2">
      <c r="C159" s="461" t="s">
        <v>2305</v>
      </c>
      <c r="D159">
        <v>75</v>
      </c>
      <c r="E159">
        <v>83.9</v>
      </c>
      <c r="F159">
        <v>135</v>
      </c>
      <c r="G159"/>
      <c r="H159"/>
      <c r="I159">
        <v>293.89999999999998</v>
      </c>
    </row>
    <row r="160" spans="3:16" ht="15.75" x14ac:dyDescent="0.25">
      <c r="C160" s="464" t="s">
        <v>2298</v>
      </c>
      <c r="D160" s="465">
        <v>1414.5100000000002</v>
      </c>
      <c r="E160" s="465">
        <v>1019.13</v>
      </c>
      <c r="F160" s="465">
        <v>1420.31</v>
      </c>
      <c r="G160" s="465">
        <v>100</v>
      </c>
      <c r="H160" s="465">
        <v>1821.5100000000002</v>
      </c>
      <c r="I160" s="465">
        <v>5775.46</v>
      </c>
    </row>
    <row r="161" spans="3:15" x14ac:dyDescent="0.2">
      <c r="I161" s="54" t="s">
        <v>2313</v>
      </c>
      <c r="J161" s="54" t="s">
        <v>2314</v>
      </c>
      <c r="K161" s="54" t="s">
        <v>2315</v>
      </c>
      <c r="M161" s="466"/>
      <c r="O161" s="76"/>
    </row>
    <row r="162" spans="3:15" x14ac:dyDescent="0.2">
      <c r="C162" s="54" t="s">
        <v>2312</v>
      </c>
      <c r="D162" s="54">
        <v>2019</v>
      </c>
      <c r="E162" s="54">
        <v>2020</v>
      </c>
      <c r="F162" s="54">
        <v>2021</v>
      </c>
      <c r="G162" s="54">
        <v>2022</v>
      </c>
    </row>
    <row r="163" spans="3:15" x14ac:dyDescent="0.2">
      <c r="C163" s="54" t="s">
        <v>1510</v>
      </c>
      <c r="D163" s="54">
        <v>0</v>
      </c>
      <c r="E163" s="54">
        <v>114</v>
      </c>
      <c r="F163" s="54">
        <v>300</v>
      </c>
      <c r="G163" s="54">
        <v>400</v>
      </c>
      <c r="I163" s="344">
        <f>N153+N154</f>
        <v>2.2870699999999999</v>
      </c>
      <c r="J163" s="344">
        <f>M130/1000</f>
        <v>2.2160000000000002</v>
      </c>
      <c r="K163" s="344">
        <f>I163-J163</f>
        <v>7.1069999999999744E-2</v>
      </c>
    </row>
    <row r="164" spans="3:15" x14ac:dyDescent="0.2">
      <c r="C164" s="54" t="s">
        <v>251</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1928</v>
      </c>
      <c r="T1" s="234"/>
      <c r="U1" s="234"/>
      <c r="V1" s="234"/>
      <c r="W1" s="234"/>
      <c r="X1" s="234"/>
      <c r="Y1" s="234"/>
      <c r="Z1" s="234"/>
      <c r="AA1" s="234"/>
      <c r="AB1" s="234"/>
      <c r="AC1" s="234"/>
      <c r="AD1" s="234"/>
      <c r="AE1" s="234"/>
      <c r="AF1" s="234"/>
    </row>
    <row r="2" spans="1:37" x14ac:dyDescent="0.25">
      <c r="A2" s="233" t="s">
        <v>1258</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1257</v>
      </c>
    </row>
    <row r="4" spans="1:37" ht="78" customHeight="1" x14ac:dyDescent="0.25">
      <c r="A4" s="258"/>
      <c r="B4" s="255" t="s">
        <v>1256</v>
      </c>
      <c r="C4" s="255" t="s">
        <v>1255</v>
      </c>
      <c r="D4" s="255" t="s">
        <v>1254</v>
      </c>
      <c r="E4" s="255" t="s">
        <v>756</v>
      </c>
      <c r="F4" s="255" t="s">
        <v>1253</v>
      </c>
      <c r="G4" s="366" t="s">
        <v>1956</v>
      </c>
      <c r="H4" s="255" t="s">
        <v>1252</v>
      </c>
      <c r="I4" s="255" t="s">
        <v>1251</v>
      </c>
      <c r="J4" s="255" t="s">
        <v>1250</v>
      </c>
      <c r="K4" s="255" t="s">
        <v>1249</v>
      </c>
      <c r="L4" s="366" t="s">
        <v>1953</v>
      </c>
      <c r="M4" s="255" t="s">
        <v>1248</v>
      </c>
      <c r="N4" s="255" t="s">
        <v>1247</v>
      </c>
      <c r="O4" s="255" t="s">
        <v>1246</v>
      </c>
      <c r="P4" s="255" t="s">
        <v>1245</v>
      </c>
      <c r="Q4" s="255" t="s">
        <v>1244</v>
      </c>
      <c r="S4" s="257"/>
      <c r="T4" s="255" t="s">
        <v>251</v>
      </c>
      <c r="U4" s="255" t="s">
        <v>1243</v>
      </c>
      <c r="V4" s="255" t="s">
        <v>1242</v>
      </c>
      <c r="W4" s="255" t="s">
        <v>1241</v>
      </c>
      <c r="X4" s="255" t="s">
        <v>1240</v>
      </c>
      <c r="Y4" s="255" t="s">
        <v>1239</v>
      </c>
      <c r="Z4" s="255" t="s">
        <v>1238</v>
      </c>
      <c r="AA4" s="255" t="s">
        <v>1237</v>
      </c>
      <c r="AB4" s="255" t="s">
        <v>1236</v>
      </c>
      <c r="AC4" s="255" t="s">
        <v>1235</v>
      </c>
      <c r="AD4" s="255" t="s">
        <v>1234</v>
      </c>
      <c r="AE4" s="255" t="s">
        <v>1233</v>
      </c>
      <c r="AF4" s="255" t="s">
        <v>1232</v>
      </c>
      <c r="AG4" s="255" t="s">
        <v>130</v>
      </c>
      <c r="AH4" s="255" t="s">
        <v>1231</v>
      </c>
      <c r="AI4" s="255" t="s">
        <v>1230</v>
      </c>
      <c r="AJ4" s="256"/>
      <c r="AK4" s="255" t="s">
        <v>792</v>
      </c>
    </row>
    <row r="5" spans="1:37" x14ac:dyDescent="0.25">
      <c r="A5" s="254" t="s">
        <v>1229</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1228</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1227</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1226</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1225</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1954</v>
      </c>
      <c r="B10" s="237">
        <v>9812</v>
      </c>
      <c r="F10" s="233">
        <v>7395</v>
      </c>
      <c r="G10" s="233">
        <v>8900</v>
      </c>
      <c r="L10" s="233">
        <v>14106</v>
      </c>
      <c r="AC10" s="365">
        <f>AC7/AC6</f>
        <v>1.9359933438507174E-2</v>
      </c>
    </row>
    <row r="11" spans="1:37" x14ac:dyDescent="0.25">
      <c r="A11" s="238" t="s">
        <v>1224</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1223</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1222</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162</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1960</v>
      </c>
      <c r="AC20" s="237">
        <v>1000</v>
      </c>
    </row>
    <row r="21" spans="1:37" x14ac:dyDescent="0.25">
      <c r="A21" s="369" t="s">
        <v>1961</v>
      </c>
      <c r="B21" s="233">
        <v>947</v>
      </c>
      <c r="L21" s="233">
        <v>136.19999999999999</v>
      </c>
      <c r="AA21" s="364" t="s">
        <v>1937</v>
      </c>
      <c r="AB21" s="364" t="s">
        <v>1224</v>
      </c>
      <c r="AC21" s="237">
        <f>AC6*0.82</f>
        <v>48242.934458767348</v>
      </c>
    </row>
    <row r="22" spans="1:37" x14ac:dyDescent="0.25">
      <c r="A22" s="370" t="s">
        <v>1962</v>
      </c>
      <c r="B22" s="233">
        <f>B21*B$18/3.6</f>
        <v>96.51447207501019</v>
      </c>
      <c r="L22" s="233">
        <f>L21*L$18/3.6</f>
        <v>9.6554657592513831</v>
      </c>
      <c r="M22" s="233">
        <f>L22/B22</f>
        <v>0.10004163677906502</v>
      </c>
    </row>
    <row r="23" spans="1:37" x14ac:dyDescent="0.25">
      <c r="A23" s="370" t="s">
        <v>1963</v>
      </c>
      <c r="B23" s="233">
        <v>0.46</v>
      </c>
      <c r="L23" s="233">
        <v>0.66</v>
      </c>
      <c r="AA23" s="364" t="s">
        <v>1932</v>
      </c>
    </row>
    <row r="24" spans="1:37" x14ac:dyDescent="0.25">
      <c r="B24" s="233">
        <f>B23*B$18/3.6</f>
        <v>4.6881369751324904E-2</v>
      </c>
      <c r="L24" s="233">
        <f>L23*L$18/3.6</f>
        <v>4.6788600595491288E-2</v>
      </c>
      <c r="M24" s="233">
        <f>L24/B24</f>
        <v>0.99802119357165342</v>
      </c>
      <c r="AA24" s="364" t="s">
        <v>755</v>
      </c>
      <c r="AB24" s="364" t="s">
        <v>124</v>
      </c>
      <c r="AC24" s="233">
        <v>100</v>
      </c>
    </row>
    <row r="25" spans="1:37" x14ac:dyDescent="0.25">
      <c r="A25" s="370" t="s">
        <v>1964</v>
      </c>
      <c r="B25" s="233">
        <v>1.94</v>
      </c>
      <c r="L25" s="233">
        <v>0.42</v>
      </c>
      <c r="AA25" s="364" t="s">
        <v>1933</v>
      </c>
      <c r="AB25" s="364" t="s">
        <v>1935</v>
      </c>
      <c r="AC25" s="233">
        <v>789</v>
      </c>
      <c r="AD25" s="233" t="s">
        <v>1938</v>
      </c>
    </row>
    <row r="26" spans="1:37" x14ac:dyDescent="0.25">
      <c r="B26" s="233">
        <f>B25*B$18/3.6</f>
        <v>0.19771708112515285</v>
      </c>
      <c r="L26" s="233">
        <f>L25*L$18/3.6</f>
        <v>2.9774564015312633E-2</v>
      </c>
      <c r="M26" s="233">
        <f>L26/B26</f>
        <v>0.15059176397847815</v>
      </c>
      <c r="AA26" s="364" t="s">
        <v>1940</v>
      </c>
      <c r="AB26" s="364" t="s">
        <v>1939</v>
      </c>
      <c r="AC26" s="233">
        <v>11.914999999999999</v>
      </c>
      <c r="AD26" s="364" t="s">
        <v>1941</v>
      </c>
    </row>
    <row r="27" spans="1:37" x14ac:dyDescent="0.25">
      <c r="A27" s="370" t="s">
        <v>1965</v>
      </c>
      <c r="B27" s="233">
        <v>0.13</v>
      </c>
      <c r="L27" s="233">
        <v>0.18</v>
      </c>
      <c r="AA27" s="364" t="s">
        <v>1933</v>
      </c>
      <c r="AB27" s="364" t="s">
        <v>1936</v>
      </c>
      <c r="AC27" s="233">
        <f>AC25*AC26</f>
        <v>9400.9349999999995</v>
      </c>
    </row>
    <row r="28" spans="1:37" x14ac:dyDescent="0.25">
      <c r="B28" s="233">
        <f>B27*B$18/3.6</f>
        <v>1.3249082755809213E-2</v>
      </c>
      <c r="L28" s="233">
        <f>L27*L$18/3.6</f>
        <v>1.2760527435133985E-2</v>
      </c>
      <c r="M28" s="233">
        <f>L28/B28</f>
        <v>0.9631253476425744</v>
      </c>
      <c r="AA28" s="364" t="s">
        <v>1934</v>
      </c>
      <c r="AB28" s="364" t="s">
        <v>1224</v>
      </c>
      <c r="AC28" s="237">
        <f>AC27/AC24*1000</f>
        <v>94009.349999999991</v>
      </c>
    </row>
    <row r="29" spans="1:37" x14ac:dyDescent="0.25">
      <c r="AA29" s="364" t="s">
        <v>1942</v>
      </c>
      <c r="AB29" s="364" t="s">
        <v>1943</v>
      </c>
      <c r="AC29" s="233">
        <f>AC28*0.02</f>
        <v>1880.1869999999999</v>
      </c>
    </row>
    <row r="30" spans="1:37" x14ac:dyDescent="0.25">
      <c r="AA30" s="364" t="s">
        <v>1944</v>
      </c>
      <c r="AC30" s="236">
        <v>0.75</v>
      </c>
    </row>
    <row r="31" spans="1:37" x14ac:dyDescent="0.25">
      <c r="AA31" s="364" t="s">
        <v>1948</v>
      </c>
      <c r="AC31" s="236">
        <v>0.04</v>
      </c>
    </row>
    <row r="32" spans="1:37" x14ac:dyDescent="0.25">
      <c r="AA32" s="364" t="s">
        <v>161</v>
      </c>
      <c r="AC32" s="233">
        <v>24</v>
      </c>
    </row>
    <row r="33" spans="27:29" x14ac:dyDescent="0.25">
      <c r="AA33" s="364" t="s">
        <v>1945</v>
      </c>
      <c r="AB33" s="364" t="s">
        <v>1946</v>
      </c>
      <c r="AC33" s="234">
        <f>(-PMT(AC31,AC32,1,0,1)*AC28+AC29)/(AC30*8760)</f>
        <v>1.1885566477609057</v>
      </c>
    </row>
    <row r="34" spans="27:29" x14ac:dyDescent="0.25">
      <c r="AA34" s="364" t="s">
        <v>1945</v>
      </c>
      <c r="AB34" s="364" t="s">
        <v>1949</v>
      </c>
      <c r="AC34" s="234">
        <f>AC33*1.22</f>
        <v>1.450039110268305</v>
      </c>
    </row>
    <row r="35" spans="27:29" x14ac:dyDescent="0.25">
      <c r="AA35" s="364" t="s">
        <v>1947</v>
      </c>
      <c r="AB35" s="364" t="s">
        <v>1949</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2251</v>
      </c>
    </row>
    <row r="3" spans="3:11" x14ac:dyDescent="0.25">
      <c r="E3" s="428" t="s">
        <v>1000</v>
      </c>
      <c r="F3" s="428" t="s">
        <v>559</v>
      </c>
      <c r="G3" s="428" t="s">
        <v>557</v>
      </c>
      <c r="H3" s="428" t="s">
        <v>955</v>
      </c>
      <c r="I3" s="428" t="s">
        <v>2252</v>
      </c>
      <c r="J3" s="428" t="s">
        <v>2253</v>
      </c>
    </row>
    <row r="4" spans="3:11" x14ac:dyDescent="0.25">
      <c r="C4" s="428" t="s">
        <v>755</v>
      </c>
      <c r="D4" s="428" t="s">
        <v>124</v>
      </c>
      <c r="E4" s="428">
        <v>180</v>
      </c>
      <c r="F4" s="428">
        <v>1000</v>
      </c>
      <c r="G4" s="428">
        <v>400</v>
      </c>
      <c r="H4" s="428">
        <v>1332</v>
      </c>
      <c r="I4" s="428">
        <v>1500</v>
      </c>
      <c r="J4" s="428">
        <v>1200</v>
      </c>
    </row>
    <row r="5" spans="3:11" x14ac:dyDescent="0.25">
      <c r="C5" s="428" t="s">
        <v>2254</v>
      </c>
      <c r="D5" s="428" t="s">
        <v>2255</v>
      </c>
      <c r="E5" s="428">
        <v>75</v>
      </c>
      <c r="F5" s="429">
        <f>78*4</f>
        <v>312</v>
      </c>
      <c r="G5" s="429">
        <f>G6/G11</f>
        <v>133.54700854700855</v>
      </c>
      <c r="H5" s="428">
        <f>85*4</f>
        <v>340</v>
      </c>
    </row>
    <row r="6" spans="3:11" x14ac:dyDescent="0.25">
      <c r="C6" s="428" t="s">
        <v>2256</v>
      </c>
      <c r="D6" s="428" t="s">
        <v>2255</v>
      </c>
      <c r="E6" s="428">
        <v>60</v>
      </c>
      <c r="F6" s="428">
        <f>55*4</f>
        <v>220</v>
      </c>
      <c r="G6" s="429">
        <f>G8/G7/3600*1000000</f>
        <v>104.16666666666667</v>
      </c>
      <c r="H6" s="428">
        <f>67*4</f>
        <v>268</v>
      </c>
    </row>
    <row r="7" spans="3:11" x14ac:dyDescent="0.25">
      <c r="C7" s="428" t="s">
        <v>2257</v>
      </c>
      <c r="D7" s="428" t="s">
        <v>2258</v>
      </c>
      <c r="E7" s="428">
        <v>12</v>
      </c>
      <c r="F7" s="428">
        <v>34.5</v>
      </c>
      <c r="G7" s="428">
        <v>40</v>
      </c>
      <c r="H7" s="428">
        <f>H8*1000000/H6/3600</f>
        <v>20.729684908789388</v>
      </c>
      <c r="K7" s="430">
        <f>E7/$E$14*$K$14</f>
        <v>13.333333333333332</v>
      </c>
    </row>
    <row r="8" spans="3:11" x14ac:dyDescent="0.25">
      <c r="C8" s="428" t="s">
        <v>2259</v>
      </c>
      <c r="D8" s="428" t="s">
        <v>2260</v>
      </c>
      <c r="E8" s="428">
        <f>E7*E6*3600/1000000</f>
        <v>2.5920000000000001</v>
      </c>
      <c r="F8" s="428">
        <f>F7*F6*3600/1000000</f>
        <v>27.324000000000002</v>
      </c>
      <c r="G8" s="428">
        <v>15</v>
      </c>
      <c r="H8" s="428">
        <v>20</v>
      </c>
    </row>
    <row r="9" spans="3:11" x14ac:dyDescent="0.25">
      <c r="C9" s="428" t="s">
        <v>2261</v>
      </c>
      <c r="D9" s="428" t="s">
        <v>2258</v>
      </c>
      <c r="E9" s="428">
        <f>E7*E6/E5</f>
        <v>9.6</v>
      </c>
      <c r="F9" s="428">
        <f>F7*F6/F5</f>
        <v>24.326923076923077</v>
      </c>
      <c r="G9" s="428">
        <f>G7*G6/G5</f>
        <v>31.200000000000003</v>
      </c>
      <c r="H9" s="430">
        <f>H7*H6/H5</f>
        <v>16.33986928104575</v>
      </c>
      <c r="K9" s="430">
        <f>E9/$E$14*$K$14</f>
        <v>10.666666666666666</v>
      </c>
    </row>
    <row r="10" spans="3:11" x14ac:dyDescent="0.25">
      <c r="C10" s="428" t="s">
        <v>2262</v>
      </c>
      <c r="D10" s="428" t="s">
        <v>127</v>
      </c>
      <c r="E10" s="428">
        <f>E8*1000000/3600/E5*E4</f>
        <v>1728</v>
      </c>
      <c r="F10" s="428">
        <f>F8*1000000/3600/F5*F4</f>
        <v>24326.923076923078</v>
      </c>
      <c r="G10" s="428">
        <f>G8*1000000/3600/G5*G4</f>
        <v>12480.000000000002</v>
      </c>
      <c r="H10" s="431">
        <f>H8*1000000/3600/H5*H4</f>
        <v>21764.705882352941</v>
      </c>
    </row>
    <row r="11" spans="3:11" x14ac:dyDescent="0.25">
      <c r="C11" s="428" t="s">
        <v>2263</v>
      </c>
      <c r="E11" s="432">
        <f>E6/E5</f>
        <v>0.8</v>
      </c>
      <c r="F11" s="433">
        <v>0.73</v>
      </c>
      <c r="G11" s="433">
        <v>0.78</v>
      </c>
      <c r="H11" s="432">
        <f>H6/H5</f>
        <v>0.78823529411764703</v>
      </c>
    </row>
    <row r="12" spans="3:11" x14ac:dyDescent="0.25">
      <c r="C12" s="428" t="s">
        <v>2264</v>
      </c>
      <c r="D12" s="428" t="s">
        <v>2247</v>
      </c>
      <c r="H12" s="428">
        <v>25</v>
      </c>
      <c r="I12" s="428">
        <f>H12*(1-25%)</f>
        <v>18.75</v>
      </c>
    </row>
    <row r="13" spans="3:11" x14ac:dyDescent="0.25">
      <c r="C13" s="428" t="s">
        <v>2265</v>
      </c>
    </row>
    <row r="14" spans="3:11" x14ac:dyDescent="0.25">
      <c r="E14" s="428">
        <f>E9+E7</f>
        <v>21.6</v>
      </c>
      <c r="K14" s="428">
        <v>24</v>
      </c>
    </row>
    <row r="31" spans="21:21" x14ac:dyDescent="0.25">
      <c r="U31" s="428" t="s">
        <v>2266</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1510</v>
      </c>
      <c r="C40" t="s">
        <v>1966</v>
      </c>
      <c r="D40">
        <v>12000</v>
      </c>
      <c r="E40">
        <v>10000</v>
      </c>
      <c r="F40">
        <v>9000</v>
      </c>
      <c r="G40">
        <v>6000</v>
      </c>
      <c r="H40">
        <v>4100</v>
      </c>
      <c r="I40">
        <f>H40/ProcDataRECostProfiles!Q10</f>
        <v>4370.7547169811314</v>
      </c>
    </row>
    <row r="41" spans="2:9" x14ac:dyDescent="0.2">
      <c r="B41" t="s">
        <v>251</v>
      </c>
      <c r="C41" t="s">
        <v>1966</v>
      </c>
      <c r="D41">
        <v>25000</v>
      </c>
      <c r="E41">
        <v>22000</v>
      </c>
      <c r="F41">
        <v>20000</v>
      </c>
      <c r="G41">
        <v>18000</v>
      </c>
      <c r="H41">
        <v>17000</v>
      </c>
    </row>
    <row r="42" spans="2:9" x14ac:dyDescent="0.2">
      <c r="B42" t="s">
        <v>1967</v>
      </c>
      <c r="C42" t="s">
        <v>1966</v>
      </c>
      <c r="D42">
        <v>38000</v>
      </c>
      <c r="E42">
        <v>38000</v>
      </c>
      <c r="F42">
        <v>38000</v>
      </c>
      <c r="G42">
        <v>38000</v>
      </c>
      <c r="H42">
        <v>37000</v>
      </c>
      <c r="I42">
        <f>24500+12500</f>
        <v>37000</v>
      </c>
    </row>
    <row r="44" spans="2:9" x14ac:dyDescent="0.2">
      <c r="B44" t="s">
        <v>1968</v>
      </c>
      <c r="C44" t="s">
        <v>1224</v>
      </c>
      <c r="D44">
        <f>D40*Deflator!$Z$4</f>
        <v>9528</v>
      </c>
      <c r="E44">
        <f>E40*Deflator!$Z$4</f>
        <v>7940</v>
      </c>
      <c r="F44">
        <f>F40*Deflator!$Z$4</f>
        <v>7146</v>
      </c>
      <c r="G44">
        <f>G40*Deflator!$Z$4</f>
        <v>4764</v>
      </c>
      <c r="H44">
        <f>H40*Deflator!$Z$4</f>
        <v>3255.4</v>
      </c>
    </row>
    <row r="45" spans="2:9" x14ac:dyDescent="0.2">
      <c r="B45" t="s">
        <v>1969</v>
      </c>
      <c r="C45" t="s">
        <v>1224</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1224</v>
      </c>
      <c r="D46">
        <f>D41*Deflator!$Z$4</f>
        <v>19850</v>
      </c>
      <c r="E46">
        <f>E41*Deflator!$Z$4</f>
        <v>17468</v>
      </c>
      <c r="F46">
        <f>F41*Deflator!$Z$4</f>
        <v>15880</v>
      </c>
      <c r="G46">
        <f>G41*Deflator!$Z$4</f>
        <v>14292</v>
      </c>
      <c r="H46">
        <f>H41*Deflator!$Z$4</f>
        <v>13498</v>
      </c>
    </row>
    <row r="47" spans="2:9" x14ac:dyDescent="0.2">
      <c r="B47" t="str">
        <f>B42</f>
        <v>Coal+CCS</v>
      </c>
      <c r="C47" t="s">
        <v>1224</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28" t="s">
        <v>1979</v>
      </c>
      <c r="C54" s="380" t="s">
        <v>1980</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29"/>
      <c r="C55" s="382" t="s">
        <v>1981</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29"/>
      <c r="C56" s="384" t="s">
        <v>1982</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29"/>
      <c r="C57" s="380" t="s">
        <v>1983</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29"/>
      <c r="C58" s="382" t="s">
        <v>1984</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29"/>
      <c r="C59" s="384" t="s">
        <v>1985</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29"/>
      <c r="C60" s="380" t="s">
        <v>1986</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29"/>
      <c r="C61" s="382" t="s">
        <v>1987</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29"/>
      <c r="C62" s="384" t="s">
        <v>1988</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29"/>
      <c r="C63" s="380" t="s">
        <v>1989</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29"/>
      <c r="C64" s="382" t="s">
        <v>1990</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29"/>
      <c r="C65" s="384" t="s">
        <v>1991</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29"/>
      <c r="C66" s="380" t="s">
        <v>1992</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29"/>
      <c r="C67" s="382" t="s">
        <v>1993</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30"/>
      <c r="C68" s="384" t="s">
        <v>1994</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1999</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2000</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2001</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1995</v>
      </c>
      <c r="F74">
        <v>11.35</v>
      </c>
      <c r="J74" t="s">
        <v>2002</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1998</v>
      </c>
      <c r="C77" t="s">
        <v>1224</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1997</v>
      </c>
      <c r="C78" t="s">
        <v>1224</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1996</v>
      </c>
      <c r="C79" t="s">
        <v>1224</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2003</v>
      </c>
      <c r="D82" s="388">
        <v>11.848000000000001</v>
      </c>
      <c r="E82" t="s">
        <v>2008</v>
      </c>
      <c r="T82" t="s">
        <v>2035</v>
      </c>
    </row>
    <row r="83" spans="2:20" x14ac:dyDescent="0.2">
      <c r="B83" t="s">
        <v>2060</v>
      </c>
      <c r="C83" t="s">
        <v>2007</v>
      </c>
      <c r="D83" t="s">
        <v>2061</v>
      </c>
      <c r="E83" t="s">
        <v>1224</v>
      </c>
    </row>
    <row r="84" spans="2:20" x14ac:dyDescent="0.2">
      <c r="B84" t="s">
        <v>2006</v>
      </c>
      <c r="C84">
        <v>975</v>
      </c>
      <c r="D84" s="399">
        <v>0.1</v>
      </c>
      <c r="E84" s="387">
        <f>C84*(1+D84)*$D$82</f>
        <v>12706.980000000001</v>
      </c>
    </row>
    <row r="85" spans="2:20" x14ac:dyDescent="0.2">
      <c r="B85" t="s">
        <v>2005</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1253</v>
      </c>
    </row>
    <row r="89" spans="2:20" x14ac:dyDescent="0.2">
      <c r="B89" s="341" t="s">
        <v>1869</v>
      </c>
      <c r="C89">
        <v>1250</v>
      </c>
      <c r="D89" s="399">
        <v>0.1</v>
      </c>
      <c r="E89" s="387">
        <f>C89*(1+D89)*$D$82</f>
        <v>16291.000000000002</v>
      </c>
    </row>
    <row r="90" spans="2:20" x14ac:dyDescent="0.2">
      <c r="B90" s="341" t="s">
        <v>1867</v>
      </c>
      <c r="C90">
        <v>650</v>
      </c>
      <c r="D90" s="399">
        <v>0.1</v>
      </c>
      <c r="E90" s="387">
        <f>C90*(1+D90)*$D$82</f>
        <v>8471.3200000000015</v>
      </c>
    </row>
    <row r="91" spans="2:20" x14ac:dyDescent="0.2">
      <c r="B91" s="341" t="s">
        <v>2026</v>
      </c>
    </row>
    <row r="113" spans="2:23" x14ac:dyDescent="0.2">
      <c r="B113" s="341" t="s">
        <v>2020</v>
      </c>
      <c r="C113" s="341" t="s">
        <v>2005</v>
      </c>
      <c r="D113" s="341" t="s">
        <v>2006</v>
      </c>
    </row>
    <row r="114" spans="2:23" x14ac:dyDescent="0.2">
      <c r="B114" s="341" t="s">
        <v>2013</v>
      </c>
      <c r="C114">
        <v>4000</v>
      </c>
      <c r="D114">
        <v>5100</v>
      </c>
      <c r="G114" s="341" t="s">
        <v>2021</v>
      </c>
      <c r="H114" s="341" t="s">
        <v>2022</v>
      </c>
      <c r="I114" s="341" t="s">
        <v>124</v>
      </c>
      <c r="J114" s="341" t="s">
        <v>2023</v>
      </c>
      <c r="K114">
        <v>12</v>
      </c>
      <c r="L114" s="341" t="s">
        <v>2024</v>
      </c>
    </row>
    <row r="115" spans="2:23" x14ac:dyDescent="0.2">
      <c r="B115" s="341" t="s">
        <v>2014</v>
      </c>
      <c r="C115">
        <v>30</v>
      </c>
      <c r="D115">
        <v>20</v>
      </c>
      <c r="J115">
        <v>10</v>
      </c>
      <c r="K115" s="341" t="s">
        <v>2025</v>
      </c>
    </row>
    <row r="116" spans="2:23" x14ac:dyDescent="0.2">
      <c r="B116" s="341" t="s">
        <v>2015</v>
      </c>
      <c r="C116">
        <v>350</v>
      </c>
      <c r="D116">
        <v>2000</v>
      </c>
      <c r="T116" t="s">
        <v>2004</v>
      </c>
      <c r="U116" t="s">
        <v>2062</v>
      </c>
      <c r="V116" t="s">
        <v>2064</v>
      </c>
      <c r="W116" t="s">
        <v>2063</v>
      </c>
    </row>
    <row r="117" spans="2:23" x14ac:dyDescent="0.2">
      <c r="B117" s="341" t="s">
        <v>2016</v>
      </c>
      <c r="C117">
        <v>700</v>
      </c>
      <c r="D117">
        <v>2000</v>
      </c>
      <c r="T117" s="341" t="s">
        <v>2037</v>
      </c>
      <c r="U117">
        <v>910</v>
      </c>
      <c r="V117">
        <v>1.2</v>
      </c>
      <c r="W117" s="387">
        <f>U117*V117*$D$82</f>
        <v>12938.016000000001</v>
      </c>
    </row>
    <row r="118" spans="2:23" x14ac:dyDescent="0.2">
      <c r="B118" s="341" t="s">
        <v>2017</v>
      </c>
      <c r="C118">
        <v>400</v>
      </c>
      <c r="D118">
        <v>1700</v>
      </c>
      <c r="U118">
        <f>U117*14*V117</f>
        <v>15288</v>
      </c>
    </row>
    <row r="119" spans="2:23" x14ac:dyDescent="0.2">
      <c r="B119" s="341" t="s">
        <v>2018</v>
      </c>
      <c r="C119">
        <v>40</v>
      </c>
      <c r="D119">
        <v>1000</v>
      </c>
    </row>
    <row r="120" spans="2:23" x14ac:dyDescent="0.2">
      <c r="B120" s="341" t="s">
        <v>1176</v>
      </c>
      <c r="C120">
        <v>650</v>
      </c>
      <c r="D120">
        <v>1200</v>
      </c>
      <c r="T120" s="341" t="s">
        <v>2038</v>
      </c>
      <c r="U120">
        <v>780</v>
      </c>
    </row>
    <row r="121" spans="2:23" x14ac:dyDescent="0.2">
      <c r="B121" s="341" t="s">
        <v>2019</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145</v>
      </c>
      <c r="U127" s="398" t="s">
        <v>2057</v>
      </c>
    </row>
    <row r="128" spans="2:23" ht="15" x14ac:dyDescent="0.25">
      <c r="T128" s="397" t="s">
        <v>2058</v>
      </c>
      <c r="U128" s="275" t="s">
        <v>2059</v>
      </c>
    </row>
    <row r="167" spans="2:36" x14ac:dyDescent="0.2">
      <c r="B167" s="1" t="s">
        <v>2208</v>
      </c>
    </row>
    <row r="169" spans="2:36" ht="12.75" customHeight="1" x14ac:dyDescent="0.2">
      <c r="B169" s="417" t="s">
        <v>2217</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2209</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2210</v>
      </c>
      <c r="C173" s="418" t="s">
        <v>2211</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2212</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2213</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2214</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2215</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2216</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2218</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2240</v>
      </c>
      <c r="D185" s="341" t="s">
        <v>2243</v>
      </c>
      <c r="E185" s="341" t="s">
        <v>2244</v>
      </c>
      <c r="F185" s="341" t="s">
        <v>2234</v>
      </c>
    </row>
    <row r="186" spans="2:36" x14ac:dyDescent="0.2">
      <c r="C186" s="341" t="s">
        <v>2241</v>
      </c>
      <c r="D186">
        <v>1750</v>
      </c>
      <c r="E186">
        <f>D186*1.12</f>
        <v>1960.0000000000002</v>
      </c>
      <c r="F186">
        <f>E186*11.994</f>
        <v>23508.240000000002</v>
      </c>
    </row>
    <row r="187" spans="2:36" x14ac:dyDescent="0.2">
      <c r="D187" s="341" t="s">
        <v>2245</v>
      </c>
      <c r="E187" s="341" t="s">
        <v>2246</v>
      </c>
      <c r="F187" s="341" t="s">
        <v>125</v>
      </c>
    </row>
    <row r="188" spans="2:36" x14ac:dyDescent="0.2">
      <c r="C188" s="341" t="s">
        <v>1942</v>
      </c>
      <c r="D188">
        <f>2/100</f>
        <v>0.02</v>
      </c>
      <c r="E188">
        <f>D188*E186/D186</f>
        <v>2.2400000000000003E-2</v>
      </c>
      <c r="F188" s="402">
        <f>E188/3.6*1000*F186/E186</f>
        <v>74.629333333333335</v>
      </c>
    </row>
    <row r="189" spans="2:36" x14ac:dyDescent="0.2">
      <c r="C189" s="341" t="s">
        <v>162</v>
      </c>
      <c r="F189" s="399">
        <v>0.5</v>
      </c>
    </row>
    <row r="191" spans="2:36" x14ac:dyDescent="0.2">
      <c r="C191" t="s">
        <v>2242</v>
      </c>
    </row>
  </sheetData>
  <mergeCells count="1">
    <mergeCell ref="B54:B68"/>
  </mergeCells>
  <phoneticPr fontId="94"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2027</v>
      </c>
    </row>
    <row r="26" spans="2:3" ht="15" x14ac:dyDescent="0.2">
      <c r="C26" s="389" t="s">
        <v>2028</v>
      </c>
    </row>
    <row r="28" spans="2:3" ht="15" x14ac:dyDescent="0.2">
      <c r="C28" s="389" t="s">
        <v>2029</v>
      </c>
    </row>
    <row r="31" spans="2:3" x14ac:dyDescent="0.2">
      <c r="B31" t="s">
        <v>2075</v>
      </c>
    </row>
    <row r="33" spans="17:19" x14ac:dyDescent="0.2">
      <c r="Q33" s="1" t="s">
        <v>2076</v>
      </c>
    </row>
    <row r="34" spans="17:19" x14ac:dyDescent="0.2">
      <c r="Q34" s="341" t="s">
        <v>2079</v>
      </c>
      <c r="R34" s="341" t="s">
        <v>2078</v>
      </c>
      <c r="S34">
        <v>123</v>
      </c>
    </row>
    <row r="35" spans="17:19" x14ac:dyDescent="0.2">
      <c r="Q35" s="341" t="s">
        <v>2077</v>
      </c>
      <c r="R35" s="341" t="s">
        <v>2078</v>
      </c>
      <c r="S35">
        <v>96.25</v>
      </c>
    </row>
    <row r="36" spans="17:19" x14ac:dyDescent="0.2">
      <c r="Q36" s="341" t="s">
        <v>2080</v>
      </c>
      <c r="R36" s="341" t="s">
        <v>2078</v>
      </c>
      <c r="S36">
        <f>S34-S35</f>
        <v>26.75</v>
      </c>
    </row>
    <row r="37" spans="17:19" x14ac:dyDescent="0.2">
      <c r="Q37" s="341" t="s">
        <v>2082</v>
      </c>
      <c r="S37">
        <v>310</v>
      </c>
    </row>
    <row r="38" spans="17:19" x14ac:dyDescent="0.2">
      <c r="Q38" s="341" t="s">
        <v>2081</v>
      </c>
      <c r="R38" s="341" t="s">
        <v>2078</v>
      </c>
      <c r="S38">
        <f>S36/S37</f>
        <v>8.629032258064516E-2</v>
      </c>
    </row>
    <row r="39" spans="17:19" x14ac:dyDescent="0.2">
      <c r="Q39" s="341" t="s">
        <v>2083</v>
      </c>
      <c r="S39">
        <v>0.36</v>
      </c>
    </row>
    <row r="40" spans="17:19" x14ac:dyDescent="0.2">
      <c r="R40" s="341" t="s">
        <v>2085</v>
      </c>
      <c r="S40">
        <f>S38/S39*3.6</f>
        <v>0.86290322580645162</v>
      </c>
    </row>
    <row r="41" spans="17:19" x14ac:dyDescent="0.2">
      <c r="R41" s="341" t="s">
        <v>2086</v>
      </c>
      <c r="S41" s="402">
        <f>S35/S39*3.6/1000</f>
        <v>0.96250000000000013</v>
      </c>
    </row>
    <row r="42" spans="17:19" x14ac:dyDescent="0.2">
      <c r="R42" s="341" t="s">
        <v>2087</v>
      </c>
      <c r="S42" s="403">
        <f>S41*1000</f>
        <v>962.50000000000011</v>
      </c>
    </row>
    <row r="43" spans="17:19" x14ac:dyDescent="0.2">
      <c r="R43" s="341" t="s">
        <v>2084</v>
      </c>
      <c r="S43" s="402">
        <f>(S40*S37+S35/S39*3.6)/1000</f>
        <v>1.23</v>
      </c>
    </row>
    <row r="47" spans="17:19" x14ac:dyDescent="0.2">
      <c r="Q47" s="341" t="s">
        <v>2088</v>
      </c>
      <c r="R47" s="341" t="s">
        <v>124</v>
      </c>
      <c r="S47">
        <v>1500</v>
      </c>
    </row>
    <row r="48" spans="17:19" x14ac:dyDescent="0.2">
      <c r="Q48" s="341" t="s">
        <v>1944</v>
      </c>
      <c r="S48" s="399">
        <v>0.85</v>
      </c>
    </row>
    <row r="49" spans="17:19" x14ac:dyDescent="0.2">
      <c r="Q49" s="341" t="s">
        <v>139</v>
      </c>
      <c r="S49">
        <f>S47*8.76*S48</f>
        <v>11169</v>
      </c>
    </row>
    <row r="50" spans="17:19" x14ac:dyDescent="0.2">
      <c r="Q50" s="341" t="s">
        <v>2077</v>
      </c>
      <c r="R50" s="341" t="s">
        <v>2089</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1439</v>
      </c>
      <c r="B1" s="167" t="s">
        <v>1438</v>
      </c>
      <c r="C1" s="167" t="s">
        <v>1437</v>
      </c>
      <c r="D1" s="167" t="s">
        <v>1436</v>
      </c>
      <c r="E1" s="167" t="s">
        <v>1435</v>
      </c>
      <c r="F1" s="167" t="s">
        <v>338</v>
      </c>
      <c r="G1" s="167" t="s">
        <v>336</v>
      </c>
      <c r="H1" s="167" t="s">
        <v>334</v>
      </c>
      <c r="I1" s="167" t="s">
        <v>332</v>
      </c>
      <c r="J1" s="167" t="s">
        <v>1434</v>
      </c>
    </row>
    <row r="2" spans="1:10" x14ac:dyDescent="0.25">
      <c r="A2" s="167" t="s">
        <v>1433</v>
      </c>
      <c r="B2" s="167" t="s">
        <v>1432</v>
      </c>
      <c r="C2" s="167" t="s">
        <v>1261</v>
      </c>
      <c r="D2" s="167" t="s">
        <v>1427</v>
      </c>
      <c r="E2" s="167" t="s">
        <v>1427</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1431</v>
      </c>
      <c r="B3" s="167" t="s">
        <v>1430</v>
      </c>
      <c r="C3" s="167" t="s">
        <v>1261</v>
      </c>
      <c r="D3" s="167" t="s">
        <v>1427</v>
      </c>
      <c r="E3" s="167" t="s">
        <v>1427</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269</v>
      </c>
      <c r="B4" s="167" t="s">
        <v>1429</v>
      </c>
      <c r="C4" s="167" t="s">
        <v>1261</v>
      </c>
      <c r="D4" s="167" t="s">
        <v>1427</v>
      </c>
      <c r="E4" s="167" t="s">
        <v>1427</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283</v>
      </c>
      <c r="B5" s="167" t="s">
        <v>1428</v>
      </c>
      <c r="C5" s="167" t="s">
        <v>1261</v>
      </c>
      <c r="D5" s="167" t="s">
        <v>1427</v>
      </c>
      <c r="E5" s="167" t="s">
        <v>1427</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239</v>
      </c>
      <c r="B6" s="167" t="s">
        <v>1426</v>
      </c>
      <c r="C6" s="167" t="s">
        <v>1261</v>
      </c>
      <c r="D6" s="167" t="s">
        <v>1424</v>
      </c>
      <c r="E6" s="167" t="s">
        <v>1424</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241</v>
      </c>
      <c r="B7" s="167" t="s">
        <v>1425</v>
      </c>
      <c r="C7" s="167" t="s">
        <v>1261</v>
      </c>
      <c r="D7" s="167" t="s">
        <v>1424</v>
      </c>
      <c r="E7" s="167" t="s">
        <v>1424</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289</v>
      </c>
      <c r="B8" s="167" t="s">
        <v>1423</v>
      </c>
      <c r="C8" s="167" t="s">
        <v>1261</v>
      </c>
      <c r="D8" s="167" t="s">
        <v>1420</v>
      </c>
      <c r="E8" s="167" t="s">
        <v>1420</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287</v>
      </c>
      <c r="B9" s="167" t="s">
        <v>1422</v>
      </c>
      <c r="C9" s="167" t="s">
        <v>1261</v>
      </c>
      <c r="D9" s="167" t="s">
        <v>1273</v>
      </c>
      <c r="E9" s="167" t="s">
        <v>1273</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263</v>
      </c>
      <c r="B10" s="167" t="s">
        <v>1421</v>
      </c>
      <c r="C10" s="167" t="s">
        <v>1261</v>
      </c>
      <c r="D10" s="167" t="s">
        <v>1420</v>
      </c>
      <c r="E10" s="167" t="s">
        <v>1420</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1419</v>
      </c>
      <c r="B11" s="167" t="s">
        <v>1418</v>
      </c>
      <c r="C11" s="167" t="s">
        <v>1261</v>
      </c>
      <c r="D11" s="167" t="s">
        <v>1273</v>
      </c>
      <c r="E11" s="167" t="s">
        <v>1273</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1417</v>
      </c>
      <c r="B12" s="167" t="s">
        <v>1416</v>
      </c>
      <c r="C12" s="167" t="s">
        <v>1261</v>
      </c>
      <c r="D12" s="167" t="s">
        <v>1273</v>
      </c>
      <c r="E12" s="167" t="s">
        <v>1273</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1415</v>
      </c>
      <c r="B13" s="167" t="s">
        <v>1414</v>
      </c>
      <c r="C13" s="167" t="s">
        <v>1261</v>
      </c>
      <c r="D13" s="167" t="s">
        <v>1273</v>
      </c>
      <c r="E13" s="167" t="s">
        <v>1273</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250</v>
      </c>
      <c r="B14" s="167" t="s">
        <v>1413</v>
      </c>
      <c r="C14" s="167" t="s">
        <v>1261</v>
      </c>
      <c r="D14" s="167" t="s">
        <v>1273</v>
      </c>
      <c r="E14" s="167" t="s">
        <v>1273</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1412</v>
      </c>
      <c r="B15" s="167" t="s">
        <v>1411</v>
      </c>
      <c r="C15" s="167" t="s">
        <v>1261</v>
      </c>
      <c r="D15" s="167" t="s">
        <v>1273</v>
      </c>
      <c r="E15" s="167" t="s">
        <v>1273</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1410</v>
      </c>
      <c r="B16" s="167" t="s">
        <v>1409</v>
      </c>
      <c r="C16" s="167" t="s">
        <v>1261</v>
      </c>
      <c r="D16" s="167" t="s">
        <v>1273</v>
      </c>
      <c r="E16" s="167" t="s">
        <v>1273</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1408</v>
      </c>
      <c r="B17" s="167" t="s">
        <v>1407</v>
      </c>
      <c r="C17" s="167" t="s">
        <v>1261</v>
      </c>
      <c r="D17" s="167" t="s">
        <v>1273</v>
      </c>
      <c r="E17" s="167" t="s">
        <v>1273</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1406</v>
      </c>
      <c r="B18" s="167" t="s">
        <v>1405</v>
      </c>
      <c r="C18" s="167" t="s">
        <v>1261</v>
      </c>
      <c r="D18" s="167" t="s">
        <v>1273</v>
      </c>
      <c r="E18" s="167" t="s">
        <v>1273</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256</v>
      </c>
      <c r="B19" s="167" t="s">
        <v>1404</v>
      </c>
      <c r="C19" s="167" t="s">
        <v>1261</v>
      </c>
      <c r="D19" s="167" t="s">
        <v>1381</v>
      </c>
      <c r="E19" s="167" t="s">
        <v>1402</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254</v>
      </c>
      <c r="B20" s="167" t="s">
        <v>1403</v>
      </c>
      <c r="C20" s="167" t="s">
        <v>1261</v>
      </c>
      <c r="D20" s="167" t="s">
        <v>1381</v>
      </c>
      <c r="E20" s="167" t="s">
        <v>1402</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1401</v>
      </c>
      <c r="B21" s="167" t="s">
        <v>1400</v>
      </c>
      <c r="C21" s="167" t="s">
        <v>1261</v>
      </c>
      <c r="D21" s="167" t="s">
        <v>1381</v>
      </c>
      <c r="E21" s="167" t="s">
        <v>1385</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1399</v>
      </c>
      <c r="B22" s="167" t="s">
        <v>1398</v>
      </c>
      <c r="C22" s="167" t="s">
        <v>1261</v>
      </c>
      <c r="D22" s="167" t="s">
        <v>1381</v>
      </c>
      <c r="E22" s="167" t="s">
        <v>1385</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1397</v>
      </c>
      <c r="B23" s="167" t="s">
        <v>1396</v>
      </c>
      <c r="C23" s="167" t="s">
        <v>1261</v>
      </c>
      <c r="D23" s="167" t="s">
        <v>1381</v>
      </c>
      <c r="E23" s="167" t="s">
        <v>1385</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1395</v>
      </c>
      <c r="B24" s="167" t="s">
        <v>1394</v>
      </c>
      <c r="C24" s="167" t="s">
        <v>1261</v>
      </c>
      <c r="D24" s="167" t="s">
        <v>1381</v>
      </c>
      <c r="E24" s="167" t="s">
        <v>1385</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1393</v>
      </c>
      <c r="B25" s="167" t="s">
        <v>1392</v>
      </c>
      <c r="C25" s="167" t="s">
        <v>1261</v>
      </c>
      <c r="D25" s="167" t="s">
        <v>1381</v>
      </c>
      <c r="E25" s="167" t="s">
        <v>1385</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1391</v>
      </c>
      <c r="B26" s="167" t="s">
        <v>1390</v>
      </c>
      <c r="C26" s="167" t="s">
        <v>1261</v>
      </c>
      <c r="D26" s="167" t="s">
        <v>1381</v>
      </c>
      <c r="E26" s="167" t="s">
        <v>1385</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1389</v>
      </c>
      <c r="B27" s="167" t="s">
        <v>1388</v>
      </c>
      <c r="C27" s="167" t="s">
        <v>1261</v>
      </c>
      <c r="D27" s="167" t="s">
        <v>1381</v>
      </c>
      <c r="E27" s="167" t="s">
        <v>1385</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1387</v>
      </c>
      <c r="B28" s="167" t="s">
        <v>1386</v>
      </c>
      <c r="C28" s="167" t="s">
        <v>1261</v>
      </c>
      <c r="D28" s="167" t="s">
        <v>1381</v>
      </c>
      <c r="E28" s="167" t="s">
        <v>1385</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233</v>
      </c>
      <c r="B29" s="167" t="s">
        <v>1384</v>
      </c>
      <c r="C29" s="167" t="s">
        <v>1261</v>
      </c>
      <c r="D29" s="167" t="s">
        <v>1381</v>
      </c>
      <c r="E29" s="167" t="s">
        <v>1383</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231</v>
      </c>
      <c r="B30" s="167" t="s">
        <v>1382</v>
      </c>
      <c r="C30" s="167" t="s">
        <v>1261</v>
      </c>
      <c r="D30" s="167" t="s">
        <v>1381</v>
      </c>
      <c r="E30" s="167" t="s">
        <v>1380</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1379</v>
      </c>
      <c r="B31" s="167" t="s">
        <v>1378</v>
      </c>
      <c r="C31" s="167" t="s">
        <v>1261</v>
      </c>
      <c r="D31" s="167" t="s">
        <v>1360</v>
      </c>
      <c r="E31" s="167" t="s">
        <v>1360</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1377</v>
      </c>
      <c r="B32" s="167" t="s">
        <v>1376</v>
      </c>
      <c r="C32" s="167" t="s">
        <v>1261</v>
      </c>
      <c r="D32" s="167" t="s">
        <v>1360</v>
      </c>
      <c r="E32" s="167" t="s">
        <v>1360</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258</v>
      </c>
      <c r="B33" s="167" t="s">
        <v>1375</v>
      </c>
      <c r="C33" s="167" t="s">
        <v>1261</v>
      </c>
      <c r="D33" s="167" t="s">
        <v>1360</v>
      </c>
      <c r="E33" s="167" t="s">
        <v>1360</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1374</v>
      </c>
      <c r="B34" s="167" t="s">
        <v>1373</v>
      </c>
      <c r="C34" s="167" t="s">
        <v>1261</v>
      </c>
      <c r="D34" s="167" t="s">
        <v>1360</v>
      </c>
      <c r="E34" s="167" t="s">
        <v>1360</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1372</v>
      </c>
      <c r="B35" s="167" t="s">
        <v>1371</v>
      </c>
      <c r="C35" s="167" t="s">
        <v>1261</v>
      </c>
      <c r="D35" s="167" t="s">
        <v>1360</v>
      </c>
      <c r="E35" s="167" t="s">
        <v>1360</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1370</v>
      </c>
      <c r="B36" s="167" t="s">
        <v>1369</v>
      </c>
      <c r="C36" s="167" t="s">
        <v>1261</v>
      </c>
      <c r="D36" s="167" t="s">
        <v>1360</v>
      </c>
      <c r="E36" s="167" t="s">
        <v>1360</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1368</v>
      </c>
      <c r="B37" s="167" t="s">
        <v>1367</v>
      </c>
      <c r="C37" s="167" t="s">
        <v>1261</v>
      </c>
      <c r="D37" s="167" t="s">
        <v>1360</v>
      </c>
      <c r="E37" s="167" t="s">
        <v>1360</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1366</v>
      </c>
      <c r="B38" s="167" t="s">
        <v>1365</v>
      </c>
      <c r="C38" s="167" t="s">
        <v>1261</v>
      </c>
      <c r="D38" s="167" t="s">
        <v>1360</v>
      </c>
      <c r="E38" s="167" t="s">
        <v>1360</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1364</v>
      </c>
      <c r="B39" s="167" t="s">
        <v>1363</v>
      </c>
      <c r="C39" s="167" t="s">
        <v>1261</v>
      </c>
      <c r="D39" s="167" t="s">
        <v>1360</v>
      </c>
      <c r="E39" s="167" t="s">
        <v>1360</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1362</v>
      </c>
      <c r="B40" s="167" t="s">
        <v>1361</v>
      </c>
      <c r="C40" s="167" t="s">
        <v>1261</v>
      </c>
      <c r="D40" s="167" t="s">
        <v>1360</v>
      </c>
      <c r="E40" s="167" t="s">
        <v>1360</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252</v>
      </c>
      <c r="B41" s="167" t="s">
        <v>1359</v>
      </c>
      <c r="C41" s="167" t="s">
        <v>1261</v>
      </c>
      <c r="D41" s="167" t="s">
        <v>1356</v>
      </c>
      <c r="E41" s="167" t="s">
        <v>1356</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1358</v>
      </c>
      <c r="B42" s="167" t="s">
        <v>1357</v>
      </c>
      <c r="C42" s="167" t="s">
        <v>1261</v>
      </c>
      <c r="D42" s="167" t="s">
        <v>1356</v>
      </c>
      <c r="E42" s="167" t="s">
        <v>1356</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1355</v>
      </c>
      <c r="B43" s="167" t="s">
        <v>1354</v>
      </c>
      <c r="C43" s="167" t="s">
        <v>1261</v>
      </c>
      <c r="D43" s="167" t="s">
        <v>1331</v>
      </c>
      <c r="E43" s="167" t="s">
        <v>1353</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1352</v>
      </c>
      <c r="B44" s="167" t="s">
        <v>1351</v>
      </c>
      <c r="C44" s="167" t="s">
        <v>1261</v>
      </c>
      <c r="D44" s="167" t="s">
        <v>1331</v>
      </c>
      <c r="E44" s="167" t="s">
        <v>1336</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1350</v>
      </c>
      <c r="B45" s="167" t="s">
        <v>1349</v>
      </c>
      <c r="C45" s="167" t="s">
        <v>1261</v>
      </c>
      <c r="D45" s="167" t="s">
        <v>1331</v>
      </c>
      <c r="E45" s="167" t="s">
        <v>1336</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1348</v>
      </c>
      <c r="B46" s="167" t="s">
        <v>1347</v>
      </c>
      <c r="C46" s="167" t="s">
        <v>1261</v>
      </c>
      <c r="D46" s="167" t="s">
        <v>1331</v>
      </c>
      <c r="E46" s="167" t="s">
        <v>1336</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1346</v>
      </c>
      <c r="B47" s="167" t="s">
        <v>1345</v>
      </c>
      <c r="C47" s="167" t="s">
        <v>1261</v>
      </c>
      <c r="D47" s="167" t="s">
        <v>1331</v>
      </c>
      <c r="E47" s="167" t="s">
        <v>1336</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1344</v>
      </c>
      <c r="B48" s="167" t="s">
        <v>1343</v>
      </c>
      <c r="C48" s="167" t="s">
        <v>1261</v>
      </c>
      <c r="D48" s="167" t="s">
        <v>1331</v>
      </c>
      <c r="E48" s="167" t="s">
        <v>1336</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1342</v>
      </c>
      <c r="B49" s="167" t="s">
        <v>1341</v>
      </c>
      <c r="C49" s="167" t="s">
        <v>1261</v>
      </c>
      <c r="D49" s="167" t="s">
        <v>1331</v>
      </c>
      <c r="E49" s="167" t="s">
        <v>1336</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1340</v>
      </c>
      <c r="B50" s="167" t="s">
        <v>1339</v>
      </c>
      <c r="C50" s="167" t="s">
        <v>1261</v>
      </c>
      <c r="D50" s="167" t="s">
        <v>1331</v>
      </c>
      <c r="E50" s="167" t="s">
        <v>1336</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1338</v>
      </c>
      <c r="B51" s="167" t="s">
        <v>1337</v>
      </c>
      <c r="C51" s="167" t="s">
        <v>1261</v>
      </c>
      <c r="D51" s="167" t="s">
        <v>1331</v>
      </c>
      <c r="E51" s="167" t="s">
        <v>1336</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1335</v>
      </c>
      <c r="B52" s="167" t="s">
        <v>1334</v>
      </c>
      <c r="C52" s="167" t="s">
        <v>1261</v>
      </c>
      <c r="D52" s="167" t="s">
        <v>1331</v>
      </c>
      <c r="E52" s="167" t="s">
        <v>1333</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237</v>
      </c>
      <c r="B53" s="167" t="s">
        <v>1332</v>
      </c>
      <c r="C53" s="167" t="s">
        <v>1261</v>
      </c>
      <c r="D53" s="167" t="s">
        <v>1331</v>
      </c>
      <c r="E53" s="167" t="s">
        <v>1330</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265</v>
      </c>
      <c r="B54" s="167" t="s">
        <v>1329</v>
      </c>
      <c r="C54" s="167" t="s">
        <v>1261</v>
      </c>
      <c r="D54" s="167" t="s">
        <v>1296</v>
      </c>
      <c r="E54" s="167" t="s">
        <v>1295</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315</v>
      </c>
      <c r="B55" s="167" t="s">
        <v>1328</v>
      </c>
      <c r="C55" s="167" t="s">
        <v>1261</v>
      </c>
      <c r="D55" s="167" t="s">
        <v>1296</v>
      </c>
      <c r="E55" s="167" t="s">
        <v>1295</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321</v>
      </c>
      <c r="B56" s="167" t="s">
        <v>1327</v>
      </c>
      <c r="C56" s="167" t="s">
        <v>1261</v>
      </c>
      <c r="D56" s="167" t="s">
        <v>1296</v>
      </c>
      <c r="E56" s="167" t="s">
        <v>1295</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313</v>
      </c>
      <c r="B57" s="167" t="s">
        <v>1326</v>
      </c>
      <c r="C57" s="167" t="s">
        <v>1261</v>
      </c>
      <c r="D57" s="167" t="s">
        <v>1296</v>
      </c>
      <c r="E57" s="167" t="s">
        <v>1295</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319</v>
      </c>
      <c r="B58" s="167" t="s">
        <v>1325</v>
      </c>
      <c r="C58" s="167" t="s">
        <v>1261</v>
      </c>
      <c r="D58" s="167" t="s">
        <v>1296</v>
      </c>
      <c r="E58" s="167" t="s">
        <v>1295</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311</v>
      </c>
      <c r="B59" s="167" t="s">
        <v>1324</v>
      </c>
      <c r="C59" s="167" t="s">
        <v>1261</v>
      </c>
      <c r="D59" s="167" t="s">
        <v>1296</v>
      </c>
      <c r="E59" s="167" t="s">
        <v>1295</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1323</v>
      </c>
      <c r="B60" s="167" t="s">
        <v>1322</v>
      </c>
      <c r="C60" s="167" t="s">
        <v>1261</v>
      </c>
      <c r="D60" s="167" t="s">
        <v>1296</v>
      </c>
      <c r="E60" s="167" t="s">
        <v>1295</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1321</v>
      </c>
      <c r="B61" s="167" t="s">
        <v>1320</v>
      </c>
      <c r="C61" s="167" t="s">
        <v>1261</v>
      </c>
      <c r="D61" s="167" t="s">
        <v>1296</v>
      </c>
      <c r="E61" s="167" t="s">
        <v>1295</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293</v>
      </c>
      <c r="B62" s="167" t="s">
        <v>1319</v>
      </c>
      <c r="C62" s="167" t="s">
        <v>1261</v>
      </c>
      <c r="D62" s="167" t="s">
        <v>1296</v>
      </c>
      <c r="E62" s="167" t="s">
        <v>1295</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309</v>
      </c>
      <c r="B63" s="167" t="s">
        <v>1318</v>
      </c>
      <c r="C63" s="167" t="s">
        <v>1261</v>
      </c>
      <c r="D63" s="167" t="s">
        <v>1296</v>
      </c>
      <c r="E63" s="167" t="s">
        <v>1295</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317</v>
      </c>
      <c r="B64" s="167" t="s">
        <v>1317</v>
      </c>
      <c r="C64" s="167" t="s">
        <v>1261</v>
      </c>
      <c r="D64" s="167" t="s">
        <v>1296</v>
      </c>
      <c r="E64" s="167" t="s">
        <v>1295</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307</v>
      </c>
      <c r="B65" s="167" t="s">
        <v>1316</v>
      </c>
      <c r="C65" s="167" t="s">
        <v>1261</v>
      </c>
      <c r="D65" s="167" t="s">
        <v>1296</v>
      </c>
      <c r="E65" s="167" t="s">
        <v>1295</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305</v>
      </c>
      <c r="B66" s="167" t="s">
        <v>1315</v>
      </c>
      <c r="C66" s="167" t="s">
        <v>1261</v>
      </c>
      <c r="D66" s="167" t="s">
        <v>1296</v>
      </c>
      <c r="E66" s="167" t="s">
        <v>1295</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303</v>
      </c>
      <c r="B67" s="167" t="s">
        <v>1314</v>
      </c>
      <c r="C67" s="167" t="s">
        <v>1261</v>
      </c>
      <c r="D67" s="167" t="s">
        <v>1296</v>
      </c>
      <c r="E67" s="167" t="s">
        <v>1295</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301</v>
      </c>
      <c r="B68" s="167" t="s">
        <v>1313</v>
      </c>
      <c r="C68" s="167" t="s">
        <v>1261</v>
      </c>
      <c r="D68" s="167" t="s">
        <v>1296</v>
      </c>
      <c r="E68" s="167" t="s">
        <v>1295</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299</v>
      </c>
      <c r="B69" s="167" t="s">
        <v>1312</v>
      </c>
      <c r="C69" s="167" t="s">
        <v>1261</v>
      </c>
      <c r="D69" s="167" t="s">
        <v>1296</v>
      </c>
      <c r="E69" s="167" t="s">
        <v>1295</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297</v>
      </c>
      <c r="B70" s="167" t="s">
        <v>1311</v>
      </c>
      <c r="C70" s="167" t="s">
        <v>1261</v>
      </c>
      <c r="D70" s="167" t="s">
        <v>1296</v>
      </c>
      <c r="E70" s="167" t="s">
        <v>1295</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1310</v>
      </c>
      <c r="B71" s="167" t="s">
        <v>274</v>
      </c>
      <c r="C71" s="167" t="s">
        <v>1261</v>
      </c>
      <c r="D71" s="167" t="s">
        <v>1296</v>
      </c>
      <c r="E71" s="167" t="s">
        <v>1299</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1309</v>
      </c>
      <c r="B72" s="167" t="s">
        <v>1308</v>
      </c>
      <c r="C72" s="167" t="s">
        <v>1261</v>
      </c>
      <c r="D72" s="167" t="s">
        <v>1296</v>
      </c>
      <c r="E72" s="167" t="s">
        <v>1299</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278</v>
      </c>
      <c r="B73" s="167" t="s">
        <v>1307</v>
      </c>
      <c r="C73" s="167" t="s">
        <v>1261</v>
      </c>
      <c r="D73" s="167" t="s">
        <v>1296</v>
      </c>
      <c r="E73" s="167" t="s">
        <v>1295</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280</v>
      </c>
      <c r="B74" s="167" t="s">
        <v>1306</v>
      </c>
      <c r="C74" s="167" t="s">
        <v>1261</v>
      </c>
      <c r="D74" s="167" t="s">
        <v>1296</v>
      </c>
      <c r="E74" s="167" t="s">
        <v>1295</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1305</v>
      </c>
      <c r="B75" s="167" t="s">
        <v>1304</v>
      </c>
      <c r="C75" s="167" t="s">
        <v>1261</v>
      </c>
      <c r="D75" s="167" t="s">
        <v>1296</v>
      </c>
      <c r="E75" s="167" t="s">
        <v>1295</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1303</v>
      </c>
      <c r="B76" s="167" t="s">
        <v>1302</v>
      </c>
      <c r="C76" s="167" t="s">
        <v>1261</v>
      </c>
      <c r="D76" s="167" t="s">
        <v>1296</v>
      </c>
      <c r="E76" s="167" t="s">
        <v>1295</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1301</v>
      </c>
      <c r="B77" s="167" t="s">
        <v>1300</v>
      </c>
      <c r="C77" s="167" t="s">
        <v>1261</v>
      </c>
      <c r="D77" s="167" t="s">
        <v>1296</v>
      </c>
      <c r="E77" s="167" t="s">
        <v>1299</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1298</v>
      </c>
      <c r="B78" s="167" t="s">
        <v>272</v>
      </c>
      <c r="C78" s="167" t="s">
        <v>1261</v>
      </c>
      <c r="D78" s="167" t="s">
        <v>1296</v>
      </c>
      <c r="E78" s="167" t="s">
        <v>1295</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295</v>
      </c>
      <c r="B79" s="167" t="s">
        <v>1297</v>
      </c>
      <c r="C79" s="167" t="s">
        <v>1261</v>
      </c>
      <c r="D79" s="167" t="s">
        <v>1296</v>
      </c>
      <c r="E79" s="167" t="s">
        <v>1295</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1294</v>
      </c>
      <c r="B80" s="167" t="s">
        <v>1293</v>
      </c>
      <c r="C80" s="167" t="s">
        <v>1261</v>
      </c>
      <c r="D80" s="167" t="s">
        <v>1273</v>
      </c>
      <c r="E80" s="167" t="s">
        <v>1273</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1292</v>
      </c>
      <c r="B81" s="167" t="s">
        <v>1291</v>
      </c>
      <c r="C81" s="167" t="s">
        <v>1261</v>
      </c>
      <c r="D81" s="167" t="s">
        <v>1273</v>
      </c>
      <c r="E81" s="167" t="s">
        <v>1273</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1290</v>
      </c>
      <c r="B82" s="167" t="s">
        <v>1289</v>
      </c>
      <c r="C82" s="167" t="s">
        <v>1261</v>
      </c>
      <c r="D82" s="167" t="s">
        <v>1276</v>
      </c>
      <c r="E82" s="167" t="s">
        <v>1276</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1288</v>
      </c>
      <c r="B83" s="167" t="s">
        <v>1287</v>
      </c>
      <c r="C83" s="167" t="s">
        <v>1261</v>
      </c>
      <c r="D83" s="167" t="s">
        <v>1276</v>
      </c>
      <c r="E83" s="167" t="s">
        <v>1276</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1286</v>
      </c>
      <c r="B84" s="167" t="s">
        <v>1285</v>
      </c>
      <c r="C84" s="167" t="s">
        <v>1261</v>
      </c>
      <c r="D84" s="167" t="s">
        <v>1276</v>
      </c>
      <c r="E84" s="167" t="s">
        <v>1276</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246</v>
      </c>
      <c r="B85" s="167" t="s">
        <v>1284</v>
      </c>
      <c r="C85" s="167" t="s">
        <v>1261</v>
      </c>
      <c r="D85" s="167" t="s">
        <v>1276</v>
      </c>
      <c r="E85" s="167" t="s">
        <v>1276</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248</v>
      </c>
      <c r="B86" s="167" t="s">
        <v>1283</v>
      </c>
      <c r="C86" s="167" t="s">
        <v>1261</v>
      </c>
      <c r="D86" s="167" t="s">
        <v>1276</v>
      </c>
      <c r="E86" s="167" t="s">
        <v>1276</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1282</v>
      </c>
      <c r="B87" s="167" t="s">
        <v>1281</v>
      </c>
      <c r="C87" s="167" t="s">
        <v>1261</v>
      </c>
      <c r="D87" s="167" t="s">
        <v>1276</v>
      </c>
      <c r="E87" s="167" t="s">
        <v>1276</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1280</v>
      </c>
      <c r="B88" s="167" t="s">
        <v>1279</v>
      </c>
      <c r="C88" s="167" t="s">
        <v>1261</v>
      </c>
      <c r="D88" s="167" t="s">
        <v>1276</v>
      </c>
      <c r="E88" s="167" t="s">
        <v>1276</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1278</v>
      </c>
      <c r="B89" s="167" t="s">
        <v>1277</v>
      </c>
      <c r="C89" s="167" t="s">
        <v>1261</v>
      </c>
      <c r="D89" s="167" t="s">
        <v>1276</v>
      </c>
      <c r="E89" s="167" t="s">
        <v>1276</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1275</v>
      </c>
      <c r="B90" s="167" t="s">
        <v>1274</v>
      </c>
      <c r="C90" s="167" t="s">
        <v>1261</v>
      </c>
      <c r="D90" s="167" t="s">
        <v>1273</v>
      </c>
      <c r="E90" s="167" t="s">
        <v>1273</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285</v>
      </c>
      <c r="B91" s="167" t="s">
        <v>1272</v>
      </c>
      <c r="C91" s="167" t="s">
        <v>1261</v>
      </c>
      <c r="D91" s="167" t="s">
        <v>1270</v>
      </c>
      <c r="E91" s="167" t="s">
        <v>1270</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261</v>
      </c>
      <c r="B92" s="167" t="s">
        <v>1271</v>
      </c>
      <c r="C92" s="167" t="s">
        <v>1261</v>
      </c>
      <c r="D92" s="167" t="s">
        <v>1270</v>
      </c>
      <c r="E92" s="167" t="s">
        <v>1270</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291</v>
      </c>
      <c r="B93" s="167" t="s">
        <v>1269</v>
      </c>
      <c r="C93" s="167" t="s">
        <v>1261</v>
      </c>
      <c r="D93" s="167" t="s">
        <v>1267</v>
      </c>
      <c r="E93" s="167" t="s">
        <v>1267</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267</v>
      </c>
      <c r="B94" s="167" t="s">
        <v>1268</v>
      </c>
      <c r="C94" s="167" t="s">
        <v>1261</v>
      </c>
      <c r="D94" s="167" t="s">
        <v>1267</v>
      </c>
      <c r="E94" s="167" t="s">
        <v>1267</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215</v>
      </c>
      <c r="B95" s="167" t="s">
        <v>214</v>
      </c>
      <c r="C95" s="167" t="s">
        <v>1261</v>
      </c>
      <c r="D95" s="167" t="s">
        <v>1266</v>
      </c>
      <c r="E95" s="167" t="s">
        <v>1266</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213</v>
      </c>
      <c r="B96" s="167" t="s">
        <v>212</v>
      </c>
      <c r="C96" s="167" t="s">
        <v>1261</v>
      </c>
      <c r="D96" s="167" t="s">
        <v>1260</v>
      </c>
      <c r="E96" s="167" t="s">
        <v>1265</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211</v>
      </c>
      <c r="B97" s="167" t="s">
        <v>210</v>
      </c>
      <c r="C97" s="167" t="s">
        <v>1261</v>
      </c>
      <c r="D97" s="167" t="s">
        <v>1260</v>
      </c>
      <c r="E97" s="167" t="s">
        <v>1264</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209</v>
      </c>
      <c r="B98" s="167" t="s">
        <v>208</v>
      </c>
      <c r="C98" s="167" t="s">
        <v>1261</v>
      </c>
      <c r="D98" s="167" t="s">
        <v>1260</v>
      </c>
      <c r="E98" s="167" t="s">
        <v>1259</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207</v>
      </c>
      <c r="B99" s="167" t="s">
        <v>206</v>
      </c>
      <c r="C99" s="167" t="s">
        <v>1261</v>
      </c>
      <c r="D99" s="167" t="s">
        <v>1260</v>
      </c>
      <c r="E99" s="167" t="s">
        <v>1259</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205</v>
      </c>
      <c r="B100" s="167" t="s">
        <v>204</v>
      </c>
      <c r="C100" s="167" t="s">
        <v>1261</v>
      </c>
      <c r="D100" s="167" t="s">
        <v>1260</v>
      </c>
      <c r="E100" s="167" t="s">
        <v>1259</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203</v>
      </c>
      <c r="B101" s="167" t="s">
        <v>202</v>
      </c>
      <c r="C101" s="167" t="s">
        <v>1261</v>
      </c>
      <c r="D101" s="167" t="s">
        <v>1260</v>
      </c>
      <c r="E101" s="167" t="s">
        <v>1259</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201</v>
      </c>
      <c r="B102" s="167" t="s">
        <v>200</v>
      </c>
      <c r="C102" s="167" t="s">
        <v>1261</v>
      </c>
      <c r="D102" s="167" t="s">
        <v>1260</v>
      </c>
      <c r="E102" s="167" t="s">
        <v>1259</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199</v>
      </c>
      <c r="B103" s="167" t="s">
        <v>198</v>
      </c>
      <c r="C103" s="167" t="s">
        <v>1261</v>
      </c>
      <c r="D103" s="167" t="s">
        <v>1260</v>
      </c>
      <c r="E103" s="167" t="s">
        <v>1259</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197</v>
      </c>
      <c r="B104" s="167" t="s">
        <v>196</v>
      </c>
      <c r="C104" s="167" t="s">
        <v>1261</v>
      </c>
      <c r="D104" s="167" t="s">
        <v>1260</v>
      </c>
      <c r="E104" s="167" t="s">
        <v>1259</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195</v>
      </c>
      <c r="B105" s="167" t="s">
        <v>194</v>
      </c>
      <c r="C105" s="167" t="s">
        <v>1261</v>
      </c>
      <c r="D105" s="167" t="s">
        <v>1260</v>
      </c>
      <c r="E105" s="167" t="s">
        <v>1259</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193</v>
      </c>
      <c r="B106" s="167" t="s">
        <v>192</v>
      </c>
      <c r="C106" s="167" t="s">
        <v>1261</v>
      </c>
      <c r="D106" s="167" t="s">
        <v>1260</v>
      </c>
      <c r="E106" s="167" t="s">
        <v>1259</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191</v>
      </c>
      <c r="B107" s="167" t="s">
        <v>190</v>
      </c>
      <c r="C107" s="167" t="s">
        <v>1261</v>
      </c>
      <c r="D107" s="167" t="s">
        <v>1260</v>
      </c>
      <c r="E107" s="167" t="s">
        <v>1263</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189</v>
      </c>
      <c r="B108" s="167" t="s">
        <v>188</v>
      </c>
      <c r="C108" s="167" t="s">
        <v>1261</v>
      </c>
      <c r="D108" s="167" t="s">
        <v>1260</v>
      </c>
      <c r="E108" s="167" t="s">
        <v>1262</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187</v>
      </c>
      <c r="B109" s="167" t="s">
        <v>186</v>
      </c>
      <c r="C109" s="167" t="s">
        <v>1261</v>
      </c>
      <c r="D109" s="167" t="s">
        <v>1260</v>
      </c>
      <c r="E109" s="167" t="s">
        <v>1259</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1555</v>
      </c>
      <c r="H1" s="167" t="s">
        <v>164</v>
      </c>
      <c r="I1" s="167">
        <f t="array" ref="I1:L1">TRANSPOSE('From SAM'!Q28:Q31)*1000</f>
        <v>110.01900000000001</v>
      </c>
      <c r="J1" s="167">
        <v>112.75</v>
      </c>
      <c r="K1" s="167">
        <v>173.19399999999999</v>
      </c>
      <c r="L1" s="167">
        <v>395.77199999999999</v>
      </c>
    </row>
    <row r="2" spans="1:16" x14ac:dyDescent="0.25">
      <c r="A2" s="167" t="s">
        <v>1435</v>
      </c>
      <c r="B2" s="167" t="s">
        <v>1493</v>
      </c>
      <c r="C2" s="167" t="s">
        <v>1492</v>
      </c>
      <c r="D2" s="167" t="s">
        <v>1491</v>
      </c>
      <c r="E2" s="167" t="s">
        <v>1490</v>
      </c>
      <c r="F2" s="167" t="s">
        <v>116</v>
      </c>
      <c r="G2" s="167" t="s">
        <v>755</v>
      </c>
      <c r="H2" s="167" t="s">
        <v>116</v>
      </c>
      <c r="I2" s="167" t="str">
        <f>B2</f>
        <v>flab-p</v>
      </c>
      <c r="J2" s="167" t="str">
        <f>C2</f>
        <v>flab-m</v>
      </c>
      <c r="K2" s="167" t="str">
        <f>D2</f>
        <v>flab-s</v>
      </c>
      <c r="L2" s="167" t="str">
        <f>E2</f>
        <v>flab-t</v>
      </c>
      <c r="M2" s="167" t="s">
        <v>1554</v>
      </c>
      <c r="N2" s="167" t="s">
        <v>1553</v>
      </c>
      <c r="O2" s="167" t="s">
        <v>1552</v>
      </c>
      <c r="P2" s="167" t="s">
        <v>1551</v>
      </c>
    </row>
    <row r="3" spans="1:16" x14ac:dyDescent="0.25">
      <c r="A3" s="167" t="s">
        <v>1550</v>
      </c>
      <c r="B3" s="167">
        <f t="array" ref="B3:E3">TRANSPOSE('From SAM'!G28:G31)</f>
        <v>5.1587548519758449E-2</v>
      </c>
      <c r="C3" s="167">
        <v>5.8710463397399472E-2</v>
      </c>
      <c r="D3" s="167">
        <v>0.19425465215810078</v>
      </c>
      <c r="E3" s="167">
        <v>0.69544733592474128</v>
      </c>
      <c r="F3" s="268" t="s">
        <v>1460</v>
      </c>
      <c r="G3" s="167" t="s">
        <v>155</v>
      </c>
      <c r="H3" s="268" t="s">
        <v>1549</v>
      </c>
    </row>
    <row r="4" spans="1:16" x14ac:dyDescent="0.25">
      <c r="A4" s="167" t="s">
        <v>1427</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1424</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1420</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1273</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1402</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1385</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1383</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1380</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1360</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1356</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1353</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1336</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1333</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1330</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1295</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1299</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1276</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1270</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1267</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1540</v>
      </c>
      <c r="F23" s="285"/>
      <c r="G23" s="285">
        <f>SUM(G4:G22)-G7</f>
        <v>43.910000000000004</v>
      </c>
      <c r="H23" s="285">
        <f>SUM(H4:H22)</f>
        <v>15.221333333333332</v>
      </c>
      <c r="M23" s="284">
        <f>SUM(M4:M22)</f>
        <v>4888.6915931110007</v>
      </c>
      <c r="O23" s="261">
        <f t="shared" si="8"/>
        <v>0</v>
      </c>
    </row>
    <row r="24" spans="1:19" x14ac:dyDescent="0.25">
      <c r="A24" s="167" t="s">
        <v>1548</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1547</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1263</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1265</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1259</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1264</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1262</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1546</v>
      </c>
      <c r="H32" s="269">
        <f>H88</f>
        <v>72.316029999999998</v>
      </c>
      <c r="M32" s="272">
        <f>'From SAM'!V32*1000</f>
        <v>23198</v>
      </c>
      <c r="R32" s="261"/>
      <c r="S32" s="261"/>
    </row>
    <row r="35" spans="1:19" x14ac:dyDescent="0.25">
      <c r="I35" s="167" t="s">
        <v>1545</v>
      </c>
    </row>
    <row r="36" spans="1:19" x14ac:dyDescent="0.25">
      <c r="P36" s="167" t="s">
        <v>1544</v>
      </c>
      <c r="R36" s="272"/>
      <c r="S36" s="272"/>
    </row>
    <row r="37" spans="1:19" x14ac:dyDescent="0.25">
      <c r="Q37" s="167" t="s">
        <v>1543</v>
      </c>
      <c r="R37" s="167" t="s">
        <v>1542</v>
      </c>
      <c r="S37" s="167" t="s">
        <v>1541</v>
      </c>
    </row>
    <row r="38" spans="1:19" x14ac:dyDescent="0.25">
      <c r="P38" s="264" t="s">
        <v>1540</v>
      </c>
      <c r="Q38" s="282">
        <f>H23</f>
        <v>15.221333333333332</v>
      </c>
      <c r="R38" s="282">
        <f>G23</f>
        <v>43.910000000000004</v>
      </c>
      <c r="S38" s="283">
        <f t="shared" ref="S38:S46" si="11">Q38/R38</f>
        <v>0.34664844758217561</v>
      </c>
    </row>
    <row r="39" spans="1:19" x14ac:dyDescent="0.25">
      <c r="A39" s="167" t="s">
        <v>1539</v>
      </c>
      <c r="B39" s="167" t="s">
        <v>1538</v>
      </c>
      <c r="P39" s="167" t="s">
        <v>958</v>
      </c>
      <c r="Q39" s="269">
        <f>Z73/1000</f>
        <v>1.2</v>
      </c>
      <c r="R39" s="269">
        <f>G21</f>
        <v>1.86</v>
      </c>
      <c r="S39" s="261">
        <f t="shared" si="11"/>
        <v>0.64516129032258063</v>
      </c>
    </row>
    <row r="40" spans="1:19" x14ac:dyDescent="0.25">
      <c r="A40" s="167" t="s">
        <v>1295</v>
      </c>
      <c r="B40" s="167">
        <v>33.200000000000003</v>
      </c>
      <c r="P40" s="167" t="s">
        <v>1537</v>
      </c>
      <c r="Q40" s="269">
        <f>Q38-Q39</f>
        <v>14.021333333333333</v>
      </c>
      <c r="R40" s="269">
        <f>R38-R39</f>
        <v>42.050000000000004</v>
      </c>
      <c r="S40" s="261">
        <f t="shared" si="11"/>
        <v>0.33344431232659527</v>
      </c>
    </row>
    <row r="41" spans="1:19" x14ac:dyDescent="0.25">
      <c r="A41" s="167" t="s">
        <v>1299</v>
      </c>
      <c r="B41" s="167">
        <v>3.72</v>
      </c>
      <c r="P41" s="264" t="s">
        <v>1536</v>
      </c>
      <c r="Q41" s="282">
        <f>H24</f>
        <v>9.7730300000000057</v>
      </c>
      <c r="R41" s="282">
        <f>G24</f>
        <v>34.200000000000003</v>
      </c>
      <c r="S41" s="283">
        <f t="shared" si="11"/>
        <v>0.28576111111111124</v>
      </c>
    </row>
    <row r="42" spans="1:19" x14ac:dyDescent="0.25">
      <c r="A42" s="167" t="s">
        <v>1276</v>
      </c>
      <c r="B42" s="167">
        <v>0.42</v>
      </c>
      <c r="P42" s="264" t="s">
        <v>1535</v>
      </c>
      <c r="Q42" s="282">
        <f>H25</f>
        <v>47.281333333333336</v>
      </c>
      <c r="R42" s="282">
        <f>SUM(G26:G30)</f>
        <v>36.882199999999997</v>
      </c>
      <c r="S42" s="283">
        <f t="shared" si="11"/>
        <v>1.281955342504876</v>
      </c>
    </row>
    <row r="43" spans="1:19" x14ac:dyDescent="0.25">
      <c r="A43" s="167" t="s">
        <v>1420</v>
      </c>
      <c r="B43" s="167">
        <v>0.67</v>
      </c>
      <c r="P43" s="167" t="s">
        <v>1534</v>
      </c>
      <c r="Q43" s="269">
        <f>H26</f>
        <v>33.411477030841922</v>
      </c>
      <c r="R43" s="269">
        <f>G26</f>
        <v>10.6821</v>
      </c>
      <c r="S43" s="261">
        <f t="shared" si="11"/>
        <v>3.1278004353864803</v>
      </c>
    </row>
    <row r="44" spans="1:19" x14ac:dyDescent="0.25">
      <c r="A44" s="167" t="s">
        <v>1273</v>
      </c>
      <c r="B44" s="167">
        <v>1.5</v>
      </c>
      <c r="P44" s="167" t="s">
        <v>1533</v>
      </c>
      <c r="Q44" s="269">
        <f>H29</f>
        <v>3.4038739804816984</v>
      </c>
      <c r="R44" s="269">
        <f>G29</f>
        <v>6.0609000000000002</v>
      </c>
      <c r="S44" s="261">
        <f t="shared" si="11"/>
        <v>0.5616119685990032</v>
      </c>
    </row>
    <row r="45" spans="1:19" x14ac:dyDescent="0.25">
      <c r="A45" s="167" t="s">
        <v>1270</v>
      </c>
      <c r="B45" s="167">
        <v>1.86</v>
      </c>
      <c r="P45" s="167" t="s">
        <v>1532</v>
      </c>
      <c r="Q45" s="269">
        <f>H28</f>
        <v>9.6688605019654048</v>
      </c>
      <c r="R45" s="269">
        <f>G28</f>
        <v>18.776499999999999</v>
      </c>
      <c r="S45" s="261">
        <f t="shared" si="11"/>
        <v>0.51494477149444284</v>
      </c>
    </row>
    <row r="46" spans="1:19" x14ac:dyDescent="0.25">
      <c r="A46" s="167" t="s">
        <v>1267</v>
      </c>
      <c r="B46" s="167">
        <v>2.46</v>
      </c>
      <c r="P46" s="167" t="s">
        <v>1531</v>
      </c>
      <c r="Q46" s="269">
        <f>Q42-SUM(Q43:Q45)</f>
        <v>0.79712182004431043</v>
      </c>
      <c r="R46" s="269">
        <f>R42-SUM(R43:R45)</f>
        <v>1.3626999999999967</v>
      </c>
      <c r="S46" s="261">
        <f t="shared" si="11"/>
        <v>0.58495767230080897</v>
      </c>
    </row>
    <row r="47" spans="1:19" x14ac:dyDescent="0.25">
      <c r="A47" s="167" t="s">
        <v>1427</v>
      </c>
      <c r="B47" s="167">
        <v>1.58</v>
      </c>
      <c r="L47" s="269"/>
      <c r="M47" s="276"/>
      <c r="O47" s="272"/>
      <c r="P47" s="264" t="s">
        <v>1530</v>
      </c>
      <c r="Q47" s="282">
        <f>Q38+Q41+Q42</f>
        <v>72.275696666666676</v>
      </c>
      <c r="R47" s="282"/>
      <c r="S47" s="261"/>
    </row>
    <row r="48" spans="1:19" x14ac:dyDescent="0.25">
      <c r="L48" s="269"/>
      <c r="M48" s="276"/>
      <c r="O48" s="272"/>
    </row>
    <row r="49" spans="6:31" ht="45" x14ac:dyDescent="0.25">
      <c r="F49" s="263" t="s">
        <v>1529</v>
      </c>
      <c r="G49" s="263" t="s">
        <v>1528</v>
      </c>
      <c r="H49" s="263" t="s">
        <v>1527</v>
      </c>
      <c r="I49" s="263" t="s">
        <v>124</v>
      </c>
      <c r="J49" s="263" t="s">
        <v>1526</v>
      </c>
      <c r="K49" s="263" t="s">
        <v>161</v>
      </c>
      <c r="L49" s="263" t="s">
        <v>1525</v>
      </c>
      <c r="M49" s="263" t="s">
        <v>158</v>
      </c>
      <c r="N49" s="263" t="s">
        <v>1524</v>
      </c>
      <c r="O49" s="263" t="s">
        <v>1523</v>
      </c>
      <c r="P49" s="263" t="s">
        <v>1522</v>
      </c>
      <c r="Q49" s="263" t="s">
        <v>1521</v>
      </c>
      <c r="W49" s="263" t="s">
        <v>1520</v>
      </c>
      <c r="X49" s="263" t="s">
        <v>1519</v>
      </c>
      <c r="Y49" s="263" t="s">
        <v>124</v>
      </c>
      <c r="Z49" s="263" t="str">
        <f>L49</f>
        <v>Annual O&amp;M Jobs/GW</v>
      </c>
      <c r="AA49" s="263" t="s">
        <v>158</v>
      </c>
      <c r="AB49" s="263" t="s">
        <v>139</v>
      </c>
      <c r="AC49" s="263" t="s">
        <v>1518</v>
      </c>
      <c r="AD49" s="263" t="s">
        <v>1517</v>
      </c>
    </row>
    <row r="50" spans="6:31" x14ac:dyDescent="0.25">
      <c r="F50" s="167">
        <v>1</v>
      </c>
      <c r="G50" s="167" t="s">
        <v>1510</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453</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1510</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1510</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507</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251</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251</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503</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251</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1218</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442</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1218</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1218</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446</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1516</v>
      </c>
      <c r="J60" s="277">
        <f>AVERAGE(J50:J51)</f>
        <v>9406.5450171508364</v>
      </c>
      <c r="L60" s="279">
        <f>AVERAGE(L50:L51)</f>
        <v>376.26180068603344</v>
      </c>
      <c r="O60" s="272">
        <f>AVERAGE(O50:O51)</f>
        <v>153.40092982959615</v>
      </c>
      <c r="S60" s="167">
        <f t="shared" si="23"/>
        <v>6</v>
      </c>
      <c r="T60" s="167" t="s">
        <v>492</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1515</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1514</v>
      </c>
      <c r="J62" s="277">
        <f>AVERAGE(J56:J58)</f>
        <v>13821.111111111109</v>
      </c>
      <c r="L62" s="278">
        <f>AVERAGE(L56:L58)</f>
        <v>460.7037037037037</v>
      </c>
      <c r="O62" s="277">
        <f>AVERAGE(O56:O58)</f>
        <v>131.47936749534924</v>
      </c>
      <c r="S62" s="167">
        <f t="shared" si="23"/>
        <v>7</v>
      </c>
      <c r="T62" s="167" t="s">
        <v>443</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1513</v>
      </c>
      <c r="Z63" s="272">
        <f>SUM(X50:X62)/SUM(Y50:Y62)*1000</f>
        <v>205.56483027267669</v>
      </c>
      <c r="AC63" s="272">
        <f>SUM(X50:X62)/SUM(AB50:AB62)</f>
        <v>31.288406434197366</v>
      </c>
    </row>
    <row r="64" spans="6:31" x14ac:dyDescent="0.25">
      <c r="F64" s="264" t="s">
        <v>156</v>
      </c>
      <c r="S64" s="167">
        <f t="shared" si="23"/>
        <v>8</v>
      </c>
      <c r="T64" s="167" t="s">
        <v>447</v>
      </c>
      <c r="AE64" s="275" t="s">
        <v>1512</v>
      </c>
    </row>
    <row r="65" spans="5:31" x14ac:dyDescent="0.25">
      <c r="G65" s="531" t="s">
        <v>1502</v>
      </c>
      <c r="H65" s="531"/>
      <c r="I65" s="531"/>
      <c r="J65" s="531"/>
      <c r="K65" s="531" t="s">
        <v>1511</v>
      </c>
      <c r="L65" s="531"/>
      <c r="M65" s="531"/>
      <c r="N65" s="531"/>
      <c r="S65" s="167">
        <f t="shared" si="23"/>
        <v>8</v>
      </c>
      <c r="T65" s="167">
        <v>701</v>
      </c>
      <c r="W65" s="167" t="s">
        <v>577</v>
      </c>
      <c r="X65" s="167">
        <v>1200</v>
      </c>
      <c r="Y65" s="167">
        <v>1860</v>
      </c>
      <c r="Z65" s="272">
        <f>X65/Y65*1000</f>
        <v>645.16129032258061</v>
      </c>
      <c r="AA65" s="276">
        <v>0.8</v>
      </c>
      <c r="AB65" s="269">
        <f>Y65*8.76*AA65/1000</f>
        <v>13.034880000000001</v>
      </c>
      <c r="AC65" s="269">
        <f>X65/AB65</f>
        <v>92.060686404477821</v>
      </c>
    </row>
    <row r="66" spans="5:31" x14ac:dyDescent="0.25">
      <c r="G66" s="167" t="s">
        <v>1510</v>
      </c>
      <c r="H66" s="167" t="s">
        <v>251</v>
      </c>
      <c r="I66" s="167" t="s">
        <v>146</v>
      </c>
      <c r="J66" s="167" t="s">
        <v>958</v>
      </c>
      <c r="K66" s="167" t="s">
        <v>1510</v>
      </c>
      <c r="L66" s="167" t="s">
        <v>251</v>
      </c>
      <c r="M66" s="167" t="s">
        <v>146</v>
      </c>
      <c r="N66" s="167" t="s">
        <v>958</v>
      </c>
      <c r="S66" s="167">
        <f t="shared" si="23"/>
        <v>9</v>
      </c>
      <c r="T66" s="167" t="s">
        <v>551</v>
      </c>
    </row>
    <row r="67" spans="5:31" x14ac:dyDescent="0.25">
      <c r="F67" s="167" t="s">
        <v>1509</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1508</v>
      </c>
      <c r="G68" s="272">
        <f>Q52</f>
        <v>281.65793163431329</v>
      </c>
      <c r="H68" s="272">
        <f>Q55</f>
        <v>169.61850971363529</v>
      </c>
      <c r="K68" s="272">
        <f>L52</f>
        <v>690.85057471264361</v>
      </c>
      <c r="L68" s="272">
        <f>L55</f>
        <v>540.4066073697586</v>
      </c>
      <c r="S68" s="167">
        <f t="shared" si="23"/>
        <v>10</v>
      </c>
      <c r="T68" s="167" t="s">
        <v>478</v>
      </c>
      <c r="AE68" s="275" t="s">
        <v>1507</v>
      </c>
    </row>
    <row r="69" spans="5:31" x14ac:dyDescent="0.25">
      <c r="F69" s="167" t="s">
        <v>1506</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1505</v>
      </c>
      <c r="G70" s="272">
        <f>K70*G67/K67</f>
        <v>43.793038821952514</v>
      </c>
      <c r="H70" s="272">
        <f>L70*H67/L67</f>
        <v>21.522496903298855</v>
      </c>
      <c r="J70" s="272"/>
      <c r="K70" s="272">
        <v>107.41556562248512</v>
      </c>
      <c r="L70" s="272">
        <v>68.570933403872985</v>
      </c>
      <c r="S70" s="167">
        <f t="shared" si="23"/>
        <v>11</v>
      </c>
      <c r="T70" s="167" t="s">
        <v>444</v>
      </c>
      <c r="Y70" s="167" t="s">
        <v>155</v>
      </c>
      <c r="Z70" s="167" t="s">
        <v>1504</v>
      </c>
      <c r="AA70" s="167" t="s">
        <v>1503</v>
      </c>
      <c r="AC70" s="167" t="s">
        <v>1502</v>
      </c>
    </row>
    <row r="71" spans="5:31" x14ac:dyDescent="0.25">
      <c r="F71" s="167" t="s">
        <v>523</v>
      </c>
      <c r="I71" s="269">
        <f>AVERAGE(AC50:AC62)</f>
        <v>35.685755914469944</v>
      </c>
      <c r="J71" s="269">
        <f>AC65</f>
        <v>92.060686404477821</v>
      </c>
      <c r="M71" s="272">
        <f>Z63</f>
        <v>205.56483027267669</v>
      </c>
      <c r="N71" s="272">
        <f>AA73</f>
        <v>645.16129032258061</v>
      </c>
      <c r="S71" s="167">
        <f t="shared" si="23"/>
        <v>11</v>
      </c>
      <c r="T71" s="167">
        <v>508</v>
      </c>
      <c r="W71" s="167" t="s">
        <v>1501</v>
      </c>
      <c r="Y71" s="167">
        <v>35.840000000000003</v>
      </c>
      <c r="Z71" s="167">
        <f>SUM(X50:X62)</f>
        <v>7388</v>
      </c>
      <c r="AA71" s="272">
        <f>Z71/Y71</f>
        <v>206.13839285714283</v>
      </c>
      <c r="AB71" s="167" t="s">
        <v>1500</v>
      </c>
    </row>
    <row r="72" spans="5:31" x14ac:dyDescent="0.25">
      <c r="F72" s="167" t="s">
        <v>1464</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471</v>
      </c>
      <c r="W72" s="167" t="s">
        <v>1420</v>
      </c>
      <c r="Y72" s="167">
        <v>0.67</v>
      </c>
      <c r="AA72" s="272">
        <f>Z72/Y72</f>
        <v>0</v>
      </c>
    </row>
    <row r="73" spans="5:31" x14ac:dyDescent="0.25">
      <c r="S73" s="167">
        <f t="shared" si="23"/>
        <v>12</v>
      </c>
      <c r="T73" s="167">
        <v>476</v>
      </c>
      <c r="W73" s="167" t="s">
        <v>1270</v>
      </c>
      <c r="Y73" s="167">
        <v>1.86</v>
      </c>
      <c r="Z73" s="167">
        <f>X65</f>
        <v>1200</v>
      </c>
      <c r="AA73" s="274">
        <f>Z73/Y73</f>
        <v>645.16129032258061</v>
      </c>
    </row>
    <row r="74" spans="5:31" x14ac:dyDescent="0.25">
      <c r="S74" s="167">
        <f t="shared" si="23"/>
        <v>13</v>
      </c>
      <c r="T74" s="167" t="s">
        <v>450</v>
      </c>
      <c r="W74" s="167" t="s">
        <v>1267</v>
      </c>
      <c r="Y74" s="167">
        <v>2.46</v>
      </c>
      <c r="AA74" s="272">
        <f>Z74/Y74</f>
        <v>0</v>
      </c>
    </row>
    <row r="75" spans="5:31" x14ac:dyDescent="0.25">
      <c r="S75" s="167">
        <f t="shared" si="23"/>
        <v>13</v>
      </c>
      <c r="T75" s="167">
        <v>659</v>
      </c>
      <c r="W75" s="167" t="s">
        <v>1427</v>
      </c>
      <c r="Y75" s="167">
        <v>1.58</v>
      </c>
      <c r="AA75" s="272">
        <f>Z75/Y75</f>
        <v>0</v>
      </c>
    </row>
    <row r="76" spans="5:31" x14ac:dyDescent="0.25">
      <c r="S76" s="167">
        <f t="shared" si="23"/>
        <v>14</v>
      </c>
      <c r="T76" s="167" t="s">
        <v>463</v>
      </c>
      <c r="Y76" s="167">
        <f>SUM(Y71:Y75)</f>
        <v>42.410000000000004</v>
      </c>
      <c r="AA76" s="272"/>
    </row>
    <row r="77" spans="5:31" x14ac:dyDescent="0.25">
      <c r="S77" s="167">
        <f t="shared" si="23"/>
        <v>14</v>
      </c>
      <c r="T77" s="167">
        <v>293</v>
      </c>
      <c r="Y77" s="167" t="s">
        <v>155</v>
      </c>
      <c r="Z77" s="167" t="s">
        <v>1499</v>
      </c>
    </row>
    <row r="78" spans="5:31" x14ac:dyDescent="0.25">
      <c r="S78" s="167">
        <f t="shared" si="23"/>
        <v>15</v>
      </c>
      <c r="T78" s="167" t="s">
        <v>455</v>
      </c>
      <c r="W78" s="167" t="s">
        <v>1498</v>
      </c>
      <c r="Y78" s="259">
        <f>G23</f>
        <v>43.910000000000004</v>
      </c>
      <c r="Z78" s="167">
        <f>F104*1000</f>
        <v>15221.333333333334</v>
      </c>
      <c r="AA78" s="272"/>
    </row>
    <row r="79" spans="5:31" x14ac:dyDescent="0.25">
      <c r="S79" s="167">
        <f t="shared" si="23"/>
        <v>15</v>
      </c>
      <c r="T79" s="167">
        <v>649</v>
      </c>
      <c r="W79" s="167" t="s">
        <v>1497</v>
      </c>
      <c r="Y79" s="259">
        <f>Y78-Y73</f>
        <v>42.050000000000004</v>
      </c>
      <c r="Z79" s="167">
        <f>Z78-Z73</f>
        <v>14021.333333333334</v>
      </c>
      <c r="AA79" s="274">
        <f>Z79/Y79</f>
        <v>333.44431232659531</v>
      </c>
      <c r="AB79" s="167" t="s">
        <v>1496</v>
      </c>
      <c r="AC79" s="167">
        <f>AC63/Z63*AA79</f>
        <v>50.752558953819687</v>
      </c>
    </row>
    <row r="80" spans="5:31" x14ac:dyDescent="0.25">
      <c r="E80" s="167" t="s">
        <v>1495</v>
      </c>
    </row>
    <row r="81" spans="5:20" x14ac:dyDescent="0.25">
      <c r="E81" s="167" t="s">
        <v>1494</v>
      </c>
      <c r="S81" s="266" t="s">
        <v>320</v>
      </c>
      <c r="T81" s="271">
        <v>1520</v>
      </c>
    </row>
    <row r="82" spans="5:20" x14ac:dyDescent="0.25">
      <c r="H82" s="167">
        <v>2012</v>
      </c>
      <c r="S82" s="266" t="s">
        <v>318</v>
      </c>
      <c r="T82" s="271">
        <v>360</v>
      </c>
    </row>
    <row r="83" spans="5:20" x14ac:dyDescent="0.25">
      <c r="E83" s="167" t="s">
        <v>1493</v>
      </c>
      <c r="F83" s="167" t="s">
        <v>1489</v>
      </c>
      <c r="G83" s="167" t="s">
        <v>1488</v>
      </c>
      <c r="H83" s="167">
        <v>3.730645</v>
      </c>
      <c r="S83" s="266" t="s">
        <v>316</v>
      </c>
      <c r="T83" s="271">
        <v>200</v>
      </c>
    </row>
    <row r="84" spans="5:20" x14ac:dyDescent="0.25">
      <c r="E84" s="167" t="s">
        <v>1492</v>
      </c>
      <c r="F84" s="167" t="s">
        <v>1489</v>
      </c>
      <c r="G84" s="167" t="s">
        <v>1488</v>
      </c>
      <c r="H84" s="167">
        <v>4.2457479999999999</v>
      </c>
      <c r="S84" s="266" t="s">
        <v>314</v>
      </c>
      <c r="T84" s="271">
        <v>2220</v>
      </c>
    </row>
    <row r="85" spans="5:20" x14ac:dyDescent="0.25">
      <c r="E85" s="167" t="s">
        <v>1491</v>
      </c>
      <c r="F85" s="167" t="s">
        <v>1489</v>
      </c>
      <c r="G85" s="167" t="s">
        <v>1488</v>
      </c>
      <c r="H85" s="167">
        <v>14.047689</v>
      </c>
      <c r="S85" s="266" t="s">
        <v>312</v>
      </c>
      <c r="T85" s="271">
        <v>3480</v>
      </c>
    </row>
    <row r="86" spans="5:20" x14ac:dyDescent="0.25">
      <c r="E86" s="167" t="s">
        <v>1490</v>
      </c>
      <c r="F86" s="167" t="s">
        <v>1489</v>
      </c>
      <c r="G86" s="167" t="s">
        <v>1488</v>
      </c>
      <c r="H86" s="167">
        <v>50.291947999999998</v>
      </c>
      <c r="S86" s="266" t="s">
        <v>310</v>
      </c>
      <c r="T86" s="271">
        <v>1900</v>
      </c>
    </row>
    <row r="87" spans="5:20" x14ac:dyDescent="0.25">
      <c r="S87" s="266" t="s">
        <v>308</v>
      </c>
      <c r="T87" s="271">
        <v>3840</v>
      </c>
    </row>
    <row r="88" spans="5:20" x14ac:dyDescent="0.25">
      <c r="E88" s="167" t="s">
        <v>116</v>
      </c>
      <c r="H88" s="269">
        <f>SUM(H83:H86)</f>
        <v>72.316029999999998</v>
      </c>
      <c r="S88" s="266" t="s">
        <v>306</v>
      </c>
      <c r="T88" s="271">
        <v>2880</v>
      </c>
    </row>
    <row r="89" spans="5:20" x14ac:dyDescent="0.25">
      <c r="E89" s="167" t="s">
        <v>1487</v>
      </c>
      <c r="H89" s="167">
        <v>44</v>
      </c>
      <c r="S89" s="266" t="s">
        <v>304</v>
      </c>
      <c r="T89" s="271">
        <v>3540</v>
      </c>
    </row>
    <row r="90" spans="5:20" x14ac:dyDescent="0.25">
      <c r="E90" s="167" t="s">
        <v>1486</v>
      </c>
      <c r="H90" s="272">
        <f>H88-H89</f>
        <v>28.316029999999998</v>
      </c>
      <c r="S90" s="266" t="s">
        <v>302</v>
      </c>
      <c r="T90" s="271">
        <v>1830</v>
      </c>
    </row>
    <row r="91" spans="5:20" x14ac:dyDescent="0.25">
      <c r="E91" s="167" t="s">
        <v>1485</v>
      </c>
      <c r="H91" s="272">
        <f>H90</f>
        <v>28.316029999999998</v>
      </c>
      <c r="S91" s="266" t="s">
        <v>300</v>
      </c>
      <c r="T91" s="271">
        <v>2010</v>
      </c>
    </row>
    <row r="92" spans="5:20" x14ac:dyDescent="0.25">
      <c r="S92" s="266" t="s">
        <v>298</v>
      </c>
      <c r="T92" s="273">
        <v>3720</v>
      </c>
    </row>
    <row r="93" spans="5:20" x14ac:dyDescent="0.25">
      <c r="E93" s="167" t="s">
        <v>1484</v>
      </c>
      <c r="H93" s="272">
        <f>H89-H91</f>
        <v>15.683970000000002</v>
      </c>
      <c r="S93" s="266" t="s">
        <v>296</v>
      </c>
      <c r="T93" s="271">
        <v>3480</v>
      </c>
    </row>
    <row r="94" spans="5:20" x14ac:dyDescent="0.25">
      <c r="E94" s="167" t="s">
        <v>1477</v>
      </c>
      <c r="H94" s="269">
        <f>SUM(X50:X65)/1000</f>
        <v>8.5879999999999992</v>
      </c>
      <c r="S94" s="266" t="s">
        <v>294</v>
      </c>
      <c r="T94" s="273">
        <v>3540</v>
      </c>
    </row>
    <row r="95" spans="5:20" x14ac:dyDescent="0.25">
      <c r="E95" s="167" t="s">
        <v>1483</v>
      </c>
      <c r="H95" s="272">
        <f>H93-H94</f>
        <v>7.095970000000003</v>
      </c>
      <c r="S95" s="266" t="s">
        <v>1482</v>
      </c>
      <c r="T95" s="271">
        <v>50</v>
      </c>
    </row>
    <row r="96" spans="5:20" x14ac:dyDescent="0.25">
      <c r="S96" s="266" t="s">
        <v>292</v>
      </c>
      <c r="T96" s="271">
        <v>160</v>
      </c>
    </row>
    <row r="97" spans="5:20" x14ac:dyDescent="0.25">
      <c r="S97" s="266" t="s">
        <v>1481</v>
      </c>
      <c r="T97" s="271">
        <v>90</v>
      </c>
    </row>
    <row r="98" spans="5:20" x14ac:dyDescent="0.25">
      <c r="E98" s="167" t="s">
        <v>1480</v>
      </c>
      <c r="I98" s="167" t="s">
        <v>1479</v>
      </c>
      <c r="S98" s="266" t="s">
        <v>1478</v>
      </c>
      <c r="T98" s="271">
        <v>180</v>
      </c>
    </row>
    <row r="99" spans="5:20" x14ac:dyDescent="0.25">
      <c r="F99" s="167" t="s">
        <v>1477</v>
      </c>
      <c r="G99" s="167" t="s">
        <v>129</v>
      </c>
      <c r="H99" s="167" t="s">
        <v>1476</v>
      </c>
      <c r="I99" s="167" t="s">
        <v>1475</v>
      </c>
      <c r="J99" s="167" t="s">
        <v>1474</v>
      </c>
      <c r="K99" s="167" t="s">
        <v>1473</v>
      </c>
      <c r="L99" s="167" t="s">
        <v>1472</v>
      </c>
      <c r="M99" s="167" t="s">
        <v>1471</v>
      </c>
      <c r="N99" s="167" t="s">
        <v>116</v>
      </c>
      <c r="S99" s="266" t="s">
        <v>1470</v>
      </c>
      <c r="T99" s="271">
        <v>150</v>
      </c>
    </row>
    <row r="100" spans="5:20" x14ac:dyDescent="0.25">
      <c r="E100" s="167" t="s">
        <v>1469</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1468</v>
      </c>
      <c r="T100" s="271">
        <v>500</v>
      </c>
    </row>
    <row r="101" spans="5:20" x14ac:dyDescent="0.25">
      <c r="E101" s="167" t="s">
        <v>1467</v>
      </c>
      <c r="F101" s="167">
        <v>12.42</v>
      </c>
      <c r="G101" s="167">
        <v>1.67</v>
      </c>
      <c r="I101" s="167">
        <f>44-F101-G101-M101</f>
        <v>7.8299999999999983</v>
      </c>
      <c r="M101" s="167">
        <v>22.08</v>
      </c>
      <c r="N101" s="167">
        <f>SUM(F101:M101)</f>
        <v>44</v>
      </c>
      <c r="S101" s="266" t="s">
        <v>290</v>
      </c>
      <c r="T101" s="266">
        <v>180</v>
      </c>
    </row>
    <row r="102" spans="5:20" x14ac:dyDescent="0.25">
      <c r="E102" s="167" t="s">
        <v>1466</v>
      </c>
      <c r="F102" s="167">
        <v>1.08</v>
      </c>
      <c r="I102" s="269">
        <f>H88-68.6</f>
        <v>3.7160300000000035</v>
      </c>
      <c r="M102" s="167">
        <v>23.48</v>
      </c>
      <c r="N102" s="167">
        <f>SUM(F102:M102)</f>
        <v>28.276030000000006</v>
      </c>
      <c r="S102" s="266" t="s">
        <v>290</v>
      </c>
      <c r="T102" s="266">
        <v>1350</v>
      </c>
    </row>
    <row r="103" spans="5:20" x14ac:dyDescent="0.25">
      <c r="E103" s="167" t="s">
        <v>1465</v>
      </c>
      <c r="F103" s="261">
        <f>F101+F102</f>
        <v>13.5</v>
      </c>
      <c r="G103" s="167">
        <f>G101+G102</f>
        <v>1.67</v>
      </c>
      <c r="I103" s="167">
        <f>I101+I102</f>
        <v>11.546030000000002</v>
      </c>
      <c r="M103" s="167">
        <f>M101+M102</f>
        <v>45.56</v>
      </c>
      <c r="N103" s="269">
        <f>N101+N102</f>
        <v>72.276030000000006</v>
      </c>
      <c r="S103" s="266" t="s">
        <v>290</v>
      </c>
      <c r="T103" s="266">
        <v>750</v>
      </c>
    </row>
    <row r="104" spans="5:20" x14ac:dyDescent="0.25">
      <c r="E104" s="167" t="s">
        <v>1464</v>
      </c>
      <c r="F104" s="259">
        <f>F103+K100/3</f>
        <v>15.221333333333334</v>
      </c>
      <c r="H104" s="259">
        <f>N103-62.503</f>
        <v>9.7730300000000057</v>
      </c>
      <c r="M104" s="259">
        <f>M103+K100/3</f>
        <v>47.281333333333336</v>
      </c>
      <c r="N104" s="259">
        <f>SUM(F104:M104)</f>
        <v>72.275696666666676</v>
      </c>
      <c r="S104" s="266" t="s">
        <v>290</v>
      </c>
      <c r="T104" s="266">
        <v>180</v>
      </c>
    </row>
    <row r="105" spans="5:20" x14ac:dyDescent="0.25">
      <c r="F105" s="262">
        <f>F104/$N$104</f>
        <v>0.21060099086327264</v>
      </c>
      <c r="H105" s="262">
        <f>M104/$N$104</f>
        <v>0.65418025026300908</v>
      </c>
      <c r="M105" s="270">
        <f>H104/$N$104</f>
        <v>0.13521875887371829</v>
      </c>
      <c r="S105" s="266" t="s">
        <v>286</v>
      </c>
      <c r="T105" s="266">
        <v>1500</v>
      </c>
    </row>
    <row r="106" spans="5:20" x14ac:dyDescent="0.25">
      <c r="E106" s="167" t="s">
        <v>1463</v>
      </c>
      <c r="F106" s="262"/>
      <c r="G106" s="262"/>
      <c r="H106" s="269">
        <v>40.991365439999996</v>
      </c>
      <c r="S106" s="266"/>
      <c r="T106" s="266"/>
    </row>
    <row r="107" spans="5:20" x14ac:dyDescent="0.25">
      <c r="F107" s="262"/>
      <c r="G107" s="262"/>
      <c r="H107" s="262"/>
      <c r="S107" s="266"/>
      <c r="T107" s="266"/>
    </row>
    <row r="108" spans="5:20" x14ac:dyDescent="0.25">
      <c r="E108" s="167" t="s">
        <v>1462</v>
      </c>
      <c r="G108" s="167" t="s">
        <v>155</v>
      </c>
      <c r="H108" s="167">
        <f>ElecBY!F77</f>
        <v>34.200000000000003</v>
      </c>
      <c r="S108" s="266" t="s">
        <v>1458</v>
      </c>
      <c r="T108" s="266">
        <v>65</v>
      </c>
    </row>
    <row r="109" spans="5:20" x14ac:dyDescent="0.25">
      <c r="E109" s="167" t="s">
        <v>1461</v>
      </c>
      <c r="G109" s="268" t="s">
        <v>1460</v>
      </c>
      <c r="H109" s="167">
        <f>G103/H108</f>
        <v>4.8830409356725141E-2</v>
      </c>
      <c r="S109" s="266" t="s">
        <v>1458</v>
      </c>
      <c r="T109" s="266">
        <v>360</v>
      </c>
    </row>
    <row r="110" spans="5:20" x14ac:dyDescent="0.25">
      <c r="E110" s="167" t="s">
        <v>1459</v>
      </c>
      <c r="H110" s="267">
        <f>H104/H108</f>
        <v>0.28576111111111124</v>
      </c>
      <c r="S110" s="266" t="s">
        <v>1458</v>
      </c>
      <c r="T110" s="266">
        <v>240</v>
      </c>
    </row>
    <row r="111" spans="5:20" x14ac:dyDescent="0.25">
      <c r="S111" s="266" t="s">
        <v>284</v>
      </c>
      <c r="T111" s="265">
        <v>1860</v>
      </c>
    </row>
    <row r="113" spans="5:14" x14ac:dyDescent="0.25">
      <c r="E113" s="167" t="s">
        <v>1457</v>
      </c>
    </row>
    <row r="115" spans="5:14" x14ac:dyDescent="0.25">
      <c r="E115" s="264" t="s">
        <v>1456</v>
      </c>
      <c r="F115" s="167" t="s">
        <v>1455</v>
      </c>
    </row>
    <row r="116" spans="5:14" x14ac:dyDescent="0.25">
      <c r="E116" s="167" t="s">
        <v>735</v>
      </c>
      <c r="F116" s="167">
        <v>31.005621000000001</v>
      </c>
    </row>
    <row r="117" spans="5:14" x14ac:dyDescent="0.25">
      <c r="E117" s="167" t="s">
        <v>1454</v>
      </c>
      <c r="F117" s="167">
        <v>0.108553</v>
      </c>
    </row>
    <row r="118" spans="5:14" x14ac:dyDescent="0.25">
      <c r="E118" s="167" t="s">
        <v>1453</v>
      </c>
      <c r="F118" s="167">
        <v>1.1249999999999999E-3</v>
      </c>
    </row>
    <row r="119" spans="5:14" x14ac:dyDescent="0.25">
      <c r="E119" s="167" t="s">
        <v>1452</v>
      </c>
      <c r="F119" s="167">
        <v>3.1538999999999998E-2</v>
      </c>
    </row>
    <row r="120" spans="5:14" x14ac:dyDescent="0.25">
      <c r="E120" s="167" t="s">
        <v>1156</v>
      </c>
      <c r="F120" s="167">
        <v>0.32746700000000001</v>
      </c>
    </row>
    <row r="121" spans="5:14" x14ac:dyDescent="0.25">
      <c r="E121" s="167" t="s">
        <v>1451</v>
      </c>
      <c r="F121" s="167">
        <v>6.1600000000000001E-4</v>
      </c>
    </row>
    <row r="122" spans="5:14" x14ac:dyDescent="0.25">
      <c r="E122" s="167" t="s">
        <v>1450</v>
      </c>
      <c r="F122" s="167">
        <v>1.2408000000000001E-2</v>
      </c>
    </row>
    <row r="123" spans="5:14" x14ac:dyDescent="0.25">
      <c r="E123" s="167" t="s">
        <v>1449</v>
      </c>
      <c r="F123" s="167">
        <v>1.0300000000000001E-3</v>
      </c>
    </row>
    <row r="124" spans="5:14" x14ac:dyDescent="0.25">
      <c r="E124" s="167" t="s">
        <v>116</v>
      </c>
      <c r="F124" s="167">
        <f>SUM(F116:F123)</f>
        <v>31.488358999999999</v>
      </c>
    </row>
    <row r="126" spans="5:14" x14ac:dyDescent="0.25">
      <c r="F126" s="167" t="s">
        <v>1448</v>
      </c>
      <c r="G126" s="167">
        <v>0.6</v>
      </c>
      <c r="I126" s="167">
        <f>1-G126</f>
        <v>0.4</v>
      </c>
    </row>
    <row r="127" spans="5:14" ht="30" customHeight="1" x14ac:dyDescent="0.25">
      <c r="E127" s="263" t="s">
        <v>1447</v>
      </c>
      <c r="F127" s="263" t="s">
        <v>1446</v>
      </c>
      <c r="G127" s="263" t="s">
        <v>1444</v>
      </c>
      <c r="H127" s="263" t="s">
        <v>1445</v>
      </c>
      <c r="I127" s="263" t="s">
        <v>1444</v>
      </c>
      <c r="J127" s="263" t="s">
        <v>1443</v>
      </c>
      <c r="K127" s="263" t="s">
        <v>1442</v>
      </c>
      <c r="L127" s="263" t="s">
        <v>1441</v>
      </c>
      <c r="M127" s="263" t="s">
        <v>1440</v>
      </c>
    </row>
    <row r="128" spans="5:14" x14ac:dyDescent="0.25">
      <c r="E128" s="167" t="s">
        <v>1263</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1265</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1259</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1264</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1262</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1692</v>
      </c>
      <c r="C7" s="289" t="s">
        <v>1691</v>
      </c>
      <c r="D7" s="289" t="s">
        <v>1690</v>
      </c>
      <c r="E7" s="289" t="s">
        <v>1689</v>
      </c>
      <c r="F7" s="289" t="s">
        <v>1688</v>
      </c>
      <c r="G7" s="289" t="s">
        <v>1687</v>
      </c>
      <c r="H7" s="289" t="s">
        <v>1686</v>
      </c>
      <c r="I7" s="289" t="s">
        <v>1685</v>
      </c>
      <c r="J7" s="289" t="s">
        <v>1684</v>
      </c>
      <c r="K7" s="289" t="s">
        <v>1683</v>
      </c>
      <c r="L7" s="289" t="s">
        <v>1682</v>
      </c>
      <c r="M7" s="289" t="s">
        <v>1681</v>
      </c>
      <c r="N7" s="289" t="s">
        <v>1680</v>
      </c>
      <c r="O7" s="289" t="s">
        <v>1679</v>
      </c>
      <c r="P7" s="289" t="s">
        <v>1678</v>
      </c>
      <c r="Q7" s="289" t="s">
        <v>1677</v>
      </c>
      <c r="R7" s="289" t="s">
        <v>1676</v>
      </c>
      <c r="S7" s="289" t="s">
        <v>1675</v>
      </c>
      <c r="T7" s="289" t="s">
        <v>1674</v>
      </c>
      <c r="U7" s="289" t="s">
        <v>1673</v>
      </c>
      <c r="V7" s="289" t="s">
        <v>1672</v>
      </c>
      <c r="W7" s="289" t="s">
        <v>1671</v>
      </c>
      <c r="X7" s="289" t="s">
        <v>1670</v>
      </c>
      <c r="Y7" s="289" t="s">
        <v>1669</v>
      </c>
      <c r="Z7" s="289" t="s">
        <v>1668</v>
      </c>
      <c r="AA7" s="289" t="s">
        <v>1667</v>
      </c>
      <c r="AB7" s="289" t="s">
        <v>1666</v>
      </c>
      <c r="AC7" s="289" t="s">
        <v>1665</v>
      </c>
      <c r="AD7" s="289" t="s">
        <v>1664</v>
      </c>
      <c r="AE7" s="289" t="s">
        <v>1663</v>
      </c>
      <c r="AF7" s="289" t="s">
        <v>1662</v>
      </c>
      <c r="AG7" s="289" t="s">
        <v>1661</v>
      </c>
      <c r="AH7" s="289" t="s">
        <v>1660</v>
      </c>
      <c r="AI7" s="289" t="s">
        <v>1659</v>
      </c>
      <c r="AJ7" s="289" t="s">
        <v>1658</v>
      </c>
      <c r="AK7" s="289" t="s">
        <v>1657</v>
      </c>
      <c r="AL7" s="289" t="s">
        <v>1656</v>
      </c>
      <c r="AM7" s="289" t="s">
        <v>1655</v>
      </c>
      <c r="AN7" s="289" t="s">
        <v>1654</v>
      </c>
      <c r="AO7" s="289" t="s">
        <v>1653</v>
      </c>
      <c r="AP7" s="289" t="s">
        <v>1652</v>
      </c>
      <c r="AQ7" s="289" t="s">
        <v>1651</v>
      </c>
      <c r="AR7" s="289" t="s">
        <v>1650</v>
      </c>
      <c r="AS7" s="289" t="s">
        <v>1649</v>
      </c>
      <c r="AT7" s="289" t="s">
        <v>1648</v>
      </c>
      <c r="AU7" s="289" t="s">
        <v>1647</v>
      </c>
      <c r="AV7" s="289" t="s">
        <v>1646</v>
      </c>
      <c r="AW7" s="289" t="s">
        <v>1645</v>
      </c>
      <c r="AX7" s="289" t="s">
        <v>1644</v>
      </c>
      <c r="AY7" s="289" t="s">
        <v>1643</v>
      </c>
      <c r="AZ7" s="289" t="s">
        <v>1642</v>
      </c>
      <c r="BA7" s="289" t="s">
        <v>1641</v>
      </c>
      <c r="BB7" s="289" t="s">
        <v>1640</v>
      </c>
      <c r="BC7" s="289" t="s">
        <v>1639</v>
      </c>
      <c r="BD7" s="289" t="s">
        <v>1638</v>
      </c>
      <c r="BE7" s="289" t="s">
        <v>1637</v>
      </c>
      <c r="BF7" s="289" t="s">
        <v>1636</v>
      </c>
      <c r="BG7" s="289" t="s">
        <v>1635</v>
      </c>
      <c r="BH7" s="289" t="s">
        <v>1634</v>
      </c>
      <c r="BI7" s="289" t="s">
        <v>1633</v>
      </c>
      <c r="BJ7" s="289" t="s">
        <v>1632</v>
      </c>
      <c r="BK7" s="289" t="s">
        <v>1631</v>
      </c>
      <c r="BL7" s="289" t="s">
        <v>1630</v>
      </c>
      <c r="BM7" s="289" t="s">
        <v>1629</v>
      </c>
      <c r="BN7" s="289" t="s">
        <v>1628</v>
      </c>
      <c r="BO7" s="289" t="s">
        <v>1627</v>
      </c>
      <c r="BP7" s="289" t="s">
        <v>1626</v>
      </c>
      <c r="BQ7" s="289" t="s">
        <v>1625</v>
      </c>
      <c r="BR7" s="289" t="s">
        <v>1624</v>
      </c>
      <c r="BS7" s="289" t="s">
        <v>1623</v>
      </c>
      <c r="BT7" s="289" t="s">
        <v>1622</v>
      </c>
      <c r="BU7" s="289" t="s">
        <v>1621</v>
      </c>
      <c r="BV7" s="289" t="s">
        <v>1620</v>
      </c>
      <c r="BW7" s="289" t="s">
        <v>1619</v>
      </c>
      <c r="BX7" s="289" t="s">
        <v>1618</v>
      </c>
      <c r="BY7" s="289" t="s">
        <v>1617</v>
      </c>
      <c r="BZ7" s="289" t="s">
        <v>1616</v>
      </c>
      <c r="CA7" s="289" t="s">
        <v>1615</v>
      </c>
      <c r="CB7" s="289" t="s">
        <v>1614</v>
      </c>
      <c r="CC7" s="289" t="s">
        <v>1613</v>
      </c>
      <c r="CD7" s="289" t="s">
        <v>1612</v>
      </c>
      <c r="CE7" s="289" t="s">
        <v>1611</v>
      </c>
      <c r="CF7" s="289" t="s">
        <v>1610</v>
      </c>
      <c r="CG7" s="289" t="s">
        <v>1609</v>
      </c>
      <c r="CH7" s="289" t="s">
        <v>1608</v>
      </c>
      <c r="CI7" s="289" t="s">
        <v>1607</v>
      </c>
      <c r="CJ7" s="289" t="s">
        <v>1606</v>
      </c>
      <c r="CK7" s="289" t="s">
        <v>1605</v>
      </c>
      <c r="CL7" s="289" t="s">
        <v>1604</v>
      </c>
      <c r="CM7" s="289" t="s">
        <v>1603</v>
      </c>
      <c r="CN7" s="289" t="s">
        <v>1602</v>
      </c>
      <c r="CO7" s="289" t="s">
        <v>1601</v>
      </c>
      <c r="CP7" s="289" t="s">
        <v>1600</v>
      </c>
      <c r="CQ7" s="289" t="s">
        <v>1599</v>
      </c>
      <c r="CR7" s="289" t="s">
        <v>1598</v>
      </c>
      <c r="CS7" s="289" t="s">
        <v>1597</v>
      </c>
      <c r="CT7" s="289" t="s">
        <v>1596</v>
      </c>
      <c r="CU7" s="289" t="s">
        <v>1595</v>
      </c>
      <c r="CV7" s="289" t="s">
        <v>1594</v>
      </c>
      <c r="CW7" s="289" t="s">
        <v>1593</v>
      </c>
      <c r="CX7" s="289" t="s">
        <v>1592</v>
      </c>
      <c r="CY7" s="289" t="s">
        <v>1591</v>
      </c>
      <c r="CZ7" s="289" t="s">
        <v>1590</v>
      </c>
      <c r="DA7" s="289" t="s">
        <v>1589</v>
      </c>
      <c r="DB7" s="289" t="s">
        <v>1588</v>
      </c>
      <c r="DC7" s="289" t="s">
        <v>1587</v>
      </c>
      <c r="DD7" s="289" t="s">
        <v>1493</v>
      </c>
      <c r="DE7" s="289" t="s">
        <v>1492</v>
      </c>
      <c r="DF7" s="289" t="s">
        <v>1491</v>
      </c>
      <c r="DG7" s="289" t="s">
        <v>1490</v>
      </c>
      <c r="DH7" s="289" t="s">
        <v>1586</v>
      </c>
      <c r="DI7" s="289" t="s">
        <v>1585</v>
      </c>
      <c r="DJ7" s="289" t="s">
        <v>1584</v>
      </c>
      <c r="DK7" s="289" t="s">
        <v>1583</v>
      </c>
      <c r="DL7" s="289" t="s">
        <v>1582</v>
      </c>
      <c r="DM7" s="289" t="s">
        <v>1581</v>
      </c>
      <c r="DN7" s="289" t="s">
        <v>1580</v>
      </c>
      <c r="DO7" s="289" t="s">
        <v>1579</v>
      </c>
      <c r="DP7" s="289" t="s">
        <v>1578</v>
      </c>
      <c r="DQ7" s="289" t="s">
        <v>1577</v>
      </c>
      <c r="DR7" s="289" t="s">
        <v>1576</v>
      </c>
      <c r="DS7" s="289" t="s">
        <v>1575</v>
      </c>
      <c r="DT7" s="289" t="s">
        <v>1574</v>
      </c>
      <c r="DU7" s="289" t="s">
        <v>1573</v>
      </c>
      <c r="DV7" s="289" t="s">
        <v>1572</v>
      </c>
      <c r="DW7" s="289" t="s">
        <v>1571</v>
      </c>
      <c r="DX7" s="289" t="s">
        <v>1570</v>
      </c>
      <c r="DY7" s="289" t="s">
        <v>1569</v>
      </c>
      <c r="DZ7" s="289" t="s">
        <v>1568</v>
      </c>
      <c r="EA7" s="289" t="s">
        <v>1567</v>
      </c>
      <c r="EB7" s="289" t="s">
        <v>1566</v>
      </c>
      <c r="EC7" s="289" t="s">
        <v>1565</v>
      </c>
      <c r="ED7" s="289" t="s">
        <v>1564</v>
      </c>
      <c r="EE7" s="289" t="s">
        <v>1563</v>
      </c>
      <c r="EF7" s="289" t="s">
        <v>1562</v>
      </c>
      <c r="EG7" s="289" t="s">
        <v>1561</v>
      </c>
      <c r="EH7" s="289" t="s">
        <v>1560</v>
      </c>
      <c r="EI7" s="289" t="s">
        <v>1559</v>
      </c>
      <c r="EJ7" s="289" t="s">
        <v>1558</v>
      </c>
      <c r="EK7" s="289" t="s">
        <v>1557</v>
      </c>
      <c r="EL7" s="289" t="s">
        <v>1556</v>
      </c>
    </row>
    <row r="8" spans="1:142" x14ac:dyDescent="0.25">
      <c r="A8" s="289" t="s">
        <v>1692</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1691</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1690</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1689</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1688</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1687</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1686</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1685</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1684</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1683</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1682</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1681</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1680</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1679</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1678</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1677</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1676</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1675</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1674</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1673</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1672</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1671</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1670</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1669</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1668</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1667</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1666</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1665</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1664</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1663</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1662</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1661</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1660</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1659</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1658</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1657</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1656</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1655</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1654</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1653</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1652</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1651</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1650</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1649</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1648</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1647</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1646</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1645</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1644</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1643</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1642</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1641</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1640</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1639</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1638</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1637</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1636</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1635</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1634</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1633</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1632</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1631</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1630</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1629</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1628</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1627</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1626</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1625</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1624</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1623</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1622</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1621</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1620</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1619</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1618</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1617</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1616</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1615</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1614</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1613</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1612</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1611</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1610</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1609</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1608</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1607</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1606</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1605</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1604</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1603</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1602</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1601</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1600</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1599</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1598</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1597</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1596</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1595</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1594</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1593</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1592</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1591</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1590</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1589</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1588</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1587</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1493</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1492</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1491</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1490</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1586</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1585</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1584</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1583</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1582</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1581</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1580</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1579</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1578</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1577</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1576</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1575</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1574</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1573</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1572</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1571</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1570</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1569</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1568</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1567</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1566</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1565</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1564</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1563</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1562</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1561</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1560</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1559</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1558</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1557</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1556</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1692</v>
      </c>
      <c r="B155" s="266">
        <f t="shared" ref="B155:B186" si="0">MATCH(A155,$A$8:$A$148,0)</f>
        <v>1</v>
      </c>
    </row>
    <row r="156" spans="1:142" x14ac:dyDescent="0.25">
      <c r="A156" s="289" t="s">
        <v>1691</v>
      </c>
      <c r="B156" s="266">
        <f t="shared" si="0"/>
        <v>2</v>
      </c>
    </row>
    <row r="157" spans="1:142" x14ac:dyDescent="0.25">
      <c r="A157" s="289" t="s">
        <v>1690</v>
      </c>
      <c r="B157" s="266">
        <f t="shared" si="0"/>
        <v>3</v>
      </c>
    </row>
    <row r="158" spans="1:142" x14ac:dyDescent="0.25">
      <c r="A158" s="289" t="s">
        <v>1689</v>
      </c>
      <c r="B158" s="266">
        <f t="shared" si="0"/>
        <v>4</v>
      </c>
    </row>
    <row r="159" spans="1:142" x14ac:dyDescent="0.25">
      <c r="A159" s="289" t="s">
        <v>1688</v>
      </c>
      <c r="B159" s="266">
        <f t="shared" si="0"/>
        <v>5</v>
      </c>
    </row>
    <row r="160" spans="1:142" x14ac:dyDescent="0.25">
      <c r="A160" s="289" t="s">
        <v>1687</v>
      </c>
      <c r="B160" s="266">
        <f t="shared" si="0"/>
        <v>6</v>
      </c>
    </row>
    <row r="161" spans="1:2" x14ac:dyDescent="0.25">
      <c r="A161" s="289" t="s">
        <v>1686</v>
      </c>
      <c r="B161" s="266">
        <f t="shared" si="0"/>
        <v>7</v>
      </c>
    </row>
    <row r="162" spans="1:2" x14ac:dyDescent="0.25">
      <c r="A162" s="289" t="s">
        <v>1685</v>
      </c>
      <c r="B162" s="266">
        <f t="shared" si="0"/>
        <v>8</v>
      </c>
    </row>
    <row r="163" spans="1:2" x14ac:dyDescent="0.25">
      <c r="A163" s="289" t="s">
        <v>1684</v>
      </c>
      <c r="B163" s="266">
        <f t="shared" si="0"/>
        <v>9</v>
      </c>
    </row>
    <row r="164" spans="1:2" x14ac:dyDescent="0.25">
      <c r="A164" s="289" t="s">
        <v>1683</v>
      </c>
      <c r="B164" s="266">
        <f t="shared" si="0"/>
        <v>10</v>
      </c>
    </row>
    <row r="165" spans="1:2" x14ac:dyDescent="0.25">
      <c r="A165" s="289" t="s">
        <v>1682</v>
      </c>
      <c r="B165" s="266">
        <f t="shared" si="0"/>
        <v>11</v>
      </c>
    </row>
    <row r="166" spans="1:2" x14ac:dyDescent="0.25">
      <c r="A166" s="289" t="s">
        <v>1681</v>
      </c>
      <c r="B166" s="266">
        <f t="shared" si="0"/>
        <v>12</v>
      </c>
    </row>
    <row r="167" spans="1:2" x14ac:dyDescent="0.25">
      <c r="A167" s="289" t="s">
        <v>1680</v>
      </c>
      <c r="B167" s="266">
        <f t="shared" si="0"/>
        <v>13</v>
      </c>
    </row>
    <row r="168" spans="1:2" x14ac:dyDescent="0.25">
      <c r="A168" s="289" t="s">
        <v>1679</v>
      </c>
      <c r="B168" s="266">
        <f t="shared" si="0"/>
        <v>14</v>
      </c>
    </row>
    <row r="169" spans="1:2" x14ac:dyDescent="0.25">
      <c r="A169" s="289" t="s">
        <v>1678</v>
      </c>
      <c r="B169" s="266">
        <f t="shared" si="0"/>
        <v>15</v>
      </c>
    </row>
    <row r="170" spans="1:2" x14ac:dyDescent="0.25">
      <c r="A170" s="289" t="s">
        <v>1677</v>
      </c>
      <c r="B170" s="266">
        <f t="shared" si="0"/>
        <v>16</v>
      </c>
    </row>
    <row r="171" spans="1:2" x14ac:dyDescent="0.25">
      <c r="A171" s="289" t="s">
        <v>1676</v>
      </c>
      <c r="B171" s="266">
        <f t="shared" si="0"/>
        <v>17</v>
      </c>
    </row>
    <row r="172" spans="1:2" x14ac:dyDescent="0.25">
      <c r="A172" s="289" t="s">
        <v>1675</v>
      </c>
      <c r="B172" s="266">
        <f t="shared" si="0"/>
        <v>18</v>
      </c>
    </row>
    <row r="173" spans="1:2" x14ac:dyDescent="0.25">
      <c r="A173" s="289" t="s">
        <v>1674</v>
      </c>
      <c r="B173" s="266">
        <f t="shared" si="0"/>
        <v>19</v>
      </c>
    </row>
    <row r="174" spans="1:2" x14ac:dyDescent="0.25">
      <c r="A174" s="289" t="s">
        <v>1673</v>
      </c>
      <c r="B174" s="266">
        <f t="shared" si="0"/>
        <v>20</v>
      </c>
    </row>
    <row r="175" spans="1:2" x14ac:dyDescent="0.25">
      <c r="A175" s="289" t="s">
        <v>1672</v>
      </c>
      <c r="B175" s="266">
        <f t="shared" si="0"/>
        <v>21</v>
      </c>
    </row>
    <row r="176" spans="1:2" x14ac:dyDescent="0.25">
      <c r="A176" s="289" t="s">
        <v>1671</v>
      </c>
      <c r="B176" s="266">
        <f t="shared" si="0"/>
        <v>22</v>
      </c>
    </row>
    <row r="177" spans="1:2" x14ac:dyDescent="0.25">
      <c r="A177" s="289" t="s">
        <v>1670</v>
      </c>
      <c r="B177" s="266">
        <f t="shared" si="0"/>
        <v>23</v>
      </c>
    </row>
    <row r="178" spans="1:2" x14ac:dyDescent="0.25">
      <c r="A178" s="289" t="s">
        <v>1669</v>
      </c>
      <c r="B178" s="266">
        <f t="shared" si="0"/>
        <v>24</v>
      </c>
    </row>
    <row r="179" spans="1:2" x14ac:dyDescent="0.25">
      <c r="A179" s="289" t="s">
        <v>1668</v>
      </c>
      <c r="B179" s="266">
        <f t="shared" si="0"/>
        <v>25</v>
      </c>
    </row>
    <row r="180" spans="1:2" x14ac:dyDescent="0.25">
      <c r="A180" s="289" t="s">
        <v>1667</v>
      </c>
      <c r="B180" s="266">
        <f t="shared" si="0"/>
        <v>26</v>
      </c>
    </row>
    <row r="181" spans="1:2" x14ac:dyDescent="0.25">
      <c r="A181" s="289" t="s">
        <v>1666</v>
      </c>
      <c r="B181" s="266">
        <f t="shared" si="0"/>
        <v>27</v>
      </c>
    </row>
    <row r="182" spans="1:2" x14ac:dyDescent="0.25">
      <c r="A182" s="289" t="s">
        <v>1665</v>
      </c>
      <c r="B182" s="266">
        <f t="shared" si="0"/>
        <v>28</v>
      </c>
    </row>
    <row r="183" spans="1:2" x14ac:dyDescent="0.25">
      <c r="A183" s="289" t="s">
        <v>1664</v>
      </c>
      <c r="B183" s="266">
        <f t="shared" si="0"/>
        <v>29</v>
      </c>
    </row>
    <row r="184" spans="1:2" x14ac:dyDescent="0.25">
      <c r="A184" s="289" t="s">
        <v>1663</v>
      </c>
      <c r="B184" s="266">
        <f t="shared" si="0"/>
        <v>30</v>
      </c>
    </row>
    <row r="185" spans="1:2" x14ac:dyDescent="0.25">
      <c r="A185" s="289" t="s">
        <v>1662</v>
      </c>
      <c r="B185" s="266">
        <f t="shared" si="0"/>
        <v>31</v>
      </c>
    </row>
    <row r="186" spans="1:2" x14ac:dyDescent="0.25">
      <c r="A186" s="289" t="s">
        <v>1661</v>
      </c>
      <c r="B186" s="266">
        <f t="shared" si="0"/>
        <v>32</v>
      </c>
    </row>
    <row r="187" spans="1:2" x14ac:dyDescent="0.25">
      <c r="A187" s="289" t="s">
        <v>1660</v>
      </c>
      <c r="B187" s="266">
        <f t="shared" ref="B187:B218" si="1">MATCH(A187,$A$8:$A$148,0)</f>
        <v>33</v>
      </c>
    </row>
    <row r="188" spans="1:2" x14ac:dyDescent="0.25">
      <c r="A188" s="289" t="s">
        <v>1659</v>
      </c>
      <c r="B188" s="266">
        <f t="shared" si="1"/>
        <v>34</v>
      </c>
    </row>
    <row r="189" spans="1:2" x14ac:dyDescent="0.25">
      <c r="A189" s="289" t="s">
        <v>1658</v>
      </c>
      <c r="B189" s="266">
        <f t="shared" si="1"/>
        <v>35</v>
      </c>
    </row>
    <row r="190" spans="1:2" x14ac:dyDescent="0.25">
      <c r="A190" s="289" t="s">
        <v>1657</v>
      </c>
      <c r="B190" s="266">
        <f t="shared" si="1"/>
        <v>36</v>
      </c>
    </row>
    <row r="191" spans="1:2" x14ac:dyDescent="0.25">
      <c r="A191" s="289" t="s">
        <v>1656</v>
      </c>
      <c r="B191" s="266">
        <f t="shared" si="1"/>
        <v>37</v>
      </c>
    </row>
    <row r="192" spans="1:2" x14ac:dyDescent="0.25">
      <c r="A192" s="289" t="s">
        <v>1655</v>
      </c>
      <c r="B192" s="266">
        <f t="shared" si="1"/>
        <v>38</v>
      </c>
    </row>
    <row r="193" spans="1:2" x14ac:dyDescent="0.25">
      <c r="A193" s="289" t="s">
        <v>1654</v>
      </c>
      <c r="B193" s="266">
        <f t="shared" si="1"/>
        <v>39</v>
      </c>
    </row>
    <row r="194" spans="1:2" x14ac:dyDescent="0.25">
      <c r="A194" s="289" t="s">
        <v>1653</v>
      </c>
      <c r="B194" s="266">
        <f t="shared" si="1"/>
        <v>40</v>
      </c>
    </row>
    <row r="195" spans="1:2" x14ac:dyDescent="0.25">
      <c r="A195" s="289" t="s">
        <v>1652</v>
      </c>
      <c r="B195" s="266">
        <f t="shared" si="1"/>
        <v>41</v>
      </c>
    </row>
    <row r="196" spans="1:2" x14ac:dyDescent="0.25">
      <c r="A196" s="289" t="s">
        <v>1651</v>
      </c>
      <c r="B196" s="266">
        <f t="shared" si="1"/>
        <v>42</v>
      </c>
    </row>
    <row r="197" spans="1:2" x14ac:dyDescent="0.25">
      <c r="A197" s="289" t="s">
        <v>1650</v>
      </c>
      <c r="B197" s="266">
        <f t="shared" si="1"/>
        <v>43</v>
      </c>
    </row>
    <row r="198" spans="1:2" x14ac:dyDescent="0.25">
      <c r="A198" s="289" t="s">
        <v>1649</v>
      </c>
      <c r="B198" s="266">
        <f t="shared" si="1"/>
        <v>44</v>
      </c>
    </row>
    <row r="199" spans="1:2" x14ac:dyDescent="0.25">
      <c r="A199" s="289" t="s">
        <v>1648</v>
      </c>
      <c r="B199" s="266">
        <f t="shared" si="1"/>
        <v>45</v>
      </c>
    </row>
    <row r="200" spans="1:2" x14ac:dyDescent="0.25">
      <c r="A200" s="289" t="s">
        <v>1647</v>
      </c>
      <c r="B200" s="266">
        <f t="shared" si="1"/>
        <v>46</v>
      </c>
    </row>
    <row r="201" spans="1:2" x14ac:dyDescent="0.25">
      <c r="A201" s="289" t="s">
        <v>1646</v>
      </c>
      <c r="B201" s="266">
        <f t="shared" si="1"/>
        <v>47</v>
      </c>
    </row>
    <row r="202" spans="1:2" x14ac:dyDescent="0.25">
      <c r="A202" s="289" t="s">
        <v>1645</v>
      </c>
      <c r="B202" s="266">
        <f t="shared" si="1"/>
        <v>48</v>
      </c>
    </row>
    <row r="203" spans="1:2" x14ac:dyDescent="0.25">
      <c r="A203" s="289" t="s">
        <v>1644</v>
      </c>
      <c r="B203" s="266">
        <f t="shared" si="1"/>
        <v>49</v>
      </c>
    </row>
    <row r="204" spans="1:2" x14ac:dyDescent="0.25">
      <c r="A204" s="289" t="s">
        <v>1643</v>
      </c>
      <c r="B204" s="266">
        <f t="shared" si="1"/>
        <v>50</v>
      </c>
    </row>
    <row r="205" spans="1:2" x14ac:dyDescent="0.25">
      <c r="A205" s="289" t="s">
        <v>1642</v>
      </c>
      <c r="B205" s="266">
        <f t="shared" si="1"/>
        <v>51</v>
      </c>
    </row>
    <row r="206" spans="1:2" x14ac:dyDescent="0.25">
      <c r="A206" s="289" t="s">
        <v>1641</v>
      </c>
      <c r="B206" s="266">
        <f t="shared" si="1"/>
        <v>52</v>
      </c>
    </row>
    <row r="207" spans="1:2" x14ac:dyDescent="0.25">
      <c r="A207" s="289" t="s">
        <v>1640</v>
      </c>
      <c r="B207" s="266">
        <f t="shared" si="1"/>
        <v>53</v>
      </c>
    </row>
    <row r="208" spans="1:2" x14ac:dyDescent="0.25">
      <c r="A208" s="289" t="s">
        <v>1639</v>
      </c>
      <c r="B208" s="266">
        <f t="shared" si="1"/>
        <v>54</v>
      </c>
    </row>
    <row r="209" spans="1:2" x14ac:dyDescent="0.25">
      <c r="A209" s="289" t="s">
        <v>1638</v>
      </c>
      <c r="B209" s="266">
        <f t="shared" si="1"/>
        <v>55</v>
      </c>
    </row>
    <row r="210" spans="1:2" x14ac:dyDescent="0.25">
      <c r="A210" s="289" t="s">
        <v>1637</v>
      </c>
      <c r="B210" s="266">
        <f t="shared" si="1"/>
        <v>56</v>
      </c>
    </row>
    <row r="211" spans="1:2" x14ac:dyDescent="0.25">
      <c r="A211" s="289" t="s">
        <v>1636</v>
      </c>
      <c r="B211" s="266">
        <f t="shared" si="1"/>
        <v>57</v>
      </c>
    </row>
    <row r="212" spans="1:2" x14ac:dyDescent="0.25">
      <c r="A212" s="289" t="s">
        <v>1635</v>
      </c>
      <c r="B212" s="266">
        <f t="shared" si="1"/>
        <v>58</v>
      </c>
    </row>
    <row r="213" spans="1:2" x14ac:dyDescent="0.25">
      <c r="A213" s="289" t="s">
        <v>1634</v>
      </c>
      <c r="B213" s="266">
        <f t="shared" si="1"/>
        <v>59</v>
      </c>
    </row>
    <row r="214" spans="1:2" x14ac:dyDescent="0.25">
      <c r="A214" s="289" t="s">
        <v>1633</v>
      </c>
      <c r="B214" s="266">
        <f t="shared" si="1"/>
        <v>60</v>
      </c>
    </row>
    <row r="215" spans="1:2" x14ac:dyDescent="0.25">
      <c r="A215" s="289" t="s">
        <v>1632</v>
      </c>
      <c r="B215" s="266">
        <f t="shared" si="1"/>
        <v>61</v>
      </c>
    </row>
    <row r="216" spans="1:2" x14ac:dyDescent="0.25">
      <c r="A216" s="289" t="s">
        <v>1631</v>
      </c>
      <c r="B216" s="266">
        <f t="shared" si="1"/>
        <v>62</v>
      </c>
    </row>
    <row r="217" spans="1:2" x14ac:dyDescent="0.25">
      <c r="A217" s="289" t="s">
        <v>1630</v>
      </c>
      <c r="B217" s="266">
        <f t="shared" si="1"/>
        <v>63</v>
      </c>
    </row>
    <row r="218" spans="1:2" x14ac:dyDescent="0.25">
      <c r="A218" s="289" t="s">
        <v>1629</v>
      </c>
      <c r="B218" s="266">
        <f t="shared" si="1"/>
        <v>64</v>
      </c>
    </row>
    <row r="219" spans="1:2" x14ac:dyDescent="0.25">
      <c r="A219" s="289" t="s">
        <v>1628</v>
      </c>
      <c r="B219" s="266">
        <f t="shared" ref="B219:B250" si="2">MATCH(A219,$A$8:$A$148,0)</f>
        <v>65</v>
      </c>
    </row>
    <row r="220" spans="1:2" x14ac:dyDescent="0.25">
      <c r="A220" s="289" t="s">
        <v>1627</v>
      </c>
      <c r="B220" s="266">
        <f t="shared" si="2"/>
        <v>66</v>
      </c>
    </row>
    <row r="221" spans="1:2" x14ac:dyDescent="0.25">
      <c r="A221" s="289" t="s">
        <v>1626</v>
      </c>
      <c r="B221" s="266">
        <f t="shared" si="2"/>
        <v>67</v>
      </c>
    </row>
    <row r="222" spans="1:2" x14ac:dyDescent="0.25">
      <c r="A222" s="289" t="s">
        <v>1625</v>
      </c>
      <c r="B222" s="266">
        <f t="shared" si="2"/>
        <v>68</v>
      </c>
    </row>
    <row r="223" spans="1:2" x14ac:dyDescent="0.25">
      <c r="A223" s="289" t="s">
        <v>1624</v>
      </c>
      <c r="B223" s="266">
        <f t="shared" si="2"/>
        <v>69</v>
      </c>
    </row>
    <row r="224" spans="1:2" x14ac:dyDescent="0.25">
      <c r="A224" s="289" t="s">
        <v>1623</v>
      </c>
      <c r="B224" s="266">
        <f t="shared" si="2"/>
        <v>70</v>
      </c>
    </row>
    <row r="225" spans="1:2" x14ac:dyDescent="0.25">
      <c r="A225" s="289" t="s">
        <v>1622</v>
      </c>
      <c r="B225" s="266">
        <f t="shared" si="2"/>
        <v>71</v>
      </c>
    </row>
    <row r="226" spans="1:2" x14ac:dyDescent="0.25">
      <c r="A226" s="289" t="s">
        <v>1621</v>
      </c>
      <c r="B226" s="266">
        <f t="shared" si="2"/>
        <v>72</v>
      </c>
    </row>
    <row r="227" spans="1:2" x14ac:dyDescent="0.25">
      <c r="A227" s="289" t="s">
        <v>1620</v>
      </c>
      <c r="B227" s="266">
        <f t="shared" si="2"/>
        <v>73</v>
      </c>
    </row>
    <row r="228" spans="1:2" x14ac:dyDescent="0.25">
      <c r="A228" s="289" t="s">
        <v>1619</v>
      </c>
      <c r="B228" s="266">
        <f t="shared" si="2"/>
        <v>74</v>
      </c>
    </row>
    <row r="229" spans="1:2" x14ac:dyDescent="0.25">
      <c r="A229" s="289" t="s">
        <v>1618</v>
      </c>
      <c r="B229" s="266">
        <f t="shared" si="2"/>
        <v>75</v>
      </c>
    </row>
    <row r="230" spans="1:2" x14ac:dyDescent="0.25">
      <c r="A230" s="289" t="s">
        <v>1617</v>
      </c>
      <c r="B230" s="266">
        <f t="shared" si="2"/>
        <v>76</v>
      </c>
    </row>
    <row r="231" spans="1:2" x14ac:dyDescent="0.25">
      <c r="A231" s="289" t="s">
        <v>1616</v>
      </c>
      <c r="B231" s="266">
        <f t="shared" si="2"/>
        <v>77</v>
      </c>
    </row>
    <row r="232" spans="1:2" x14ac:dyDescent="0.25">
      <c r="A232" s="289" t="s">
        <v>1615</v>
      </c>
      <c r="B232" s="266">
        <f t="shared" si="2"/>
        <v>78</v>
      </c>
    </row>
    <row r="233" spans="1:2" x14ac:dyDescent="0.25">
      <c r="A233" s="289" t="s">
        <v>1614</v>
      </c>
      <c r="B233" s="266">
        <f t="shared" si="2"/>
        <v>79</v>
      </c>
    </row>
    <row r="234" spans="1:2" x14ac:dyDescent="0.25">
      <c r="A234" s="289" t="s">
        <v>1613</v>
      </c>
      <c r="B234" s="266">
        <f t="shared" si="2"/>
        <v>80</v>
      </c>
    </row>
    <row r="235" spans="1:2" x14ac:dyDescent="0.25">
      <c r="A235" s="289" t="s">
        <v>1612</v>
      </c>
      <c r="B235" s="266">
        <f t="shared" si="2"/>
        <v>81</v>
      </c>
    </row>
    <row r="236" spans="1:2" x14ac:dyDescent="0.25">
      <c r="A236" s="289" t="s">
        <v>1611</v>
      </c>
      <c r="B236" s="266">
        <f t="shared" si="2"/>
        <v>82</v>
      </c>
    </row>
    <row r="237" spans="1:2" x14ac:dyDescent="0.25">
      <c r="A237" s="289" t="s">
        <v>1610</v>
      </c>
      <c r="B237" s="266">
        <f t="shared" si="2"/>
        <v>83</v>
      </c>
    </row>
    <row r="238" spans="1:2" x14ac:dyDescent="0.25">
      <c r="A238" s="289" t="s">
        <v>1609</v>
      </c>
      <c r="B238" s="266">
        <f t="shared" si="2"/>
        <v>84</v>
      </c>
    </row>
    <row r="239" spans="1:2" x14ac:dyDescent="0.25">
      <c r="A239" s="289" t="s">
        <v>1608</v>
      </c>
      <c r="B239" s="266">
        <f t="shared" si="2"/>
        <v>85</v>
      </c>
    </row>
    <row r="240" spans="1:2" x14ac:dyDescent="0.25">
      <c r="A240" s="289" t="s">
        <v>1607</v>
      </c>
      <c r="B240" s="266">
        <f t="shared" si="2"/>
        <v>86</v>
      </c>
    </row>
    <row r="241" spans="1:2" x14ac:dyDescent="0.25">
      <c r="A241" s="289" t="s">
        <v>1606</v>
      </c>
      <c r="B241" s="266">
        <f t="shared" si="2"/>
        <v>87</v>
      </c>
    </row>
    <row r="242" spans="1:2" x14ac:dyDescent="0.25">
      <c r="A242" s="289" t="s">
        <v>1605</v>
      </c>
      <c r="B242" s="266">
        <f t="shared" si="2"/>
        <v>88</v>
      </c>
    </row>
    <row r="243" spans="1:2" x14ac:dyDescent="0.25">
      <c r="A243" s="289" t="s">
        <v>1604</v>
      </c>
      <c r="B243" s="266">
        <f t="shared" si="2"/>
        <v>89</v>
      </c>
    </row>
    <row r="244" spans="1:2" x14ac:dyDescent="0.25">
      <c r="A244" s="289" t="s">
        <v>1603</v>
      </c>
      <c r="B244" s="266">
        <f t="shared" si="2"/>
        <v>90</v>
      </c>
    </row>
    <row r="245" spans="1:2" x14ac:dyDescent="0.25">
      <c r="A245" s="289" t="s">
        <v>1602</v>
      </c>
      <c r="B245" s="266">
        <f t="shared" si="2"/>
        <v>91</v>
      </c>
    </row>
    <row r="246" spans="1:2" x14ac:dyDescent="0.25">
      <c r="A246" s="289" t="s">
        <v>1601</v>
      </c>
      <c r="B246" s="266">
        <f t="shared" si="2"/>
        <v>92</v>
      </c>
    </row>
    <row r="247" spans="1:2" x14ac:dyDescent="0.25">
      <c r="A247" s="289" t="s">
        <v>1600</v>
      </c>
      <c r="B247" s="266">
        <f t="shared" si="2"/>
        <v>93</v>
      </c>
    </row>
    <row r="248" spans="1:2" x14ac:dyDescent="0.25">
      <c r="A248" s="289" t="s">
        <v>1599</v>
      </c>
      <c r="B248" s="266">
        <f t="shared" si="2"/>
        <v>94</v>
      </c>
    </row>
    <row r="249" spans="1:2" x14ac:dyDescent="0.25">
      <c r="A249" s="289" t="s">
        <v>1598</v>
      </c>
      <c r="B249" s="266">
        <f t="shared" si="2"/>
        <v>95</v>
      </c>
    </row>
    <row r="250" spans="1:2" x14ac:dyDescent="0.25">
      <c r="A250" s="289" t="s">
        <v>1597</v>
      </c>
      <c r="B250" s="266">
        <f t="shared" si="2"/>
        <v>96</v>
      </c>
    </row>
    <row r="251" spans="1:2" x14ac:dyDescent="0.25">
      <c r="A251" s="289" t="s">
        <v>1596</v>
      </c>
      <c r="B251" s="266">
        <f t="shared" ref="B251:B282" si="3">MATCH(A251,$A$8:$A$148,0)</f>
        <v>97</v>
      </c>
    </row>
    <row r="252" spans="1:2" x14ac:dyDescent="0.25">
      <c r="A252" s="289" t="s">
        <v>1595</v>
      </c>
      <c r="B252" s="266">
        <f t="shared" si="3"/>
        <v>98</v>
      </c>
    </row>
    <row r="253" spans="1:2" x14ac:dyDescent="0.25">
      <c r="A253" s="289" t="s">
        <v>1594</v>
      </c>
      <c r="B253" s="266">
        <f t="shared" si="3"/>
        <v>99</v>
      </c>
    </row>
    <row r="254" spans="1:2" x14ac:dyDescent="0.25">
      <c r="A254" s="289" t="s">
        <v>1593</v>
      </c>
      <c r="B254" s="266">
        <f t="shared" si="3"/>
        <v>100</v>
      </c>
    </row>
    <row r="255" spans="1:2" x14ac:dyDescent="0.25">
      <c r="A255" s="289" t="s">
        <v>1592</v>
      </c>
      <c r="B255" s="266">
        <f t="shared" si="3"/>
        <v>101</v>
      </c>
    </row>
    <row r="256" spans="1:2" x14ac:dyDescent="0.25">
      <c r="A256" s="289" t="s">
        <v>1591</v>
      </c>
      <c r="B256" s="266">
        <f t="shared" si="3"/>
        <v>102</v>
      </c>
    </row>
    <row r="257" spans="1:2" x14ac:dyDescent="0.25">
      <c r="A257" s="289" t="s">
        <v>1590</v>
      </c>
      <c r="B257" s="266">
        <f t="shared" si="3"/>
        <v>103</v>
      </c>
    </row>
    <row r="258" spans="1:2" x14ac:dyDescent="0.25">
      <c r="A258" s="289" t="s">
        <v>1589</v>
      </c>
      <c r="B258" s="266">
        <f t="shared" si="3"/>
        <v>104</v>
      </c>
    </row>
    <row r="259" spans="1:2" x14ac:dyDescent="0.25">
      <c r="A259" s="289" t="s">
        <v>1588</v>
      </c>
      <c r="B259" s="266">
        <f t="shared" si="3"/>
        <v>105</v>
      </c>
    </row>
    <row r="260" spans="1:2" x14ac:dyDescent="0.25">
      <c r="A260" s="289" t="s">
        <v>1587</v>
      </c>
      <c r="B260" s="266">
        <f t="shared" si="3"/>
        <v>106</v>
      </c>
    </row>
    <row r="261" spans="1:2" x14ac:dyDescent="0.25">
      <c r="A261" s="289" t="s">
        <v>1493</v>
      </c>
      <c r="B261" s="266">
        <f t="shared" si="3"/>
        <v>107</v>
      </c>
    </row>
    <row r="262" spans="1:2" x14ac:dyDescent="0.25">
      <c r="A262" s="289" t="s">
        <v>1492</v>
      </c>
      <c r="B262" s="266">
        <f t="shared" si="3"/>
        <v>108</v>
      </c>
    </row>
    <row r="263" spans="1:2" x14ac:dyDescent="0.25">
      <c r="A263" s="289" t="s">
        <v>1491</v>
      </c>
      <c r="B263" s="266">
        <f t="shared" si="3"/>
        <v>109</v>
      </c>
    </row>
    <row r="264" spans="1:2" x14ac:dyDescent="0.25">
      <c r="A264" s="289" t="s">
        <v>1490</v>
      </c>
      <c r="B264" s="266">
        <f t="shared" si="3"/>
        <v>110</v>
      </c>
    </row>
    <row r="265" spans="1:2" x14ac:dyDescent="0.25">
      <c r="A265" s="289" t="s">
        <v>1586</v>
      </c>
      <c r="B265" s="266">
        <f t="shared" si="3"/>
        <v>111</v>
      </c>
    </row>
    <row r="266" spans="1:2" x14ac:dyDescent="0.25">
      <c r="A266" s="289" t="s">
        <v>1585</v>
      </c>
      <c r="B266" s="266">
        <f t="shared" si="3"/>
        <v>112</v>
      </c>
    </row>
    <row r="267" spans="1:2" x14ac:dyDescent="0.25">
      <c r="A267" s="289" t="s">
        <v>1584</v>
      </c>
      <c r="B267" s="266">
        <f t="shared" si="3"/>
        <v>113</v>
      </c>
    </row>
    <row r="268" spans="1:2" x14ac:dyDescent="0.25">
      <c r="A268" s="289" t="s">
        <v>1583</v>
      </c>
      <c r="B268" s="266">
        <f t="shared" si="3"/>
        <v>114</v>
      </c>
    </row>
    <row r="269" spans="1:2" x14ac:dyDescent="0.25">
      <c r="A269" s="289" t="s">
        <v>1582</v>
      </c>
      <c r="B269" s="266">
        <f t="shared" si="3"/>
        <v>115</v>
      </c>
    </row>
    <row r="270" spans="1:2" x14ac:dyDescent="0.25">
      <c r="A270" s="289" t="s">
        <v>1581</v>
      </c>
      <c r="B270" s="266">
        <f t="shared" si="3"/>
        <v>116</v>
      </c>
    </row>
    <row r="271" spans="1:2" x14ac:dyDescent="0.25">
      <c r="A271" s="289" t="s">
        <v>1580</v>
      </c>
      <c r="B271" s="266">
        <f t="shared" si="3"/>
        <v>117</v>
      </c>
    </row>
    <row r="272" spans="1:2" x14ac:dyDescent="0.25">
      <c r="A272" s="289" t="s">
        <v>1579</v>
      </c>
      <c r="B272" s="266">
        <f t="shared" si="3"/>
        <v>118</v>
      </c>
    </row>
    <row r="273" spans="1:2" x14ac:dyDescent="0.25">
      <c r="A273" s="289" t="s">
        <v>1578</v>
      </c>
      <c r="B273" s="266">
        <f t="shared" si="3"/>
        <v>119</v>
      </c>
    </row>
    <row r="274" spans="1:2" x14ac:dyDescent="0.25">
      <c r="A274" s="289" t="s">
        <v>1577</v>
      </c>
      <c r="B274" s="266">
        <f t="shared" si="3"/>
        <v>120</v>
      </c>
    </row>
    <row r="275" spans="1:2" x14ac:dyDescent="0.25">
      <c r="A275" s="289" t="s">
        <v>1576</v>
      </c>
      <c r="B275" s="266">
        <f t="shared" si="3"/>
        <v>121</v>
      </c>
    </row>
    <row r="276" spans="1:2" x14ac:dyDescent="0.25">
      <c r="A276" s="289" t="s">
        <v>1575</v>
      </c>
      <c r="B276" s="266">
        <f t="shared" si="3"/>
        <v>122</v>
      </c>
    </row>
    <row r="277" spans="1:2" x14ac:dyDescent="0.25">
      <c r="A277" s="289" t="s">
        <v>1574</v>
      </c>
      <c r="B277" s="266">
        <f t="shared" si="3"/>
        <v>123</v>
      </c>
    </row>
    <row r="278" spans="1:2" x14ac:dyDescent="0.25">
      <c r="A278" s="289" t="s">
        <v>1573</v>
      </c>
      <c r="B278" s="266">
        <f t="shared" si="3"/>
        <v>124</v>
      </c>
    </row>
    <row r="279" spans="1:2" x14ac:dyDescent="0.25">
      <c r="A279" s="289" t="s">
        <v>1572</v>
      </c>
      <c r="B279" s="266">
        <f t="shared" si="3"/>
        <v>125</v>
      </c>
    </row>
    <row r="280" spans="1:2" x14ac:dyDescent="0.25">
      <c r="A280" s="289" t="s">
        <v>1571</v>
      </c>
      <c r="B280" s="266">
        <f t="shared" si="3"/>
        <v>126</v>
      </c>
    </row>
    <row r="281" spans="1:2" x14ac:dyDescent="0.25">
      <c r="A281" s="289" t="s">
        <v>1570</v>
      </c>
      <c r="B281" s="266">
        <f t="shared" si="3"/>
        <v>127</v>
      </c>
    </row>
    <row r="282" spans="1:2" x14ac:dyDescent="0.25">
      <c r="A282" s="289" t="s">
        <v>1569</v>
      </c>
      <c r="B282" s="266">
        <f t="shared" si="3"/>
        <v>128</v>
      </c>
    </row>
    <row r="283" spans="1:2" x14ac:dyDescent="0.25">
      <c r="A283" s="289" t="s">
        <v>1568</v>
      </c>
      <c r="B283" s="266">
        <f t="shared" ref="B283:B295" si="4">MATCH(A283,$A$8:$A$148,0)</f>
        <v>129</v>
      </c>
    </row>
    <row r="284" spans="1:2" x14ac:dyDescent="0.25">
      <c r="A284" s="289" t="s">
        <v>1567</v>
      </c>
      <c r="B284" s="266">
        <f t="shared" si="4"/>
        <v>130</v>
      </c>
    </row>
    <row r="285" spans="1:2" x14ac:dyDescent="0.25">
      <c r="A285" s="289" t="s">
        <v>1566</v>
      </c>
      <c r="B285" s="266">
        <f t="shared" si="4"/>
        <v>131</v>
      </c>
    </row>
    <row r="286" spans="1:2" x14ac:dyDescent="0.25">
      <c r="A286" s="289" t="s">
        <v>1565</v>
      </c>
      <c r="B286" s="266">
        <f t="shared" si="4"/>
        <v>132</v>
      </c>
    </row>
    <row r="287" spans="1:2" x14ac:dyDescent="0.25">
      <c r="A287" s="289" t="s">
        <v>1564</v>
      </c>
      <c r="B287" s="266">
        <f t="shared" si="4"/>
        <v>133</v>
      </c>
    </row>
    <row r="288" spans="1:2" x14ac:dyDescent="0.25">
      <c r="A288" s="289" t="s">
        <v>1563</v>
      </c>
      <c r="B288" s="266">
        <f t="shared" si="4"/>
        <v>134</v>
      </c>
    </row>
    <row r="289" spans="1:2" x14ac:dyDescent="0.25">
      <c r="A289" s="289" t="s">
        <v>1562</v>
      </c>
      <c r="B289" s="266">
        <f t="shared" si="4"/>
        <v>135</v>
      </c>
    </row>
    <row r="290" spans="1:2" x14ac:dyDescent="0.25">
      <c r="A290" s="289" t="s">
        <v>1561</v>
      </c>
      <c r="B290" s="266">
        <f t="shared" si="4"/>
        <v>136</v>
      </c>
    </row>
    <row r="291" spans="1:2" x14ac:dyDescent="0.25">
      <c r="A291" s="289" t="s">
        <v>1560</v>
      </c>
      <c r="B291" s="266">
        <f t="shared" si="4"/>
        <v>137</v>
      </c>
    </row>
    <row r="292" spans="1:2" x14ac:dyDescent="0.25">
      <c r="A292" s="289" t="s">
        <v>1559</v>
      </c>
      <c r="B292" s="266">
        <f t="shared" si="4"/>
        <v>138</v>
      </c>
    </row>
    <row r="293" spans="1:2" x14ac:dyDescent="0.25">
      <c r="A293" s="289" t="s">
        <v>1558</v>
      </c>
      <c r="B293" s="266">
        <f t="shared" si="4"/>
        <v>139</v>
      </c>
    </row>
    <row r="294" spans="1:2" x14ac:dyDescent="0.25">
      <c r="A294" s="289" t="s">
        <v>1557</v>
      </c>
      <c r="B294" s="266">
        <f t="shared" si="4"/>
        <v>140</v>
      </c>
    </row>
    <row r="295" spans="1:2" x14ac:dyDescent="0.25">
      <c r="A295" s="289" t="s">
        <v>1556</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2318</v>
      </c>
      <c r="C2" s="477" t="s">
        <v>2319</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2320</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2321</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2322</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2323</v>
      </c>
      <c r="C7" s="482" t="s">
        <v>2324</v>
      </c>
      <c r="D7" s="482" t="s">
        <v>2325</v>
      </c>
      <c r="E7" s="482" t="s">
        <v>2326</v>
      </c>
      <c r="F7" s="482" t="s">
        <v>2327</v>
      </c>
      <c r="G7" s="482" t="s">
        <v>2328</v>
      </c>
      <c r="H7" s="482" t="s">
        <v>2329</v>
      </c>
      <c r="I7" s="482" t="s">
        <v>2330</v>
      </c>
      <c r="J7" s="482" t="s">
        <v>2331</v>
      </c>
      <c r="K7" s="482" t="s">
        <v>2332</v>
      </c>
      <c r="L7" s="482" t="s">
        <v>2333</v>
      </c>
      <c r="M7" s="482" t="s">
        <v>2334</v>
      </c>
      <c r="N7" s="482" t="s">
        <v>1691</v>
      </c>
      <c r="O7" s="482" t="s">
        <v>1690</v>
      </c>
      <c r="P7" s="482" t="s">
        <v>1689</v>
      </c>
      <c r="Q7" s="482" t="s">
        <v>1688</v>
      </c>
      <c r="R7" s="482" t="s">
        <v>1684</v>
      </c>
      <c r="S7" s="482" t="s">
        <v>2335</v>
      </c>
      <c r="T7" s="482" t="s">
        <v>1687</v>
      </c>
      <c r="U7" s="482" t="s">
        <v>1686</v>
      </c>
      <c r="V7" s="482" t="s">
        <v>2336</v>
      </c>
      <c r="W7" s="482" t="s">
        <v>2337</v>
      </c>
      <c r="X7" s="482" t="s">
        <v>2338</v>
      </c>
      <c r="Y7" s="482" t="s">
        <v>2339</v>
      </c>
      <c r="Z7" s="482" t="s">
        <v>2340</v>
      </c>
      <c r="AA7" s="482" t="s">
        <v>2341</v>
      </c>
      <c r="AB7" s="482" t="s">
        <v>2342</v>
      </c>
      <c r="AC7" s="482" t="s">
        <v>2343</v>
      </c>
      <c r="AD7" s="482" t="s">
        <v>2344</v>
      </c>
      <c r="AE7" s="482" t="s">
        <v>2345</v>
      </c>
      <c r="AF7" s="482" t="s">
        <v>2346</v>
      </c>
      <c r="AG7" s="482" t="s">
        <v>2347</v>
      </c>
      <c r="AH7" s="482" t="s">
        <v>2348</v>
      </c>
      <c r="AI7" s="482" t="s">
        <v>1681</v>
      </c>
      <c r="AJ7" s="482" t="s">
        <v>1680</v>
      </c>
      <c r="AK7" s="482" t="s">
        <v>1679</v>
      </c>
      <c r="AL7" s="482" t="s">
        <v>1678</v>
      </c>
      <c r="AM7" s="482" t="s">
        <v>1677</v>
      </c>
      <c r="AN7" s="482" t="s">
        <v>1676</v>
      </c>
      <c r="AO7" s="482" t="s">
        <v>1675</v>
      </c>
      <c r="AP7" s="482" t="s">
        <v>1674</v>
      </c>
      <c r="AQ7" s="482" t="s">
        <v>1673</v>
      </c>
      <c r="AR7" s="482" t="s">
        <v>1683</v>
      </c>
      <c r="AS7" s="482" t="s">
        <v>2349</v>
      </c>
      <c r="AT7" s="482" t="s">
        <v>1672</v>
      </c>
      <c r="AU7" s="482" t="s">
        <v>1671</v>
      </c>
      <c r="AV7" s="482" t="s">
        <v>1670</v>
      </c>
      <c r="AW7" s="482" t="s">
        <v>1669</v>
      </c>
      <c r="AX7" s="482" t="s">
        <v>1667</v>
      </c>
      <c r="AY7" s="482" t="s">
        <v>1666</v>
      </c>
      <c r="AZ7" s="482" t="s">
        <v>1665</v>
      </c>
      <c r="BA7" s="482" t="s">
        <v>1664</v>
      </c>
      <c r="BB7" s="482" t="s">
        <v>1663</v>
      </c>
      <c r="BC7" s="482" t="s">
        <v>2350</v>
      </c>
      <c r="BD7" s="482" t="s">
        <v>2351</v>
      </c>
      <c r="BE7" s="482" t="s">
        <v>1662</v>
      </c>
      <c r="BF7" s="482" t="s">
        <v>1661</v>
      </c>
      <c r="BG7" s="482" t="s">
        <v>1660</v>
      </c>
      <c r="BH7" s="482" t="s">
        <v>1659</v>
      </c>
      <c r="BI7" s="482" t="s">
        <v>1658</v>
      </c>
      <c r="BJ7" s="482" t="s">
        <v>1657</v>
      </c>
      <c r="BK7" s="482" t="s">
        <v>1656</v>
      </c>
      <c r="BL7" s="482" t="s">
        <v>1655</v>
      </c>
      <c r="BM7" s="482" t="s">
        <v>1654</v>
      </c>
      <c r="BN7" s="482" t="s">
        <v>1653</v>
      </c>
      <c r="BO7" s="482" t="s">
        <v>1652</v>
      </c>
      <c r="BP7" s="482" t="s">
        <v>1648</v>
      </c>
      <c r="BQ7" s="482" t="s">
        <v>1647</v>
      </c>
      <c r="BR7" s="482" t="s">
        <v>2352</v>
      </c>
      <c r="BS7" s="482" t="s">
        <v>2353</v>
      </c>
      <c r="BT7" s="482" t="s">
        <v>2354</v>
      </c>
      <c r="BU7" s="482" t="s">
        <v>1649</v>
      </c>
      <c r="BV7" s="482" t="s">
        <v>1646</v>
      </c>
      <c r="BW7" s="482" t="s">
        <v>1645</v>
      </c>
      <c r="BX7" s="482" t="s">
        <v>1644</v>
      </c>
      <c r="BY7" s="482" t="s">
        <v>1643</v>
      </c>
      <c r="BZ7" s="482" t="s">
        <v>1642</v>
      </c>
      <c r="CA7" s="482" t="s">
        <v>2355</v>
      </c>
      <c r="CB7" s="482" t="s">
        <v>2356</v>
      </c>
      <c r="CC7" s="482" t="s">
        <v>2357</v>
      </c>
      <c r="CD7" s="482" t="s">
        <v>2358</v>
      </c>
      <c r="CE7" s="482" t="s">
        <v>2359</v>
      </c>
      <c r="CF7" s="482" t="s">
        <v>2360</v>
      </c>
      <c r="CG7" s="482" t="s">
        <v>2361</v>
      </c>
      <c r="CH7" s="482" t="s">
        <v>2362</v>
      </c>
      <c r="CI7" s="482" t="s">
        <v>2363</v>
      </c>
      <c r="CJ7" s="482" t="s">
        <v>2364</v>
      </c>
      <c r="CK7" s="482" t="s">
        <v>2365</v>
      </c>
      <c r="CL7" s="482" t="s">
        <v>2366</v>
      </c>
      <c r="CM7" s="482" t="s">
        <v>1640</v>
      </c>
      <c r="CN7" s="482" t="s">
        <v>1639</v>
      </c>
      <c r="CO7" s="482" t="s">
        <v>1638</v>
      </c>
      <c r="CP7" s="482" t="s">
        <v>1637</v>
      </c>
      <c r="CQ7" s="482" t="s">
        <v>1634</v>
      </c>
      <c r="CR7" s="482" t="s">
        <v>1633</v>
      </c>
      <c r="CS7" s="482" t="s">
        <v>2367</v>
      </c>
      <c r="CT7" s="482" t="s">
        <v>1636</v>
      </c>
      <c r="CU7" s="482" t="s">
        <v>1635</v>
      </c>
      <c r="CV7" s="482" t="s">
        <v>2368</v>
      </c>
      <c r="CW7" s="482" t="s">
        <v>2369</v>
      </c>
      <c r="CX7" s="482" t="s">
        <v>2370</v>
      </c>
      <c r="CY7" s="482" t="s">
        <v>2371</v>
      </c>
      <c r="CZ7" s="482" t="s">
        <v>2372</v>
      </c>
      <c r="DA7" s="482" t="s">
        <v>2373</v>
      </c>
      <c r="DB7" s="482" t="s">
        <v>2374</v>
      </c>
      <c r="DC7" s="482" t="s">
        <v>2375</v>
      </c>
      <c r="DD7" s="482" t="s">
        <v>2376</v>
      </c>
      <c r="DE7" s="482" t="s">
        <v>2377</v>
      </c>
      <c r="DF7" s="482" t="s">
        <v>2378</v>
      </c>
      <c r="DG7" s="482" t="s">
        <v>2379</v>
      </c>
      <c r="DH7" s="482" t="s">
        <v>2380</v>
      </c>
      <c r="DI7" s="482" t="s">
        <v>1630</v>
      </c>
      <c r="DJ7" s="482" t="s">
        <v>1629</v>
      </c>
      <c r="DK7" s="482" t="s">
        <v>1628</v>
      </c>
      <c r="DL7" s="482" t="s">
        <v>1627</v>
      </c>
      <c r="DM7" s="482" t="s">
        <v>1626</v>
      </c>
      <c r="DN7" s="482" t="s">
        <v>1625</v>
      </c>
      <c r="DO7" s="482" t="s">
        <v>1624</v>
      </c>
      <c r="DP7" s="482" t="s">
        <v>1623</v>
      </c>
      <c r="DQ7" s="482" t="s">
        <v>2381</v>
      </c>
      <c r="DR7" s="482" t="s">
        <v>2382</v>
      </c>
      <c r="DS7" s="482" t="s">
        <v>2383</v>
      </c>
      <c r="DT7" s="482" t="s">
        <v>2384</v>
      </c>
      <c r="DU7" s="482" t="s">
        <v>2385</v>
      </c>
      <c r="DV7" s="482" t="s">
        <v>1632</v>
      </c>
      <c r="DW7" s="482" t="s">
        <v>2386</v>
      </c>
      <c r="DX7" s="482" t="s">
        <v>1619</v>
      </c>
      <c r="DY7" s="482" t="s">
        <v>1618</v>
      </c>
      <c r="DZ7" s="482" t="s">
        <v>1617</v>
      </c>
      <c r="EA7" s="482" t="s">
        <v>1616</v>
      </c>
      <c r="EB7" s="482" t="s">
        <v>1614</v>
      </c>
      <c r="EC7" s="482" t="s">
        <v>1613</v>
      </c>
      <c r="ED7" s="482" t="s">
        <v>1612</v>
      </c>
      <c r="EE7" s="482" t="s">
        <v>1611</v>
      </c>
      <c r="EF7" s="482" t="s">
        <v>1610</v>
      </c>
      <c r="EG7" s="482" t="s">
        <v>2387</v>
      </c>
      <c r="EH7" s="482" t="s">
        <v>2388</v>
      </c>
      <c r="EI7" s="482" t="s">
        <v>1609</v>
      </c>
      <c r="EJ7" s="482" t="s">
        <v>1608</v>
      </c>
      <c r="EK7" s="482" t="s">
        <v>1607</v>
      </c>
      <c r="EL7" s="482" t="s">
        <v>1606</v>
      </c>
      <c r="EM7" s="482" t="s">
        <v>1605</v>
      </c>
      <c r="EN7" s="482" t="s">
        <v>1604</v>
      </c>
      <c r="EO7" s="482" t="s">
        <v>1603</v>
      </c>
      <c r="EP7" s="482" t="s">
        <v>1602</v>
      </c>
      <c r="EQ7" s="482" t="s">
        <v>1601</v>
      </c>
      <c r="ER7" s="482" t="s">
        <v>1600</v>
      </c>
      <c r="ES7" s="482" t="s">
        <v>1599</v>
      </c>
      <c r="ET7" s="482" t="s">
        <v>1598</v>
      </c>
      <c r="EU7" s="482" t="s">
        <v>1597</v>
      </c>
      <c r="EV7" s="482" t="s">
        <v>1596</v>
      </c>
      <c r="EW7" s="482" t="s">
        <v>1595</v>
      </c>
      <c r="EX7" s="482" t="s">
        <v>2389</v>
      </c>
      <c r="EY7" s="482" t="s">
        <v>1594</v>
      </c>
      <c r="EZ7" s="482" t="s">
        <v>1593</v>
      </c>
      <c r="FA7" s="482" t="s">
        <v>1592</v>
      </c>
      <c r="FB7" s="482" t="s">
        <v>1591</v>
      </c>
      <c r="FC7" s="482" t="s">
        <v>1590</v>
      </c>
      <c r="FD7" s="482" t="s">
        <v>1589</v>
      </c>
      <c r="FE7" s="482" t="s">
        <v>1588</v>
      </c>
      <c r="FF7" s="482" t="s">
        <v>1587</v>
      </c>
      <c r="FG7" s="482" t="s">
        <v>1493</v>
      </c>
      <c r="FH7" s="482" t="s">
        <v>1492</v>
      </c>
      <c r="FI7" s="482" t="s">
        <v>1491</v>
      </c>
      <c r="FJ7" s="482" t="s">
        <v>1490</v>
      </c>
      <c r="FK7" s="482" t="s">
        <v>1586</v>
      </c>
      <c r="FL7" s="482" t="s">
        <v>1585</v>
      </c>
      <c r="FM7" s="482" t="s">
        <v>2390</v>
      </c>
      <c r="FN7" s="482" t="s">
        <v>1584</v>
      </c>
      <c r="FO7" s="482" t="s">
        <v>1583</v>
      </c>
      <c r="FP7" s="482" t="s">
        <v>1582</v>
      </c>
      <c r="FQ7" s="482" t="s">
        <v>1581</v>
      </c>
      <c r="FR7" s="482" t="s">
        <v>1580</v>
      </c>
      <c r="FS7" s="482" t="s">
        <v>1579</v>
      </c>
      <c r="FT7" s="482" t="s">
        <v>1578</v>
      </c>
      <c r="FU7" s="482" t="s">
        <v>1577</v>
      </c>
      <c r="FV7" s="482" t="s">
        <v>1576</v>
      </c>
      <c r="FW7" s="482" t="s">
        <v>1575</v>
      </c>
      <c r="FX7" s="482" t="s">
        <v>1574</v>
      </c>
      <c r="FY7" s="482" t="s">
        <v>2391</v>
      </c>
      <c r="FZ7" s="482" t="s">
        <v>1568</v>
      </c>
      <c r="GA7" s="482" t="s">
        <v>1567</v>
      </c>
      <c r="GB7" s="482" t="s">
        <v>1566</v>
      </c>
      <c r="GC7" s="482" t="s">
        <v>1565</v>
      </c>
      <c r="GD7" s="483" t="s">
        <v>1564</v>
      </c>
      <c r="GE7" s="483" t="s">
        <v>1563</v>
      </c>
      <c r="GF7" s="483" t="s">
        <v>1562</v>
      </c>
      <c r="GG7" s="483" t="s">
        <v>1561</v>
      </c>
      <c r="GH7" s="483" t="s">
        <v>1560</v>
      </c>
      <c r="GI7" s="483" t="s">
        <v>1559</v>
      </c>
      <c r="GJ7" s="483" t="s">
        <v>1558</v>
      </c>
      <c r="GK7" s="483" t="s">
        <v>1557</v>
      </c>
      <c r="GL7" s="483" t="s">
        <v>1556</v>
      </c>
      <c r="GM7" s="484"/>
      <c r="GN7" s="474"/>
      <c r="GO7" s="474"/>
      <c r="GP7" s="485"/>
    </row>
    <row r="8" spans="1:198" x14ac:dyDescent="0.25">
      <c r="A8" s="482" t="s">
        <v>2323</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2324</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2325</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2326</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2327</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2328</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2329</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2330</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2331</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2332</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2333</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2334</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1691</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1690</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1689</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1688</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1684</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2335</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1687</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1686</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2336</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2337</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2338</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2339</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2340</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2341</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2342</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2343</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2344</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2345</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2346</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2347</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2348</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1681</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1680</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1679</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1678</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1677</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1676</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1675</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1674</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1673</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1683</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2349</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1672</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1671</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1670</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1669</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1667</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1666</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1665</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1664</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1663</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2350</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2351</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1662</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1661</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1660</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1659</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1658</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1657</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1656</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1655</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1654</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1653</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1652</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1648</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1647</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2352</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2353</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2354</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1649</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1646</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1645</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1644</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1643</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1642</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2355</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2356</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2357</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2358</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2359</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2360</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2361</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2362</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2363</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2364</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2365</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2366</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1640</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1639</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1638</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1637</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1634</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1633</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2367</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1636</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1635</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2368</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2369</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2370</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2371</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2372</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2373</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2374</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2375</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2376</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2377</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2378</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2379</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2380</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1630</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1629</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1628</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1627</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1626</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1625</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1624</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1623</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2381</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2382</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2383</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2384</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2385</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1632</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2386</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1619</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1618</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1617</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1616</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1614</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1613</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1612</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1611</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1610</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2387</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2388</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1609</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1608</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1607</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1606</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1605</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1604</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1603</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1602</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1601</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1600</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1599</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1598</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1597</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1596</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1595</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2389</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1594</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1593</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1592</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1591</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1590</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1589</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1588</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1587</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1493</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1492</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1491</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1490</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1586</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1585</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2390</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1584</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1583</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1582</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1581</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1580</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1579</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1578</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1577</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1576</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1575</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1574</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2391</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1568</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1567</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1566</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1565</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1564</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1563</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1562</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1561</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1560</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1559</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1558</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1557</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1556</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1720</v>
      </c>
      <c r="R4" s="299" t="s">
        <v>1719</v>
      </c>
    </row>
    <row r="5" spans="3:29" x14ac:dyDescent="0.25">
      <c r="D5" s="289" t="s">
        <v>1718</v>
      </c>
      <c r="E5" s="289" t="s">
        <v>1717</v>
      </c>
      <c r="F5" s="289" t="s">
        <v>1713</v>
      </c>
      <c r="G5" s="289" t="s">
        <v>1712</v>
      </c>
      <c r="H5" s="289" t="s">
        <v>1710</v>
      </c>
      <c r="I5" s="289" t="s">
        <v>1709</v>
      </c>
      <c r="J5" s="289" t="s">
        <v>1708</v>
      </c>
      <c r="K5" s="289" t="s">
        <v>1706</v>
      </c>
      <c r="L5" s="289" t="s">
        <v>1705</v>
      </c>
      <c r="M5" s="289" t="s">
        <v>1704</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1493</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1493</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1492</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1492</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1491</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1491</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1490</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1490</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1716</v>
      </c>
      <c r="R13" s="299" t="s">
        <v>1715</v>
      </c>
    </row>
    <row r="14" spans="3:29" x14ac:dyDescent="0.25">
      <c r="D14" s="297" t="s">
        <v>1714</v>
      </c>
      <c r="E14" s="297" t="s">
        <v>1713</v>
      </c>
      <c r="F14" s="297" t="s">
        <v>1712</v>
      </c>
      <c r="G14" s="297" t="s">
        <v>1711</v>
      </c>
      <c r="H14" s="298" t="s">
        <v>1710</v>
      </c>
      <c r="I14" s="298" t="s">
        <v>1709</v>
      </c>
      <c r="J14" s="297" t="s">
        <v>1708</v>
      </c>
      <c r="K14" s="297" t="s">
        <v>1707</v>
      </c>
      <c r="L14" s="297" t="s">
        <v>1706</v>
      </c>
      <c r="M14" s="297" t="s">
        <v>1705</v>
      </c>
      <c r="N14" s="297" t="s">
        <v>1704</v>
      </c>
      <c r="Q14" s="299"/>
      <c r="S14" s="297" t="s">
        <v>1714</v>
      </c>
      <c r="T14" s="297" t="s">
        <v>1713</v>
      </c>
      <c r="U14" s="297" t="s">
        <v>1712</v>
      </c>
      <c r="V14" s="297" t="s">
        <v>1711</v>
      </c>
      <c r="W14" s="298" t="s">
        <v>1710</v>
      </c>
      <c r="X14" s="298" t="s">
        <v>1709</v>
      </c>
      <c r="Y14" s="297" t="s">
        <v>1708</v>
      </c>
      <c r="Z14" s="297" t="s">
        <v>1707</v>
      </c>
      <c r="AA14" s="297" t="s">
        <v>1706</v>
      </c>
      <c r="AB14" s="297" t="s">
        <v>1705</v>
      </c>
      <c r="AC14" s="297" t="s">
        <v>1704</v>
      </c>
    </row>
    <row r="15" spans="3:29" x14ac:dyDescent="0.25">
      <c r="C15" s="297" t="s">
        <v>1493</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1493</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1492</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1492</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1491</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1491</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1490</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1490</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1703</v>
      </c>
    </row>
    <row r="26" spans="3:29" x14ac:dyDescent="0.25">
      <c r="C26" s="266" t="s">
        <v>1702</v>
      </c>
      <c r="I26" s="266" t="s">
        <v>1701</v>
      </c>
      <c r="M26" s="266" t="s">
        <v>1700</v>
      </c>
      <c r="Q26" s="266" t="s">
        <v>1699</v>
      </c>
      <c r="S26" s="266" t="s">
        <v>1698</v>
      </c>
      <c r="U26" s="266" t="s">
        <v>1697</v>
      </c>
    </row>
    <row r="27" spans="3:29" x14ac:dyDescent="0.25">
      <c r="F27" s="266">
        <v>2012</v>
      </c>
      <c r="G27" s="266" t="s">
        <v>1444</v>
      </c>
      <c r="J27" s="266">
        <v>2012</v>
      </c>
      <c r="N27" s="266">
        <v>2012</v>
      </c>
      <c r="V27" s="266" t="s">
        <v>1656</v>
      </c>
    </row>
    <row r="28" spans="3:29" x14ac:dyDescent="0.25">
      <c r="C28" s="266" t="s">
        <v>1493</v>
      </c>
      <c r="D28" s="266" t="s">
        <v>1489</v>
      </c>
      <c r="E28" s="266" t="s">
        <v>1488</v>
      </c>
      <c r="F28" s="266">
        <v>3.7305999999999999</v>
      </c>
      <c r="G28" s="266">
        <f>F28/$F$32</f>
        <v>5.1587548519758449E-2</v>
      </c>
      <c r="I28" s="266" t="s">
        <v>1493</v>
      </c>
      <c r="J28" s="266">
        <v>3.9E-2</v>
      </c>
      <c r="M28" s="266" t="s">
        <v>1493</v>
      </c>
      <c r="N28" s="266">
        <v>2.8210000000000002</v>
      </c>
      <c r="Q28" s="266">
        <f>J28*N28</f>
        <v>0.11001900000000001</v>
      </c>
      <c r="S28" s="295">
        <f>F28*J28*N28</f>
        <v>0.41043688140000001</v>
      </c>
      <c r="U28" s="266" t="s">
        <v>1493</v>
      </c>
      <c r="V28" s="266">
        <v>0.41</v>
      </c>
    </row>
    <row r="29" spans="3:29" x14ac:dyDescent="0.25">
      <c r="C29" s="266" t="s">
        <v>1492</v>
      </c>
      <c r="D29" s="266" t="s">
        <v>1489</v>
      </c>
      <c r="E29" s="266" t="s">
        <v>1488</v>
      </c>
      <c r="F29" s="266">
        <v>4.2457000000000003</v>
      </c>
      <c r="G29" s="266">
        <f>F29/$F$32</f>
        <v>5.8710463397399472E-2</v>
      </c>
      <c r="I29" s="266" t="s">
        <v>1492</v>
      </c>
      <c r="J29" s="266">
        <v>0.05</v>
      </c>
      <c r="M29" s="266" t="s">
        <v>1492</v>
      </c>
      <c r="N29" s="266">
        <v>2.2549999999999999</v>
      </c>
      <c r="Q29" s="266">
        <f>J29*N29</f>
        <v>0.11275</v>
      </c>
      <c r="S29" s="295">
        <f>F29*J29*N29</f>
        <v>0.47870267500000002</v>
      </c>
      <c r="U29" s="266" t="s">
        <v>1492</v>
      </c>
      <c r="V29" s="266">
        <v>0.48299999999999998</v>
      </c>
    </row>
    <row r="30" spans="3:29" x14ac:dyDescent="0.25">
      <c r="C30" s="266" t="s">
        <v>1491</v>
      </c>
      <c r="D30" s="266" t="s">
        <v>1489</v>
      </c>
      <c r="E30" s="266" t="s">
        <v>1488</v>
      </c>
      <c r="F30" s="266">
        <v>14.047700000000001</v>
      </c>
      <c r="G30" s="266">
        <f>F30/$F$32</f>
        <v>0.19425465215810078</v>
      </c>
      <c r="I30" s="266" t="s">
        <v>1491</v>
      </c>
      <c r="J30" s="266">
        <v>8.8999999999999996E-2</v>
      </c>
      <c r="M30" s="266" t="s">
        <v>1491</v>
      </c>
      <c r="N30" s="266">
        <v>1.946</v>
      </c>
      <c r="Q30" s="266">
        <f>J30*N30</f>
        <v>0.17319399999999999</v>
      </c>
      <c r="S30" s="295">
        <f>F30*J30*N30</f>
        <v>2.4329773538000001</v>
      </c>
      <c r="U30" s="266" t="s">
        <v>1491</v>
      </c>
      <c r="V30" s="266">
        <v>2.444</v>
      </c>
    </row>
    <row r="31" spans="3:29" x14ac:dyDescent="0.25">
      <c r="C31" s="266" t="s">
        <v>1490</v>
      </c>
      <c r="D31" s="266" t="s">
        <v>1489</v>
      </c>
      <c r="E31" s="266" t="s">
        <v>1488</v>
      </c>
      <c r="F31" s="266">
        <v>50.291899999999998</v>
      </c>
      <c r="G31" s="266">
        <f>F31/$F$32</f>
        <v>0.69544733592474128</v>
      </c>
      <c r="I31" s="266" t="s">
        <v>1490</v>
      </c>
      <c r="J31" s="266">
        <v>0.17699999999999999</v>
      </c>
      <c r="M31" s="266" t="s">
        <v>1490</v>
      </c>
      <c r="N31" s="266">
        <v>2.2360000000000002</v>
      </c>
      <c r="Q31" s="266">
        <f>J31*N31</f>
        <v>0.39577200000000001</v>
      </c>
      <c r="S31" s="295">
        <f>F31*J31*N31</f>
        <v>19.9041258468</v>
      </c>
      <c r="U31" s="266" t="s">
        <v>1490</v>
      </c>
      <c r="V31" s="266">
        <v>19.861000000000001</v>
      </c>
    </row>
    <row r="32" spans="3:29" x14ac:dyDescent="0.25">
      <c r="F32" s="266">
        <f>SUM(F28:F31)</f>
        <v>72.315899999999999</v>
      </c>
      <c r="V32" s="266">
        <f>SUM(V28:V31)</f>
        <v>23.198</v>
      </c>
    </row>
    <row r="33" spans="5:22" x14ac:dyDescent="0.25">
      <c r="U33" s="266" t="s">
        <v>1696</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1695</v>
      </c>
      <c r="K39" s="266" t="s">
        <v>1694</v>
      </c>
      <c r="N39" s="266" t="s">
        <v>1693</v>
      </c>
    </row>
    <row r="40" spans="5:22" x14ac:dyDescent="0.25">
      <c r="F40" s="266" t="s">
        <v>1493</v>
      </c>
      <c r="G40" s="266" t="s">
        <v>1492</v>
      </c>
      <c r="H40" s="266" t="s">
        <v>1491</v>
      </c>
      <c r="I40" s="266" t="s">
        <v>1490</v>
      </c>
      <c r="L40" s="266" t="s">
        <v>1656</v>
      </c>
      <c r="Q40" s="266">
        <v>2012</v>
      </c>
    </row>
    <row r="41" spans="5:22" x14ac:dyDescent="0.25">
      <c r="E41" s="266">
        <v>2012</v>
      </c>
      <c r="F41" s="266">
        <v>4.4299999999999999E-2</v>
      </c>
      <c r="G41" s="266">
        <v>5.04E-2</v>
      </c>
      <c r="H41" s="266">
        <v>0.16669999999999999</v>
      </c>
      <c r="I41" s="266">
        <v>0.59689999999999999</v>
      </c>
      <c r="K41" s="266">
        <v>2012</v>
      </c>
      <c r="L41" s="266">
        <v>0.11017</v>
      </c>
      <c r="N41" s="266" t="s">
        <v>1656</v>
      </c>
      <c r="O41" s="266" t="s">
        <v>1488</v>
      </c>
      <c r="P41" s="266">
        <v>2050</v>
      </c>
      <c r="Q41" s="266">
        <v>765</v>
      </c>
    </row>
    <row r="42" spans="5:22" x14ac:dyDescent="0.25">
      <c r="E42" s="266" t="s">
        <v>164</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145</v>
      </c>
      <c r="I4" s="494" t="s">
        <v>2392</v>
      </c>
      <c r="W4" s="262"/>
    </row>
    <row r="5" spans="4:23" x14ac:dyDescent="0.25">
      <c r="E5" s="299" t="s">
        <v>1779</v>
      </c>
      <c r="F5" s="266" t="s">
        <v>135</v>
      </c>
      <c r="G5" s="292">
        <f>SAM!AL119</f>
        <v>61052.790993083603</v>
      </c>
      <c r="H5" s="266" t="s">
        <v>1772</v>
      </c>
      <c r="W5" s="262"/>
    </row>
    <row r="6" spans="4:23" x14ac:dyDescent="0.25">
      <c r="E6" s="299" t="s">
        <v>1778</v>
      </c>
      <c r="F6" s="266" t="s">
        <v>135</v>
      </c>
      <c r="G6" s="292">
        <f>G5*1.172</f>
        <v>71553.871043893974</v>
      </c>
      <c r="H6" s="266" t="s">
        <v>1770</v>
      </c>
      <c r="W6" s="262"/>
    </row>
    <row r="7" spans="4:23" x14ac:dyDescent="0.25">
      <c r="E7" s="299" t="s">
        <v>1746</v>
      </c>
      <c r="F7" s="266" t="s">
        <v>135</v>
      </c>
      <c r="G7" s="292">
        <f>H51*$G$6</f>
        <v>26551.502063613778</v>
      </c>
      <c r="W7" s="262"/>
    </row>
    <row r="8" spans="4:23" x14ac:dyDescent="0.25">
      <c r="E8" s="299" t="s">
        <v>1750</v>
      </c>
      <c r="F8" s="266" t="s">
        <v>135</v>
      </c>
      <c r="G8" s="292">
        <f>H52*$G$6</f>
        <v>10262.042713754645</v>
      </c>
      <c r="W8" s="262"/>
    </row>
    <row r="9" spans="4:23" x14ac:dyDescent="0.25">
      <c r="E9" s="299" t="s">
        <v>1774</v>
      </c>
      <c r="F9" s="266" t="s">
        <v>135</v>
      </c>
      <c r="G9" s="292">
        <f>H53*$G$6</f>
        <v>34740.326266525561</v>
      </c>
      <c r="W9" s="262"/>
    </row>
    <row r="10" spans="4:23" x14ac:dyDescent="0.25">
      <c r="E10" s="299" t="s">
        <v>1777</v>
      </c>
      <c r="F10" s="266" t="s">
        <v>135</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1776</v>
      </c>
      <c r="F11" s="266" t="s">
        <v>135</v>
      </c>
      <c r="G11" s="471">
        <f>G10*1.172</f>
        <v>48796.242064783379</v>
      </c>
      <c r="H11" s="266" t="s">
        <v>1770</v>
      </c>
      <c r="I11" s="302">
        <f>I10/1.22*1000</f>
        <v>60255.324777835827</v>
      </c>
      <c r="W11" s="262"/>
    </row>
    <row r="12" spans="4:23" x14ac:dyDescent="0.25">
      <c r="E12" s="299" t="s">
        <v>1746</v>
      </c>
      <c r="F12" s="266" t="s">
        <v>135</v>
      </c>
      <c r="G12" s="292">
        <f>H51*$G$11</f>
        <v>18106.826408943169</v>
      </c>
      <c r="I12" s="292">
        <f>H51*$I$11</f>
        <v>22358.949373975913</v>
      </c>
      <c r="W12" s="262"/>
    </row>
    <row r="13" spans="4:23" x14ac:dyDescent="0.25">
      <c r="E13" s="299" t="s">
        <v>1775</v>
      </c>
      <c r="F13" s="266" t="s">
        <v>135</v>
      </c>
      <c r="G13" s="292">
        <f>H52*$G$11</f>
        <v>6998.2114598990574</v>
      </c>
      <c r="I13" s="292">
        <f t="shared" ref="I13:I14" si="0">H52*$I$11</f>
        <v>8641.6389159713526</v>
      </c>
      <c r="W13" s="262"/>
    </row>
    <row r="14" spans="4:23" x14ac:dyDescent="0.25">
      <c r="E14" s="299" t="s">
        <v>1774</v>
      </c>
      <c r="F14" s="266" t="s">
        <v>135</v>
      </c>
      <c r="G14" s="292">
        <f>H53*$G$11</f>
        <v>23691.204195941154</v>
      </c>
      <c r="I14" s="292">
        <f t="shared" si="0"/>
        <v>29254.736487888567</v>
      </c>
    </row>
    <row r="15" spans="4:23" x14ac:dyDescent="0.25">
      <c r="E15" s="299" t="s">
        <v>1773</v>
      </c>
      <c r="F15" s="266" t="s">
        <v>135</v>
      </c>
      <c r="G15" s="292">
        <f>SAM!AL62+SAM!AL79+SAM!AL103+SAM!AL142</f>
        <v>38479.313744107218</v>
      </c>
      <c r="H15" s="266" t="s">
        <v>1772</v>
      </c>
      <c r="I15" s="302">
        <f>SUM('SAM2019'!BK99:BK105)+SUM('SAM2019'!BK128:BK130)</f>
        <v>57.226943223759037</v>
      </c>
      <c r="J15" s="292"/>
    </row>
    <row r="16" spans="4:23" x14ac:dyDescent="0.25">
      <c r="E16" s="299" t="s">
        <v>1771</v>
      </c>
      <c r="F16" s="266" t="s">
        <v>135</v>
      </c>
      <c r="G16" s="292">
        <f>G15*1.172</f>
        <v>45097.755708093653</v>
      </c>
      <c r="H16" s="266" t="s">
        <v>1770</v>
      </c>
      <c r="I16" s="302">
        <f>I15/1.22</f>
        <v>46.907330511277898</v>
      </c>
    </row>
    <row r="17" spans="5:9" x14ac:dyDescent="0.25">
      <c r="E17" s="299" t="s">
        <v>116</v>
      </c>
      <c r="F17" s="266" t="s">
        <v>135</v>
      </c>
      <c r="G17" s="292">
        <f>G16+G11+G6</f>
        <v>165447.86881677102</v>
      </c>
      <c r="H17" s="292">
        <f>G5+G10+G15</f>
        <v>141167.1235637978</v>
      </c>
    </row>
    <row r="18" spans="5:9" x14ac:dyDescent="0.25">
      <c r="E18" s="299" t="s">
        <v>43</v>
      </c>
      <c r="F18" s="266" t="s">
        <v>139</v>
      </c>
      <c r="G18" s="306">
        <v>208</v>
      </c>
      <c r="H18" s="266">
        <f>764/3.6</f>
        <v>212.22222222222223</v>
      </c>
    </row>
    <row r="19" spans="5:9" x14ac:dyDescent="0.25">
      <c r="E19" s="299" t="s">
        <v>1769</v>
      </c>
      <c r="F19" s="266" t="s">
        <v>160</v>
      </c>
      <c r="G19" s="295">
        <f>G17/G18/1000</f>
        <v>0.79542244623447611</v>
      </c>
      <c r="H19" s="295">
        <f>H17/H18/1000</f>
        <v>0.66518539899171736</v>
      </c>
      <c r="I19" s="266">
        <f>0.183*3.6</f>
        <v>0.65880000000000005</v>
      </c>
    </row>
    <row r="20" spans="5:9" x14ac:dyDescent="0.25">
      <c r="E20" s="299" t="s">
        <v>1768</v>
      </c>
      <c r="F20" s="266" t="s">
        <v>160</v>
      </c>
      <c r="G20" s="295">
        <f>G19/1.172</f>
        <v>0.67868809405672026</v>
      </c>
      <c r="H20" s="295"/>
    </row>
    <row r="21" spans="5:9" x14ac:dyDescent="0.25">
      <c r="E21" s="299" t="s">
        <v>523</v>
      </c>
      <c r="G21" s="266" t="s">
        <v>1767</v>
      </c>
      <c r="H21" s="266" t="s">
        <v>145</v>
      </c>
    </row>
    <row r="22" spans="5:9" x14ac:dyDescent="0.25">
      <c r="E22" s="299" t="s">
        <v>1477</v>
      </c>
      <c r="F22" s="266" t="s">
        <v>135</v>
      </c>
      <c r="G22" s="266">
        <v>9894</v>
      </c>
      <c r="H22" s="266" t="s">
        <v>1766</v>
      </c>
    </row>
    <row r="23" spans="5:9" x14ac:dyDescent="0.25">
      <c r="E23" s="299" t="s">
        <v>129</v>
      </c>
      <c r="F23" s="266" t="s">
        <v>135</v>
      </c>
      <c r="G23" s="266">
        <v>397</v>
      </c>
    </row>
    <row r="24" spans="5:9" x14ac:dyDescent="0.25">
      <c r="E24" s="299" t="s">
        <v>1471</v>
      </c>
      <c r="F24" s="266" t="s">
        <v>135</v>
      </c>
      <c r="G24" s="266">
        <v>8298</v>
      </c>
    </row>
    <row r="25" spans="5:9" x14ac:dyDescent="0.25">
      <c r="E25" s="299" t="s">
        <v>1765</v>
      </c>
      <c r="F25" s="266" t="s">
        <v>135</v>
      </c>
      <c r="G25" s="266">
        <v>211</v>
      </c>
    </row>
    <row r="26" spans="5:9" x14ac:dyDescent="0.25">
      <c r="E26" s="299" t="s">
        <v>1764</v>
      </c>
      <c r="F26" s="266" t="s">
        <v>135</v>
      </c>
      <c r="G26" s="266">
        <v>18801</v>
      </c>
    </row>
    <row r="27" spans="5:9" x14ac:dyDescent="0.25">
      <c r="E27" s="299" t="s">
        <v>1763</v>
      </c>
      <c r="F27" s="266" t="s">
        <v>135</v>
      </c>
      <c r="G27" s="266">
        <v>-5542</v>
      </c>
    </row>
    <row r="28" spans="5:9" x14ac:dyDescent="0.25">
      <c r="E28" s="299" t="s">
        <v>1762</v>
      </c>
      <c r="F28" s="266" t="s">
        <v>135</v>
      </c>
    </row>
    <row r="29" spans="5:9" x14ac:dyDescent="0.25">
      <c r="E29" s="299" t="s">
        <v>1761</v>
      </c>
      <c r="F29" s="266" t="s">
        <v>135</v>
      </c>
      <c r="G29" s="266">
        <v>-2815</v>
      </c>
    </row>
    <row r="30" spans="5:9" x14ac:dyDescent="0.25">
      <c r="E30" s="299" t="s">
        <v>1760</v>
      </c>
      <c r="F30" s="266" t="s">
        <v>135</v>
      </c>
      <c r="G30" s="266">
        <v>10443</v>
      </c>
    </row>
    <row r="31" spans="5:9" x14ac:dyDescent="0.25">
      <c r="E31" s="299"/>
    </row>
    <row r="32" spans="5:9" x14ac:dyDescent="0.25">
      <c r="E32" s="299"/>
    </row>
    <row r="33" spans="5:23" x14ac:dyDescent="0.25">
      <c r="E33" s="299" t="s">
        <v>1759</v>
      </c>
    </row>
    <row r="34" spans="5:23" x14ac:dyDescent="0.25">
      <c r="E34" s="299" t="s">
        <v>1758</v>
      </c>
      <c r="F34" s="266" t="s">
        <v>124</v>
      </c>
      <c r="G34" s="292">
        <v>784</v>
      </c>
      <c r="I34" s="266" t="s">
        <v>1757</v>
      </c>
    </row>
    <row r="35" spans="5:23" x14ac:dyDescent="0.25">
      <c r="E35" s="299" t="s">
        <v>523</v>
      </c>
      <c r="F35" s="266" t="s">
        <v>124</v>
      </c>
      <c r="G35" s="292">
        <v>40329</v>
      </c>
      <c r="I35" s="266" t="s">
        <v>1756</v>
      </c>
    </row>
    <row r="36" spans="5:23" x14ac:dyDescent="0.25">
      <c r="E36" s="299" t="s">
        <v>159</v>
      </c>
      <c r="F36" s="266" t="s">
        <v>124</v>
      </c>
      <c r="G36" s="292">
        <f>G35+G34</f>
        <v>41113</v>
      </c>
    </row>
    <row r="37" spans="5:23" x14ac:dyDescent="0.25">
      <c r="E37" s="299"/>
      <c r="G37" s="292"/>
    </row>
    <row r="38" spans="5:23" x14ac:dyDescent="0.25">
      <c r="E38" s="299" t="s">
        <v>1471</v>
      </c>
      <c r="G38" s="292"/>
    </row>
    <row r="39" spans="5:23" x14ac:dyDescent="0.25">
      <c r="E39" s="299" t="s">
        <v>523</v>
      </c>
      <c r="F39" s="266" t="s">
        <v>1128</v>
      </c>
      <c r="G39" s="292">
        <f>212107-92140-626</f>
        <v>119341</v>
      </c>
      <c r="I39" s="266" t="s">
        <v>1755</v>
      </c>
    </row>
    <row r="40" spans="5:23" x14ac:dyDescent="0.25">
      <c r="E40" s="299" t="s">
        <v>1754</v>
      </c>
      <c r="F40" s="266" t="s">
        <v>1128</v>
      </c>
      <c r="G40" s="292">
        <f>96537-2290</f>
        <v>94247</v>
      </c>
      <c r="I40" s="266" t="s">
        <v>1753</v>
      </c>
    </row>
    <row r="41" spans="5:23" x14ac:dyDescent="0.25">
      <c r="E41" s="299" t="s">
        <v>116</v>
      </c>
      <c r="F41" s="266" t="s">
        <v>1128</v>
      </c>
      <c r="G41" s="292">
        <f>G40+G39</f>
        <v>213588</v>
      </c>
    </row>
    <row r="42" spans="5:23" x14ac:dyDescent="0.25">
      <c r="E42" s="299"/>
      <c r="G42" s="292"/>
      <c r="W42" s="297"/>
    </row>
    <row r="43" spans="5:23" x14ac:dyDescent="0.25">
      <c r="E43" s="299"/>
      <c r="G43" s="292"/>
      <c r="W43" s="297"/>
    </row>
    <row r="44" spans="5:23" x14ac:dyDescent="0.25">
      <c r="E44" s="299" t="s">
        <v>1752</v>
      </c>
      <c r="G44" s="292"/>
    </row>
    <row r="45" spans="5:23" x14ac:dyDescent="0.25">
      <c r="E45" s="299" t="s">
        <v>1746</v>
      </c>
      <c r="G45" s="292">
        <f>G22*G36/G35</f>
        <v>10086.340400208286</v>
      </c>
      <c r="H45" s="266" t="s">
        <v>1751</v>
      </c>
    </row>
    <row r="46" spans="5:23" x14ac:dyDescent="0.25">
      <c r="E46" s="299" t="s">
        <v>1750</v>
      </c>
      <c r="G46" s="292">
        <f>G23+G25</f>
        <v>608</v>
      </c>
      <c r="H46" s="266" t="s">
        <v>1749</v>
      </c>
      <c r="W46" s="297"/>
    </row>
    <row r="47" spans="5:23" x14ac:dyDescent="0.25">
      <c r="E47" s="299" t="s">
        <v>1744</v>
      </c>
      <c r="G47" s="292">
        <f>G24*G41/G39</f>
        <v>14851.167863517148</v>
      </c>
      <c r="H47" s="266" t="s">
        <v>1748</v>
      </c>
      <c r="W47" s="297"/>
    </row>
    <row r="48" spans="5:23" x14ac:dyDescent="0.25">
      <c r="E48" s="299" t="s">
        <v>116</v>
      </c>
      <c r="G48" s="292">
        <f>SUM(G45:G47)</f>
        <v>25545.508263725435</v>
      </c>
    </row>
    <row r="49" spans="4:23" x14ac:dyDescent="0.25">
      <c r="E49" s="299" t="s">
        <v>1537</v>
      </c>
      <c r="G49" s="292">
        <f>G10-G48</f>
        <v>16089.510562881547</v>
      </c>
      <c r="W49" s="297"/>
    </row>
    <row r="50" spans="4:23" x14ac:dyDescent="0.25">
      <c r="E50" s="299" t="s">
        <v>1747</v>
      </c>
      <c r="G50" s="292"/>
      <c r="W50" s="297"/>
    </row>
    <row r="51" spans="4:23" x14ac:dyDescent="0.25">
      <c r="E51" s="299" t="s">
        <v>1746</v>
      </c>
      <c r="G51" s="292">
        <f>G$49/3+G45</f>
        <v>15449.51058783547</v>
      </c>
      <c r="H51" s="262">
        <f>G51/$G$10</f>
        <v>0.37107009972005617</v>
      </c>
      <c r="W51" s="297"/>
    </row>
    <row r="52" spans="4:23" x14ac:dyDescent="0.25">
      <c r="E52" s="299" t="s">
        <v>1745</v>
      </c>
      <c r="G52" s="292">
        <f>G$49/3+G46</f>
        <v>5971.1701876271827</v>
      </c>
      <c r="H52" s="262">
        <f>G52/$G$10</f>
        <v>0.14341701663435513</v>
      </c>
      <c r="W52" s="297"/>
    </row>
    <row r="53" spans="4:23" x14ac:dyDescent="0.25">
      <c r="E53" s="299" t="s">
        <v>1744</v>
      </c>
      <c r="G53" s="292">
        <f>G$49/3+G47</f>
        <v>20214.338051144332</v>
      </c>
      <c r="H53" s="262">
        <f>G53/$G$10</f>
        <v>0.48551288364558876</v>
      </c>
    </row>
    <row r="54" spans="4:23" x14ac:dyDescent="0.25">
      <c r="E54" s="299"/>
    </row>
    <row r="55" spans="4:23" x14ac:dyDescent="0.25">
      <c r="E55" s="299"/>
      <c r="J55" s="299" t="s">
        <v>161</v>
      </c>
      <c r="K55" s="266">
        <v>60</v>
      </c>
      <c r="L55" s="299" t="s">
        <v>1743</v>
      </c>
      <c r="M55" s="266">
        <f>M74/L73</f>
        <v>0.74295187856469103</v>
      </c>
    </row>
    <row r="56" spans="4:23" x14ac:dyDescent="0.25">
      <c r="E56" s="299" t="s">
        <v>1471</v>
      </c>
      <c r="J56" s="299" t="s">
        <v>1742</v>
      </c>
      <c r="K56" s="312">
        <v>8.2000000000000003E-2</v>
      </c>
      <c r="W56" s="297"/>
    </row>
    <row r="57" spans="4:23" s="308" customFormat="1" ht="60" x14ac:dyDescent="0.25">
      <c r="E57" s="309" t="s">
        <v>379</v>
      </c>
      <c r="F57" s="309" t="s">
        <v>1736</v>
      </c>
      <c r="G57" s="309" t="s">
        <v>1741</v>
      </c>
      <c r="H57" s="309" t="s">
        <v>1740</v>
      </c>
      <c r="I57" s="309" t="s">
        <v>164</v>
      </c>
      <c r="J57" s="311">
        <f>PMT(8.2%,60,-1,0,1)</f>
        <v>7.6461363904318166E-2</v>
      </c>
      <c r="K57" s="309" t="s">
        <v>1734</v>
      </c>
      <c r="L57" s="309" t="s">
        <v>1733</v>
      </c>
      <c r="M57" s="309" t="s">
        <v>1732</v>
      </c>
      <c r="N57" s="309" t="s">
        <v>1731</v>
      </c>
      <c r="O57" s="309" t="s">
        <v>164</v>
      </c>
      <c r="P57" s="309" t="s">
        <v>1728</v>
      </c>
      <c r="Q57" s="309" t="s">
        <v>1739</v>
      </c>
      <c r="W57" s="310"/>
    </row>
    <row r="58" spans="4:23" x14ac:dyDescent="0.25">
      <c r="D58" s="266" t="s">
        <v>213</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211</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209</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207</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205</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203</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201</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199</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197</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195</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193</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191</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189</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187</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550</v>
      </c>
      <c r="M74" s="292">
        <f>G9</f>
        <v>34740.326266525561</v>
      </c>
      <c r="P74" s="292">
        <f>G14</f>
        <v>23691.204195941154</v>
      </c>
    </row>
    <row r="76" spans="4:18" x14ac:dyDescent="0.25">
      <c r="E76" s="299" t="s">
        <v>129</v>
      </c>
      <c r="F76" s="299"/>
      <c r="G76" s="299"/>
      <c r="H76" s="299"/>
      <c r="I76" s="299"/>
      <c r="J76" s="299"/>
      <c r="K76" s="299"/>
      <c r="L76" s="299"/>
      <c r="M76" s="299">
        <v>2012</v>
      </c>
      <c r="N76" s="299" t="s">
        <v>1731</v>
      </c>
      <c r="O76" s="299"/>
      <c r="P76" s="299"/>
      <c r="Q76" s="299" t="s">
        <v>1738</v>
      </c>
    </row>
    <row r="77" spans="4:18" x14ac:dyDescent="0.25">
      <c r="D77" s="347" t="s">
        <v>128</v>
      </c>
      <c r="F77" s="266">
        <v>34.200000000000003</v>
      </c>
      <c r="G77" s="266">
        <f>F77</f>
        <v>34.200000000000003</v>
      </c>
      <c r="K77" s="266">
        <f>PMT($K$56,$K$55,-1,0,1)</f>
        <v>7.646136390431818E-2</v>
      </c>
      <c r="N77" s="302">
        <f>M78/K77/G77</f>
        <v>3924.3313635870418</v>
      </c>
      <c r="Q77" s="306">
        <f>P78/G77</f>
        <v>204.62606607891979</v>
      </c>
    </row>
    <row r="78" spans="4:18" x14ac:dyDescent="0.25">
      <c r="D78" s="266" t="s">
        <v>550</v>
      </c>
      <c r="M78" s="292">
        <f>G8</f>
        <v>10262.042713754645</v>
      </c>
      <c r="P78" s="292">
        <f>G13</f>
        <v>6998.2114598990574</v>
      </c>
    </row>
    <row r="80" spans="4:18" x14ac:dyDescent="0.25">
      <c r="E80" s="309" t="s">
        <v>1477</v>
      </c>
      <c r="F80" s="299"/>
      <c r="G80" s="299"/>
      <c r="H80" s="299"/>
      <c r="I80" s="299"/>
      <c r="J80" s="299"/>
      <c r="K80" s="299"/>
      <c r="L80" s="299"/>
      <c r="M80" s="299"/>
      <c r="N80" s="299"/>
      <c r="O80" s="299"/>
      <c r="P80" s="299"/>
      <c r="Q80" s="299"/>
      <c r="R80" s="299"/>
    </row>
    <row r="81" spans="4:27" s="308" customFormat="1" ht="60" x14ac:dyDescent="0.25">
      <c r="E81" s="309" t="s">
        <v>1737</v>
      </c>
      <c r="F81" s="309" t="s">
        <v>1736</v>
      </c>
      <c r="G81" s="309" t="s">
        <v>1735</v>
      </c>
      <c r="H81" s="309" t="s">
        <v>1734</v>
      </c>
      <c r="I81" s="309" t="s">
        <v>1733</v>
      </c>
      <c r="J81" s="309" t="s">
        <v>1732</v>
      </c>
      <c r="K81" s="309" t="s">
        <v>1731</v>
      </c>
      <c r="L81" s="309" t="s">
        <v>1730</v>
      </c>
      <c r="M81" s="309" t="s">
        <v>1729</v>
      </c>
      <c r="N81" s="309" t="s">
        <v>1728</v>
      </c>
      <c r="O81" s="309" t="s">
        <v>1727</v>
      </c>
      <c r="P81" s="308" t="s">
        <v>1726</v>
      </c>
      <c r="Q81" s="308" t="s">
        <v>1725</v>
      </c>
      <c r="R81" s="308" t="s">
        <v>120</v>
      </c>
      <c r="S81" s="308" t="s">
        <v>1724</v>
      </c>
    </row>
    <row r="82" spans="4:27" x14ac:dyDescent="0.25">
      <c r="D82" s="266" t="s">
        <v>283</v>
      </c>
      <c r="E82" s="297">
        <v>22451</v>
      </c>
      <c r="F82" s="266">
        <f>INDEX(ProcDataGenPre2012!$AV$9:$AV$30,MATCH(D82,ProcDataGenPre2012!$B$9:$B$30,0))</f>
        <v>1.58</v>
      </c>
      <c r="G82" s="266">
        <f>INDEX(ProcDataGenPre2012!$M$9:$M$30,MATCH(D82,ProcDataGenPre2012!$B$9:$B$30,0))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289</v>
      </c>
      <c r="E83" s="297">
        <v>22781.423999999999</v>
      </c>
      <c r="F83" s="266">
        <f>INDEX(ProcDataGenPre2012!$AV$9:$AV$30,MATCH(D83,ProcDataGenPre2012!$B$9:$B$30,0))</f>
        <v>0.66500000000000004</v>
      </c>
      <c r="G83" s="266">
        <f>INDEX(ProcDataGenPre2012!$M$9:$M$30,MATCH(D83,ProcDataGenPre2012!$B$9:$B$30,0))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265</v>
      </c>
      <c r="AA83" s="266">
        <v>30</v>
      </c>
    </row>
    <row r="84" spans="4:27" x14ac:dyDescent="0.25">
      <c r="D84" s="266" t="s">
        <v>287</v>
      </c>
      <c r="E84" s="297">
        <v>22781.423999999999</v>
      </c>
      <c r="F84" s="266">
        <f>INDEX(ProcDataGenPre2012!$AV$9:$AV$30,MATCH(D84,ProcDataGenPre2012!$B$9:$B$30,0))</f>
        <v>1.5</v>
      </c>
      <c r="G84" s="266">
        <f>INDEX(ProcDataGenPre2012!$M$9:$M$30,MATCH(D84,ProcDataGenPre2012!$B$9:$B$30,0))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315</v>
      </c>
      <c r="Z84" s="266">
        <v>10</v>
      </c>
      <c r="AA84" s="266">
        <v>10</v>
      </c>
    </row>
    <row r="85" spans="4:27" x14ac:dyDescent="0.25">
      <c r="D85" s="266" t="s">
        <v>315</v>
      </c>
      <c r="E85" s="297">
        <v>38904</v>
      </c>
      <c r="F85" s="266">
        <f>INDEX(ProcDataGenPre2012!$AV$9:$AV$30,MATCH(D85,ProcDataGenPre2012!$B$9:$B$30,0))</f>
        <v>2.2320000000000002</v>
      </c>
      <c r="G85" s="266">
        <f>INDEX(ProcDataGenPre2012!$M$9:$M$30,MATCH(D85,ProcDataGenPre2012!$B$9:$B$30,0))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321</v>
      </c>
      <c r="Z85" s="266">
        <v>10</v>
      </c>
      <c r="AA85" s="266">
        <v>10</v>
      </c>
    </row>
    <row r="86" spans="4:27" x14ac:dyDescent="0.25">
      <c r="D86" s="266" t="s">
        <v>321</v>
      </c>
      <c r="E86" s="297">
        <v>38904</v>
      </c>
      <c r="F86" s="266">
        <f>INDEX(ProcDataGenPre2012!$AV$9:$AV$30,MATCH(D86,ProcDataGenPre2012!$B$9:$B$30,0))</f>
        <v>1.45</v>
      </c>
      <c r="G86" s="266">
        <f>INDEX(ProcDataGenPre2012!$M$9:$M$30,MATCH(D86,ProcDataGenPre2012!$B$9:$B$30,0))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313</v>
      </c>
      <c r="Z86" s="266">
        <v>9</v>
      </c>
      <c r="AA86" s="266">
        <v>9</v>
      </c>
    </row>
    <row r="87" spans="4:27" x14ac:dyDescent="0.25">
      <c r="D87" s="266" t="s">
        <v>313</v>
      </c>
      <c r="E87" s="297">
        <v>38904</v>
      </c>
      <c r="F87" s="266">
        <f>INDEX(ProcDataGenPre2012!$AV$9:$AV$30,MATCH(D87,ProcDataGenPre2012!$B$9:$B$30,0))</f>
        <v>3.45</v>
      </c>
      <c r="G87" s="266">
        <f>INDEX(ProcDataGenPre2012!$M$9:$M$30,MATCH(D87,ProcDataGenPre2012!$B$9:$B$30,0))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319</v>
      </c>
      <c r="Z87" s="266">
        <v>10</v>
      </c>
      <c r="AA87" s="266">
        <v>10</v>
      </c>
    </row>
    <row r="88" spans="4:27" x14ac:dyDescent="0.25">
      <c r="D88" s="266" t="s">
        <v>319</v>
      </c>
      <c r="E88" s="297">
        <v>38904</v>
      </c>
      <c r="F88" s="266">
        <f>INDEX(ProcDataGenPre2012!$AV$9:$AV$30,MATCH(D88,ProcDataGenPre2012!$B$9:$B$30,0))</f>
        <v>1.0900000000000001</v>
      </c>
      <c r="G88" s="266">
        <f>INDEX(ProcDataGenPre2012!$M$9:$M$30,MATCH(D88,ProcDataGenPre2012!$B$9:$B$30,0))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311</v>
      </c>
      <c r="Z88" s="266">
        <v>10</v>
      </c>
      <c r="AA88" s="266">
        <v>10</v>
      </c>
    </row>
    <row r="89" spans="4:27" x14ac:dyDescent="0.25">
      <c r="D89" s="266" t="s">
        <v>311</v>
      </c>
      <c r="E89" s="297">
        <v>38904</v>
      </c>
      <c r="F89" s="266">
        <f>INDEX(ProcDataGenPre2012!$AV$9:$AV$30,MATCH(D89,ProcDataGenPre2012!$B$9:$B$30,0))</f>
        <v>1.865</v>
      </c>
      <c r="G89" s="266">
        <f>INDEX(ProcDataGenPre2012!$M$9:$M$30,MATCH(D89,ProcDataGenPre2012!$B$9:$B$30,0))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1323</v>
      </c>
      <c r="AA89" s="266">
        <v>30</v>
      </c>
    </row>
    <row r="90" spans="4:27" x14ac:dyDescent="0.25">
      <c r="D90" s="266" t="s">
        <v>293</v>
      </c>
      <c r="E90" s="297">
        <v>38904</v>
      </c>
      <c r="F90" s="266">
        <f>INDEX(ProcDataGenPre2012!$AV$9:$AV$30,MATCH(D90,ProcDataGenPre2012!$B$9:$B$30,0))</f>
        <v>0.6</v>
      </c>
      <c r="G90" s="266">
        <f>INDEX(ProcDataGenPre2012!$M$9:$M$30,MATCH(D90,ProcDataGenPre2012!$B$9:$B$30,0))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1321</v>
      </c>
      <c r="AA90" s="266">
        <v>10</v>
      </c>
    </row>
    <row r="91" spans="4:27" x14ac:dyDescent="0.25">
      <c r="D91" s="266" t="s">
        <v>309</v>
      </c>
      <c r="E91" s="297">
        <v>38904</v>
      </c>
      <c r="F91" s="266">
        <f>INDEX(ProcDataGenPre2012!$AV$9:$AV$30,MATCH(D91,ProcDataGenPre2012!$B$9:$B$30,0))</f>
        <v>3.84</v>
      </c>
      <c r="G91" s="266">
        <f>INDEX(ProcDataGenPre2012!$M$9:$M$30,MATCH(D91,ProcDataGenPre2012!$B$9:$B$30,0))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293</v>
      </c>
      <c r="Z91" s="266">
        <v>10</v>
      </c>
      <c r="AA91" s="266">
        <v>10</v>
      </c>
    </row>
    <row r="92" spans="4:27" x14ac:dyDescent="0.25">
      <c r="D92" s="266" t="s">
        <v>317</v>
      </c>
      <c r="E92" s="297">
        <v>38904</v>
      </c>
      <c r="F92" s="266">
        <f>INDEX(ProcDataGenPre2012!$AV$9:$AV$30,MATCH(D92,ProcDataGenPre2012!$B$9:$B$30,0))</f>
        <v>0.79100000000000004</v>
      </c>
      <c r="G92" s="266">
        <f>INDEX(ProcDataGenPre2012!$M$9:$M$30,MATCH(D92,ProcDataGenPre2012!$B$9:$B$30,0))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309</v>
      </c>
      <c r="Z92" s="266">
        <v>16</v>
      </c>
      <c r="AA92" s="266">
        <v>16</v>
      </c>
    </row>
    <row r="93" spans="4:27" x14ac:dyDescent="0.25">
      <c r="D93" s="266" t="s">
        <v>307</v>
      </c>
      <c r="E93" s="297">
        <v>38904</v>
      </c>
      <c r="F93" s="266">
        <f>INDEX(ProcDataGenPre2012!$AV$9:$AV$30,MATCH(D93,ProcDataGenPre2012!$B$9:$B$30,0))</f>
        <v>2.85</v>
      </c>
      <c r="G93" s="266">
        <f>INDEX(ProcDataGenPre2012!$M$9:$M$30,MATCH(D93,ProcDataGenPre2012!$B$9:$B$30,0))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317</v>
      </c>
      <c r="Z93" s="266">
        <v>10</v>
      </c>
      <c r="AA93" s="266">
        <v>10</v>
      </c>
    </row>
    <row r="94" spans="4:27" x14ac:dyDescent="0.25">
      <c r="D94" s="266" t="s">
        <v>305</v>
      </c>
      <c r="E94" s="297">
        <v>38904</v>
      </c>
      <c r="F94" s="266">
        <f>INDEX(ProcDataGenPre2012!$AV$9:$AV$30,MATCH(D94,ProcDataGenPre2012!$B$9:$B$30,0))</f>
        <v>3.5579999999999998</v>
      </c>
      <c r="G94" s="266">
        <f>INDEX(ProcDataGenPre2012!$M$9:$M$30,MATCH(D94,ProcDataGenPre2012!$B$9:$B$30,0))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307</v>
      </c>
      <c r="Z94" s="266">
        <v>10</v>
      </c>
      <c r="AA94" s="266">
        <v>10</v>
      </c>
    </row>
    <row r="95" spans="4:27" x14ac:dyDescent="0.25">
      <c r="D95" s="266" t="s">
        <v>303</v>
      </c>
      <c r="E95" s="297">
        <v>38904</v>
      </c>
      <c r="F95" s="266">
        <f>INDEX(ProcDataGenPre2012!$AV$9:$AV$30,MATCH(D95,ProcDataGenPre2012!$B$9:$B$30,0))</f>
        <v>1.8330000000000002</v>
      </c>
      <c r="G95" s="266">
        <f>INDEX(ProcDataGenPre2012!$M$9:$M$30,MATCH(D95,ProcDataGenPre2012!$B$9:$B$30,0))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305</v>
      </c>
      <c r="Z95" s="266">
        <v>15</v>
      </c>
      <c r="AA95" s="266">
        <v>15</v>
      </c>
    </row>
    <row r="96" spans="4:27" x14ac:dyDescent="0.25">
      <c r="D96" s="266" t="s">
        <v>301</v>
      </c>
      <c r="E96" s="297">
        <v>38904</v>
      </c>
      <c r="F96" s="266">
        <f>INDEX(ProcDataGenPre2012!$AV$9:$AV$30,MATCH(D96,ProcDataGenPre2012!$B$9:$B$30,0))</f>
        <v>2.0099999999999998</v>
      </c>
      <c r="G96" s="266">
        <f>INDEX(ProcDataGenPre2012!$M$9:$M$30,MATCH(D96,ProcDataGenPre2012!$B$9:$B$30,0))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303</v>
      </c>
      <c r="Z96" s="266">
        <v>22</v>
      </c>
      <c r="AA96" s="266">
        <v>22</v>
      </c>
    </row>
    <row r="97" spans="4:27" x14ac:dyDescent="0.25">
      <c r="D97" s="266" t="s">
        <v>299</v>
      </c>
      <c r="E97" s="297">
        <v>38904</v>
      </c>
      <c r="F97" s="266">
        <f>INDEX(ProcDataGenPre2012!$AV$9:$AV$30,MATCH(D97,ProcDataGenPre2012!$B$9:$B$30,0))</f>
        <v>3.69</v>
      </c>
      <c r="G97" s="266">
        <f>INDEX(ProcDataGenPre2012!$M$9:$M$30,MATCH(D97,ProcDataGenPre2012!$B$9:$B$30,0))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301</v>
      </c>
      <c r="Z97" s="266">
        <v>25</v>
      </c>
      <c r="AA97" s="266">
        <v>25</v>
      </c>
    </row>
    <row r="98" spans="4:27" x14ac:dyDescent="0.25">
      <c r="D98" s="266" t="s">
        <v>297</v>
      </c>
      <c r="E98" s="297">
        <v>38904</v>
      </c>
      <c r="F98" s="266">
        <f>INDEX(ProcDataGenPre2012!$AV$9:$AV$30,MATCH(D98,ProcDataGenPre2012!$B$9:$B$30,0))</f>
        <v>3.45</v>
      </c>
      <c r="G98" s="266">
        <f>INDEX(ProcDataGenPre2012!$M$9:$M$30,MATCH(D98,ProcDataGenPre2012!$B$9:$B$30,0))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299</v>
      </c>
      <c r="AA98" s="266">
        <v>10</v>
      </c>
    </row>
    <row r="99" spans="4:27" x14ac:dyDescent="0.25">
      <c r="D99" s="266" t="s">
        <v>278</v>
      </c>
      <c r="E99" s="297">
        <v>38904</v>
      </c>
      <c r="F99" s="266">
        <f>INDEX(ProcDataGenPre2012!$AV$9:$AV$30,MATCH(D99,ProcDataGenPre2012!$B$9:$B$30,0))</f>
        <v>0.128</v>
      </c>
      <c r="G99" s="266">
        <f>INDEX(ProcDataGenPre2012!$M$9:$M$30,MATCH(D99,ProcDataGenPre2012!$B$9:$B$30,0))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297</v>
      </c>
      <c r="Z99" s="266">
        <v>10</v>
      </c>
      <c r="AA99" s="266">
        <v>10</v>
      </c>
    </row>
    <row r="100" spans="4:27" x14ac:dyDescent="0.25">
      <c r="D100" s="266" t="s">
        <v>280</v>
      </c>
      <c r="E100" s="297">
        <v>38904</v>
      </c>
      <c r="F100" s="266">
        <f>INDEX(ProcDataGenPre2012!$AV$9:$AV$30,MATCH(D100,ProcDataGenPre2012!$B$9:$B$30,0))</f>
        <v>0.6</v>
      </c>
      <c r="G100" s="266">
        <f>INDEX(ProcDataGenPre2012!$M$9:$M$30,MATCH(D100,ProcDataGenPre2012!$B$9:$B$30,0))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278</v>
      </c>
      <c r="Z100" s="266">
        <v>10</v>
      </c>
      <c r="AA100" s="266">
        <v>10</v>
      </c>
    </row>
    <row r="101" spans="4:27" x14ac:dyDescent="0.25">
      <c r="D101" s="266" t="s">
        <v>295</v>
      </c>
      <c r="E101" s="297">
        <v>38904</v>
      </c>
      <c r="F101" s="266">
        <f>INDEX(ProcDataGenPre2012!$AV$9:$AV$30,MATCH(D101,ProcDataGenPre2012!$B$9:$B$30,0))</f>
        <v>3.51</v>
      </c>
      <c r="G101" s="266">
        <f>INDEX(ProcDataGenPre2012!$M$9:$M$30,MATCH(D101,ProcDataGenPre2012!$B$9:$B$30,0))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1303</v>
      </c>
      <c r="Z101" s="266">
        <v>10</v>
      </c>
      <c r="AA101" s="266">
        <v>10</v>
      </c>
    </row>
    <row r="102" spans="4:27" x14ac:dyDescent="0.25">
      <c r="D102" s="266" t="s">
        <v>285</v>
      </c>
      <c r="E102" s="297">
        <v>72780.3223</v>
      </c>
      <c r="F102" s="266">
        <f>INDEX(ProcDataGenPre2012!$AV$9:$AV$30,MATCH(D102,ProcDataGenPre2012!$B$9:$B$30,0))</f>
        <v>1.86</v>
      </c>
      <c r="G102" s="266">
        <f>INDEX(ProcDataGenPre2012!$M$9:$M$30,MATCH(D102,ProcDataGenPre2012!$B$9:$B$30,0))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1298</v>
      </c>
      <c r="AA102" s="266">
        <v>50</v>
      </c>
    </row>
    <row r="103" spans="4:27" x14ac:dyDescent="0.25">
      <c r="D103" s="266" t="s">
        <v>291</v>
      </c>
      <c r="E103" s="266">
        <v>8219.2000000000007</v>
      </c>
      <c r="F103" s="266">
        <f>INDEX(ProcDataGenPre2012!$AV$9:$AV$30,MATCH(D103,ProcDataGenPre2012!$B$9:$B$30,0))</f>
        <v>2.4</v>
      </c>
      <c r="G103" s="266">
        <f>INDEX(ProcDataGenPre2012!$M$9:$M$30,MATCH(D103,ProcDataGenPre2012!$B$9:$B$30,0))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295</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550</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1723</v>
      </c>
    </row>
    <row r="110" spans="4:27" x14ac:dyDescent="0.25">
      <c r="D110" s="266" t="s">
        <v>1288</v>
      </c>
      <c r="E110" s="266" t="s">
        <v>1137</v>
      </c>
      <c r="F110" s="266" t="s">
        <v>1137</v>
      </c>
      <c r="G110" s="266" t="s">
        <v>1137</v>
      </c>
      <c r="H110" s="266" t="s">
        <v>1137</v>
      </c>
      <c r="I110" s="266" t="s">
        <v>1137</v>
      </c>
      <c r="J110" s="266">
        <v>376.42410000000001</v>
      </c>
    </row>
    <row r="146" spans="5:12" x14ac:dyDescent="0.25">
      <c r="E146" s="266" t="s">
        <v>1419</v>
      </c>
      <c r="F146" s="266" t="s">
        <v>1137</v>
      </c>
      <c r="G146" s="266" t="s">
        <v>1137</v>
      </c>
      <c r="H146" s="266" t="s">
        <v>1137</v>
      </c>
      <c r="I146" s="266" t="s">
        <v>1137</v>
      </c>
      <c r="J146" s="266" t="s">
        <v>1137</v>
      </c>
      <c r="K146" s="266">
        <v>0</v>
      </c>
      <c r="L146" s="266">
        <v>4.4031000000000002</v>
      </c>
    </row>
    <row r="147" spans="5:12" x14ac:dyDescent="0.25">
      <c r="E147" s="266" t="s">
        <v>289</v>
      </c>
      <c r="F147" s="266" t="s">
        <v>1137</v>
      </c>
      <c r="G147" s="266" t="s">
        <v>1137</v>
      </c>
      <c r="H147" s="266" t="s">
        <v>1137</v>
      </c>
      <c r="I147" s="266" t="s">
        <v>1137</v>
      </c>
      <c r="J147" s="266" t="s">
        <v>1137</v>
      </c>
      <c r="K147" s="266">
        <v>0</v>
      </c>
      <c r="L147" s="266">
        <v>0</v>
      </c>
    </row>
    <row r="148" spans="5:12" x14ac:dyDescent="0.25">
      <c r="E148" s="266" t="s">
        <v>1417</v>
      </c>
      <c r="F148" s="266" t="s">
        <v>1137</v>
      </c>
      <c r="G148" s="266" t="s">
        <v>1137</v>
      </c>
      <c r="H148" s="266" t="s">
        <v>1137</v>
      </c>
      <c r="I148" s="266" t="s">
        <v>1137</v>
      </c>
      <c r="J148" s="266" t="s">
        <v>1137</v>
      </c>
      <c r="K148" s="266">
        <v>0</v>
      </c>
      <c r="L148" s="266">
        <v>4.4031000000000002</v>
      </c>
    </row>
    <row r="149" spans="5:12" x14ac:dyDescent="0.25">
      <c r="E149" s="266" t="s">
        <v>1415</v>
      </c>
      <c r="F149" s="266" t="s">
        <v>1137</v>
      </c>
      <c r="G149" s="266" t="s">
        <v>1137</v>
      </c>
      <c r="H149" s="266" t="s">
        <v>1137</v>
      </c>
      <c r="I149" s="266" t="s">
        <v>1137</v>
      </c>
      <c r="J149" s="266" t="s">
        <v>1137</v>
      </c>
      <c r="K149" s="266">
        <v>0</v>
      </c>
      <c r="L149" s="266">
        <v>0</v>
      </c>
    </row>
    <row r="150" spans="5:12" x14ac:dyDescent="0.25">
      <c r="E150" s="266" t="s">
        <v>250</v>
      </c>
      <c r="F150" s="266" t="s">
        <v>1137</v>
      </c>
      <c r="G150" s="266" t="s">
        <v>1137</v>
      </c>
      <c r="H150" s="266" t="s">
        <v>1137</v>
      </c>
      <c r="I150" s="266" t="s">
        <v>1137</v>
      </c>
      <c r="J150" s="266" t="s">
        <v>1137</v>
      </c>
      <c r="K150" s="266">
        <v>0</v>
      </c>
      <c r="L150" s="266">
        <v>0</v>
      </c>
    </row>
    <row r="151" spans="5:12" x14ac:dyDescent="0.25">
      <c r="E151" s="266" t="s">
        <v>1412</v>
      </c>
      <c r="F151" s="266" t="s">
        <v>1137</v>
      </c>
      <c r="G151" s="266" t="s">
        <v>1137</v>
      </c>
      <c r="H151" s="266" t="s">
        <v>1137</v>
      </c>
      <c r="I151" s="266" t="s">
        <v>1137</v>
      </c>
      <c r="J151" s="266" t="s">
        <v>1137</v>
      </c>
      <c r="K151" s="266">
        <v>0</v>
      </c>
      <c r="L151" s="266">
        <v>4.4031000000000002</v>
      </c>
    </row>
    <row r="152" spans="5:12" x14ac:dyDescent="0.25">
      <c r="E152" s="266" t="s">
        <v>287</v>
      </c>
      <c r="F152" s="266" t="s">
        <v>1137</v>
      </c>
      <c r="G152" s="266" t="s">
        <v>1137</v>
      </c>
      <c r="H152" s="266" t="s">
        <v>1137</v>
      </c>
      <c r="I152" s="266" t="s">
        <v>1137</v>
      </c>
      <c r="J152" s="266" t="s">
        <v>1137</v>
      </c>
      <c r="K152" s="266">
        <v>0</v>
      </c>
      <c r="L152" s="266">
        <v>0</v>
      </c>
    </row>
    <row r="153" spans="5:12" x14ac:dyDescent="0.25">
      <c r="E153" s="266" t="s">
        <v>1410</v>
      </c>
      <c r="F153" s="266" t="s">
        <v>1137</v>
      </c>
      <c r="G153" s="266" t="s">
        <v>1137</v>
      </c>
      <c r="H153" s="266" t="s">
        <v>1137</v>
      </c>
      <c r="I153" s="266" t="s">
        <v>1137</v>
      </c>
      <c r="J153" s="266" t="s">
        <v>1137</v>
      </c>
      <c r="K153" s="266">
        <v>0</v>
      </c>
      <c r="L153" s="266">
        <v>4.4031000000000002</v>
      </c>
    </row>
    <row r="154" spans="5:12" x14ac:dyDescent="0.25">
      <c r="E154" s="266" t="s">
        <v>1408</v>
      </c>
      <c r="F154" s="266" t="s">
        <v>1137</v>
      </c>
      <c r="G154" s="266" t="s">
        <v>1137</v>
      </c>
      <c r="H154" s="266" t="s">
        <v>1137</v>
      </c>
      <c r="I154" s="266" t="s">
        <v>1137</v>
      </c>
      <c r="J154" s="266" t="s">
        <v>1137</v>
      </c>
      <c r="K154" s="266">
        <v>0</v>
      </c>
      <c r="L154" s="266">
        <v>4.4031000000000002</v>
      </c>
    </row>
    <row r="155" spans="5:12" x14ac:dyDescent="0.25">
      <c r="E155" s="266" t="s">
        <v>1406</v>
      </c>
      <c r="F155" s="266" t="s">
        <v>1137</v>
      </c>
      <c r="G155" s="266" t="s">
        <v>1137</v>
      </c>
      <c r="H155" s="266" t="s">
        <v>1137</v>
      </c>
      <c r="I155" s="266" t="s">
        <v>1137</v>
      </c>
      <c r="J155" s="266" t="s">
        <v>1137</v>
      </c>
      <c r="K155" s="266">
        <v>0</v>
      </c>
      <c r="L155" s="266">
        <v>0</v>
      </c>
    </row>
    <row r="156" spans="5:12" x14ac:dyDescent="0.25">
      <c r="E156" s="266" t="s">
        <v>315</v>
      </c>
      <c r="F156" s="266" t="s">
        <v>1137</v>
      </c>
      <c r="G156" s="266" t="s">
        <v>1137</v>
      </c>
      <c r="H156" s="266" t="s">
        <v>1137</v>
      </c>
      <c r="I156" s="266" t="s">
        <v>1137</v>
      </c>
      <c r="J156" s="266" t="s">
        <v>1137</v>
      </c>
      <c r="K156" s="266">
        <v>0</v>
      </c>
      <c r="L156" s="266">
        <v>20.277799999999999</v>
      </c>
    </row>
    <row r="157" spans="5:12" x14ac:dyDescent="0.25">
      <c r="E157" s="266" t="s">
        <v>321</v>
      </c>
      <c r="F157" s="266" t="s">
        <v>1137</v>
      </c>
      <c r="G157" s="266" t="s">
        <v>1137</v>
      </c>
      <c r="H157" s="266" t="s">
        <v>1137</v>
      </c>
      <c r="I157" s="266" t="s">
        <v>1137</v>
      </c>
      <c r="J157" s="266" t="s">
        <v>1137</v>
      </c>
      <c r="K157" s="266">
        <v>0</v>
      </c>
      <c r="L157" s="266">
        <v>20.277799999999999</v>
      </c>
    </row>
    <row r="158" spans="5:12" x14ac:dyDescent="0.25">
      <c r="E158" s="266" t="s">
        <v>313</v>
      </c>
      <c r="F158" s="266" t="s">
        <v>1137</v>
      </c>
      <c r="G158" s="266" t="s">
        <v>1137</v>
      </c>
      <c r="H158" s="266" t="s">
        <v>1137</v>
      </c>
      <c r="I158" s="266" t="s">
        <v>1137</v>
      </c>
      <c r="J158" s="266" t="s">
        <v>1137</v>
      </c>
      <c r="K158" s="266">
        <v>0</v>
      </c>
      <c r="L158" s="266">
        <v>20.277799999999999</v>
      </c>
    </row>
    <row r="159" spans="5:12" x14ac:dyDescent="0.25">
      <c r="E159" s="266" t="s">
        <v>319</v>
      </c>
      <c r="F159" s="266" t="s">
        <v>1137</v>
      </c>
      <c r="G159" s="266" t="s">
        <v>1137</v>
      </c>
      <c r="H159" s="266" t="s">
        <v>1137</v>
      </c>
      <c r="I159" s="266" t="s">
        <v>1137</v>
      </c>
      <c r="J159" s="266" t="s">
        <v>1137</v>
      </c>
      <c r="K159" s="266">
        <v>0</v>
      </c>
      <c r="L159" s="266">
        <v>20.277799999999999</v>
      </c>
    </row>
    <row r="160" spans="5:12" x14ac:dyDescent="0.25">
      <c r="E160" s="266" t="s">
        <v>311</v>
      </c>
      <c r="F160" s="266" t="s">
        <v>1137</v>
      </c>
      <c r="G160" s="266" t="s">
        <v>1137</v>
      </c>
      <c r="H160" s="266" t="s">
        <v>1137</v>
      </c>
      <c r="I160" s="266" t="s">
        <v>1137</v>
      </c>
      <c r="J160" s="266" t="s">
        <v>1137</v>
      </c>
      <c r="K160" s="266">
        <v>0</v>
      </c>
      <c r="L160" s="266">
        <v>20.277799999999999</v>
      </c>
    </row>
    <row r="161" spans="5:12" x14ac:dyDescent="0.25">
      <c r="E161" s="266" t="s">
        <v>1321</v>
      </c>
      <c r="F161" s="266" t="s">
        <v>1137</v>
      </c>
      <c r="G161" s="266" t="s">
        <v>1137</v>
      </c>
      <c r="H161" s="266" t="s">
        <v>1137</v>
      </c>
      <c r="I161" s="266" t="s">
        <v>1137</v>
      </c>
      <c r="J161" s="266" t="s">
        <v>1137</v>
      </c>
      <c r="K161" s="266">
        <v>0</v>
      </c>
      <c r="L161" s="266">
        <v>20.277799999999999</v>
      </c>
    </row>
    <row r="162" spans="5:12" x14ac:dyDescent="0.25">
      <c r="E162" s="266" t="s">
        <v>293</v>
      </c>
      <c r="F162" s="266" t="s">
        <v>1137</v>
      </c>
      <c r="G162" s="266" t="s">
        <v>1137</v>
      </c>
      <c r="H162" s="266" t="s">
        <v>1137</v>
      </c>
      <c r="I162" s="266" t="s">
        <v>1137</v>
      </c>
      <c r="J162" s="266" t="s">
        <v>1137</v>
      </c>
      <c r="K162" s="266">
        <v>0</v>
      </c>
      <c r="L162" s="266">
        <v>20.277799999999999</v>
      </c>
    </row>
    <row r="163" spans="5:12" x14ac:dyDescent="0.25">
      <c r="E163" s="266" t="s">
        <v>309</v>
      </c>
      <c r="F163" s="266" t="s">
        <v>1137</v>
      </c>
      <c r="G163" s="266" t="s">
        <v>1137</v>
      </c>
      <c r="H163" s="266" t="s">
        <v>1137</v>
      </c>
      <c r="I163" s="266" t="s">
        <v>1137</v>
      </c>
      <c r="J163" s="266" t="s">
        <v>1137</v>
      </c>
      <c r="K163" s="266">
        <v>0</v>
      </c>
      <c r="L163" s="266">
        <v>20.277799999999999</v>
      </c>
    </row>
    <row r="164" spans="5:12" x14ac:dyDescent="0.25">
      <c r="E164" s="266" t="s">
        <v>317</v>
      </c>
      <c r="F164" s="266" t="s">
        <v>1137</v>
      </c>
      <c r="G164" s="266" t="s">
        <v>1137</v>
      </c>
      <c r="H164" s="266" t="s">
        <v>1137</v>
      </c>
      <c r="I164" s="266" t="s">
        <v>1137</v>
      </c>
      <c r="J164" s="266" t="s">
        <v>1137</v>
      </c>
      <c r="K164" s="266">
        <v>0</v>
      </c>
      <c r="L164" s="266">
        <v>20.277799999999999</v>
      </c>
    </row>
    <row r="165" spans="5:12" x14ac:dyDescent="0.25">
      <c r="E165" s="266" t="s">
        <v>307</v>
      </c>
      <c r="F165" s="266" t="s">
        <v>1137</v>
      </c>
      <c r="G165" s="266" t="s">
        <v>1137</v>
      </c>
      <c r="H165" s="266" t="s">
        <v>1137</v>
      </c>
      <c r="I165" s="266" t="s">
        <v>1137</v>
      </c>
      <c r="J165" s="266" t="s">
        <v>1137</v>
      </c>
      <c r="K165" s="266">
        <v>0</v>
      </c>
      <c r="L165" s="266">
        <v>20.277799999999999</v>
      </c>
    </row>
    <row r="166" spans="5:12" x14ac:dyDescent="0.25">
      <c r="E166" s="266" t="s">
        <v>305</v>
      </c>
      <c r="F166" s="266" t="s">
        <v>1137</v>
      </c>
      <c r="G166" s="266" t="s">
        <v>1137</v>
      </c>
      <c r="H166" s="266" t="s">
        <v>1137</v>
      </c>
      <c r="I166" s="266" t="s">
        <v>1137</v>
      </c>
      <c r="J166" s="266" t="s">
        <v>1137</v>
      </c>
      <c r="K166" s="266">
        <v>0</v>
      </c>
      <c r="L166" s="266">
        <v>20.277799999999999</v>
      </c>
    </row>
    <row r="167" spans="5:12" x14ac:dyDescent="0.25">
      <c r="E167" s="266" t="s">
        <v>303</v>
      </c>
      <c r="F167" s="266" t="s">
        <v>1137</v>
      </c>
      <c r="G167" s="266" t="s">
        <v>1137</v>
      </c>
      <c r="H167" s="266" t="s">
        <v>1137</v>
      </c>
      <c r="I167" s="266" t="s">
        <v>1137</v>
      </c>
      <c r="J167" s="266" t="s">
        <v>1137</v>
      </c>
      <c r="K167" s="266">
        <v>0</v>
      </c>
      <c r="L167" s="266">
        <v>20.277799999999999</v>
      </c>
    </row>
    <row r="168" spans="5:12" x14ac:dyDescent="0.25">
      <c r="E168" s="266" t="s">
        <v>301</v>
      </c>
      <c r="F168" s="266" t="s">
        <v>1137</v>
      </c>
      <c r="G168" s="266" t="s">
        <v>1137</v>
      </c>
      <c r="H168" s="266" t="s">
        <v>1137</v>
      </c>
      <c r="I168" s="266" t="s">
        <v>1137</v>
      </c>
      <c r="J168" s="266" t="s">
        <v>1137</v>
      </c>
      <c r="K168" s="266">
        <v>0</v>
      </c>
      <c r="L168" s="266">
        <v>20.277799999999999</v>
      </c>
    </row>
    <row r="169" spans="5:12" x14ac:dyDescent="0.25">
      <c r="E169" s="266" t="s">
        <v>299</v>
      </c>
      <c r="F169" s="266" t="s">
        <v>1137</v>
      </c>
      <c r="G169" s="266" t="s">
        <v>1137</v>
      </c>
      <c r="H169" s="266" t="s">
        <v>1137</v>
      </c>
      <c r="I169" s="266" t="s">
        <v>1137</v>
      </c>
      <c r="J169" s="266" t="s">
        <v>1137</v>
      </c>
      <c r="K169" s="266">
        <v>0</v>
      </c>
      <c r="L169" s="266">
        <v>20.277799999999999</v>
      </c>
    </row>
    <row r="170" spans="5:12" x14ac:dyDescent="0.25">
      <c r="E170" s="266" t="s">
        <v>297</v>
      </c>
      <c r="F170" s="266" t="s">
        <v>1137</v>
      </c>
      <c r="G170" s="266" t="s">
        <v>1137</v>
      </c>
      <c r="H170" s="266" t="s">
        <v>1137</v>
      </c>
      <c r="I170" s="266" t="s">
        <v>1137</v>
      </c>
      <c r="J170" s="266" t="s">
        <v>1137</v>
      </c>
      <c r="K170" s="266">
        <v>0</v>
      </c>
      <c r="L170" s="266">
        <v>20.277799999999999</v>
      </c>
    </row>
    <row r="171" spans="5:12" x14ac:dyDescent="0.25">
      <c r="E171" s="266" t="s">
        <v>278</v>
      </c>
      <c r="F171" s="266" t="s">
        <v>1137</v>
      </c>
      <c r="G171" s="266" t="s">
        <v>1137</v>
      </c>
      <c r="H171" s="266" t="s">
        <v>1137</v>
      </c>
      <c r="I171" s="266" t="s">
        <v>1137</v>
      </c>
      <c r="J171" s="266" t="s">
        <v>1137</v>
      </c>
      <c r="K171" s="266">
        <v>0</v>
      </c>
      <c r="L171" s="266">
        <v>20.277799999999999</v>
      </c>
    </row>
    <row r="172" spans="5:12" x14ac:dyDescent="0.25">
      <c r="E172" s="266" t="s">
        <v>280</v>
      </c>
      <c r="F172" s="266" t="s">
        <v>1137</v>
      </c>
      <c r="G172" s="266" t="s">
        <v>1137</v>
      </c>
      <c r="H172" s="266" t="s">
        <v>1137</v>
      </c>
      <c r="I172" s="266" t="s">
        <v>1137</v>
      </c>
      <c r="J172" s="266" t="s">
        <v>1137</v>
      </c>
      <c r="K172" s="266">
        <v>0</v>
      </c>
      <c r="L172" s="266">
        <v>20.277799999999999</v>
      </c>
    </row>
    <row r="173" spans="5:12" x14ac:dyDescent="0.25">
      <c r="E173" s="266" t="s">
        <v>1305</v>
      </c>
      <c r="F173" s="266" t="s">
        <v>1137</v>
      </c>
      <c r="G173" s="266" t="s">
        <v>1137</v>
      </c>
      <c r="H173" s="266" t="s">
        <v>1137</v>
      </c>
      <c r="I173" s="266" t="s">
        <v>1137</v>
      </c>
      <c r="J173" s="266" t="s">
        <v>1137</v>
      </c>
      <c r="K173" s="266">
        <v>0</v>
      </c>
      <c r="L173" s="266">
        <v>20.277799999999999</v>
      </c>
    </row>
    <row r="174" spans="5:12" x14ac:dyDescent="0.25">
      <c r="E174" s="266" t="s">
        <v>1303</v>
      </c>
      <c r="F174" s="266" t="s">
        <v>1137</v>
      </c>
      <c r="G174" s="266" t="s">
        <v>1137</v>
      </c>
      <c r="H174" s="266" t="s">
        <v>1137</v>
      </c>
      <c r="I174" s="266" t="s">
        <v>1137</v>
      </c>
      <c r="J174" s="266" t="s">
        <v>1137</v>
      </c>
      <c r="K174" s="266">
        <v>0</v>
      </c>
      <c r="L174" s="266">
        <v>20.277799999999999</v>
      </c>
    </row>
    <row r="175" spans="5:12" x14ac:dyDescent="0.25">
      <c r="E175" s="266" t="s">
        <v>295</v>
      </c>
      <c r="F175" s="266" t="s">
        <v>1137</v>
      </c>
      <c r="G175" s="266" t="s">
        <v>1137</v>
      </c>
      <c r="H175" s="266" t="s">
        <v>1137</v>
      </c>
      <c r="I175" s="266" t="s">
        <v>1137</v>
      </c>
      <c r="J175" s="266" t="s">
        <v>1137</v>
      </c>
      <c r="K175" s="266">
        <v>0</v>
      </c>
      <c r="L175" s="266">
        <v>20.277799999999999</v>
      </c>
    </row>
    <row r="176" spans="5:12" x14ac:dyDescent="0.25">
      <c r="E176" s="266" t="s">
        <v>1294</v>
      </c>
      <c r="F176" s="266" t="s">
        <v>1137</v>
      </c>
      <c r="G176" s="266" t="s">
        <v>1137</v>
      </c>
      <c r="H176" s="266" t="s">
        <v>1137</v>
      </c>
      <c r="I176" s="266" t="s">
        <v>1137</v>
      </c>
      <c r="J176" s="266" t="s">
        <v>1137</v>
      </c>
      <c r="K176" s="266">
        <v>0</v>
      </c>
      <c r="L176" s="266">
        <v>6.55</v>
      </c>
    </row>
    <row r="177" spans="5:17" x14ac:dyDescent="0.25">
      <c r="E177" s="266" t="s">
        <v>1292</v>
      </c>
      <c r="F177" s="266" t="s">
        <v>1137</v>
      </c>
      <c r="G177" s="266" t="s">
        <v>1137</v>
      </c>
      <c r="H177" s="266" t="s">
        <v>1137</v>
      </c>
      <c r="I177" s="266" t="s">
        <v>1137</v>
      </c>
      <c r="J177" s="266" t="s">
        <v>1137</v>
      </c>
      <c r="K177" s="266">
        <v>0</v>
      </c>
      <c r="L177" s="266">
        <v>2.8018999999999998</v>
      </c>
    </row>
    <row r="178" spans="5:17" x14ac:dyDescent="0.25">
      <c r="E178" s="266" t="s">
        <v>1275</v>
      </c>
      <c r="F178" s="266" t="s">
        <v>1137</v>
      </c>
      <c r="G178" s="266" t="s">
        <v>1137</v>
      </c>
      <c r="H178" s="266" t="s">
        <v>1137</v>
      </c>
      <c r="I178" s="266" t="s">
        <v>1137</v>
      </c>
      <c r="J178" s="266" t="s">
        <v>1137</v>
      </c>
      <c r="K178" s="266">
        <v>0</v>
      </c>
      <c r="L178" s="266">
        <v>0</v>
      </c>
    </row>
    <row r="179" spans="5:17" x14ac:dyDescent="0.25">
      <c r="E179" s="266" t="s">
        <v>285</v>
      </c>
      <c r="F179" s="266" t="s">
        <v>1137</v>
      </c>
      <c r="G179" s="266" t="s">
        <v>1137</v>
      </c>
      <c r="H179" s="266" t="s">
        <v>1137</v>
      </c>
      <c r="I179" s="266" t="s">
        <v>1137</v>
      </c>
      <c r="J179" s="266" t="s">
        <v>1137</v>
      </c>
      <c r="K179" s="266">
        <v>0</v>
      </c>
      <c r="L179" s="266">
        <v>0</v>
      </c>
    </row>
    <row r="180" spans="5:17" x14ac:dyDescent="0.25">
      <c r="E180" s="266" t="s">
        <v>291</v>
      </c>
      <c r="F180" s="266" t="s">
        <v>1137</v>
      </c>
      <c r="G180" s="266" t="s">
        <v>1137</v>
      </c>
      <c r="H180" s="266" t="s">
        <v>1137</v>
      </c>
      <c r="I180" s="266" t="s">
        <v>1137</v>
      </c>
      <c r="J180" s="266" t="s">
        <v>1137</v>
      </c>
      <c r="K180" s="266">
        <v>0</v>
      </c>
      <c r="L180" s="266">
        <v>0</v>
      </c>
    </row>
    <row r="182" spans="5:17" x14ac:dyDescent="0.25">
      <c r="Q182" s="266" t="s">
        <v>1722</v>
      </c>
    </row>
    <row r="183" spans="5:17" x14ac:dyDescent="0.25">
      <c r="Q183" s="266">
        <v>2012</v>
      </c>
    </row>
    <row r="184" spans="5:17" x14ac:dyDescent="0.25">
      <c r="O184" s="266" t="s">
        <v>138</v>
      </c>
      <c r="P184" s="266" t="s">
        <v>315</v>
      </c>
      <c r="Q184" s="266">
        <v>2.2200000000000002</v>
      </c>
    </row>
    <row r="185" spans="5:17" x14ac:dyDescent="0.25">
      <c r="O185" s="266" t="s">
        <v>138</v>
      </c>
      <c r="P185" s="266" t="s">
        <v>321</v>
      </c>
      <c r="Q185" s="266">
        <v>1.52</v>
      </c>
    </row>
    <row r="186" spans="5:17" x14ac:dyDescent="0.25">
      <c r="O186" s="266" t="s">
        <v>138</v>
      </c>
      <c r="P186" s="266" t="s">
        <v>313</v>
      </c>
      <c r="Q186" s="266">
        <v>3.48</v>
      </c>
    </row>
    <row r="187" spans="5:17" x14ac:dyDescent="0.25">
      <c r="O187" s="266" t="s">
        <v>138</v>
      </c>
      <c r="P187" s="266" t="s">
        <v>319</v>
      </c>
      <c r="Q187" s="266">
        <v>1.08</v>
      </c>
    </row>
    <row r="188" spans="5:17" x14ac:dyDescent="0.25">
      <c r="O188" s="266" t="s">
        <v>138</v>
      </c>
      <c r="P188" s="266" t="s">
        <v>311</v>
      </c>
      <c r="Q188" s="266">
        <v>1.9</v>
      </c>
    </row>
    <row r="189" spans="5:17" x14ac:dyDescent="0.25">
      <c r="O189" s="266" t="s">
        <v>138</v>
      </c>
      <c r="P189" s="266" t="s">
        <v>1321</v>
      </c>
      <c r="Q189" s="266" t="s">
        <v>1721</v>
      </c>
    </row>
    <row r="190" spans="5:17" x14ac:dyDescent="0.25">
      <c r="O190" s="266" t="s">
        <v>138</v>
      </c>
      <c r="P190" s="266" t="s">
        <v>293</v>
      </c>
      <c r="Q190" s="266">
        <v>0.16</v>
      </c>
    </row>
    <row r="191" spans="5:17" x14ac:dyDescent="0.25">
      <c r="O191" s="266" t="s">
        <v>138</v>
      </c>
      <c r="P191" s="266" t="s">
        <v>309</v>
      </c>
      <c r="Q191" s="266">
        <v>3.84</v>
      </c>
    </row>
    <row r="192" spans="5:17" x14ac:dyDescent="0.25">
      <c r="O192" s="266" t="s">
        <v>138</v>
      </c>
      <c r="P192" s="266" t="s">
        <v>317</v>
      </c>
      <c r="Q192" s="266">
        <v>0.8</v>
      </c>
    </row>
    <row r="193" spans="15:17" x14ac:dyDescent="0.25">
      <c r="O193" s="266" t="s">
        <v>138</v>
      </c>
      <c r="P193" s="266" t="s">
        <v>307</v>
      </c>
      <c r="Q193" s="266">
        <v>2.88</v>
      </c>
    </row>
    <row r="194" spans="15:17" x14ac:dyDescent="0.25">
      <c r="O194" s="266" t="s">
        <v>138</v>
      </c>
      <c r="P194" s="266" t="s">
        <v>305</v>
      </c>
      <c r="Q194" s="266">
        <v>3.54</v>
      </c>
    </row>
    <row r="195" spans="15:17" x14ac:dyDescent="0.25">
      <c r="O195" s="266" t="s">
        <v>138</v>
      </c>
      <c r="P195" s="266" t="s">
        <v>303</v>
      </c>
      <c r="Q195" s="266">
        <v>1.83</v>
      </c>
    </row>
    <row r="196" spans="15:17" x14ac:dyDescent="0.25">
      <c r="O196" s="266" t="s">
        <v>138</v>
      </c>
      <c r="P196" s="266" t="s">
        <v>301</v>
      </c>
      <c r="Q196" s="266">
        <v>2.0099999999999998</v>
      </c>
    </row>
    <row r="197" spans="15:17" x14ac:dyDescent="0.25">
      <c r="O197" s="266" t="s">
        <v>138</v>
      </c>
      <c r="P197" s="266" t="s">
        <v>299</v>
      </c>
      <c r="Q197" s="266">
        <v>3.72</v>
      </c>
    </row>
    <row r="198" spans="15:17" x14ac:dyDescent="0.25">
      <c r="O198" s="266" t="s">
        <v>138</v>
      </c>
      <c r="P198" s="266" t="s">
        <v>297</v>
      </c>
      <c r="Q198" s="266">
        <v>3.48</v>
      </c>
    </row>
    <row r="199" spans="15:17" x14ac:dyDescent="0.25">
      <c r="O199" s="266" t="s">
        <v>138</v>
      </c>
      <c r="P199" s="266" t="s">
        <v>278</v>
      </c>
      <c r="Q199" s="266">
        <v>0.15</v>
      </c>
    </row>
    <row r="200" spans="15:17" x14ac:dyDescent="0.25">
      <c r="O200" s="266" t="s">
        <v>138</v>
      </c>
      <c r="P200" s="266" t="s">
        <v>280</v>
      </c>
      <c r="Q200" s="266">
        <v>0.5</v>
      </c>
    </row>
    <row r="201" spans="15:17" x14ac:dyDescent="0.25">
      <c r="O201" s="266" t="s">
        <v>138</v>
      </c>
      <c r="P201" s="266" t="s">
        <v>1305</v>
      </c>
      <c r="Q201" s="266">
        <v>0.09</v>
      </c>
    </row>
    <row r="202" spans="15:17" x14ac:dyDescent="0.25">
      <c r="O202" s="266" t="s">
        <v>138</v>
      </c>
      <c r="P202" s="266" t="s">
        <v>1303</v>
      </c>
      <c r="Q202" s="266">
        <v>0.18</v>
      </c>
    </row>
    <row r="203" spans="15:17" x14ac:dyDescent="0.25">
      <c r="O203" s="266" t="s">
        <v>138</v>
      </c>
      <c r="P203" s="266" t="s">
        <v>295</v>
      </c>
      <c r="Q203" s="266">
        <v>3.54</v>
      </c>
    </row>
    <row r="210" spans="15:17" x14ac:dyDescent="0.25">
      <c r="P210" s="266">
        <v>2011</v>
      </c>
      <c r="Q210" s="266">
        <v>2012</v>
      </c>
    </row>
    <row r="211" spans="15:17" x14ac:dyDescent="0.25">
      <c r="O211" s="266" t="s">
        <v>265</v>
      </c>
      <c r="Q211" s="266">
        <v>30</v>
      </c>
    </row>
    <row r="212" spans="15:17" x14ac:dyDescent="0.25">
      <c r="O212" s="266" t="s">
        <v>315</v>
      </c>
      <c r="P212" s="266">
        <v>10</v>
      </c>
      <c r="Q212" s="266">
        <v>10</v>
      </c>
    </row>
    <row r="213" spans="15:17" x14ac:dyDescent="0.25">
      <c r="O213" s="266" t="s">
        <v>321</v>
      </c>
      <c r="P213" s="266">
        <v>10</v>
      </c>
      <c r="Q213" s="266">
        <v>10</v>
      </c>
    </row>
    <row r="214" spans="15:17" x14ac:dyDescent="0.25">
      <c r="O214" s="266" t="s">
        <v>313</v>
      </c>
      <c r="P214" s="266">
        <v>9</v>
      </c>
      <c r="Q214" s="266">
        <v>9</v>
      </c>
    </row>
    <row r="215" spans="15:17" x14ac:dyDescent="0.25">
      <c r="O215" s="266" t="s">
        <v>319</v>
      </c>
      <c r="P215" s="266">
        <v>10</v>
      </c>
      <c r="Q215" s="266">
        <v>10</v>
      </c>
    </row>
    <row r="216" spans="15:17" x14ac:dyDescent="0.25">
      <c r="O216" s="266" t="s">
        <v>311</v>
      </c>
      <c r="P216" s="266">
        <v>10</v>
      </c>
      <c r="Q216" s="266">
        <v>10</v>
      </c>
    </row>
    <row r="217" spans="15:17" x14ac:dyDescent="0.25">
      <c r="O217" s="266" t="s">
        <v>1323</v>
      </c>
      <c r="Q217" s="266">
        <v>30</v>
      </c>
    </row>
    <row r="218" spans="15:17" x14ac:dyDescent="0.25">
      <c r="O218" s="266" t="s">
        <v>1321</v>
      </c>
      <c r="Q218" s="266">
        <v>10</v>
      </c>
    </row>
    <row r="219" spans="15:17" x14ac:dyDescent="0.25">
      <c r="O219" s="266" t="s">
        <v>293</v>
      </c>
      <c r="P219" s="266">
        <v>10</v>
      </c>
      <c r="Q219" s="266">
        <v>10</v>
      </c>
    </row>
    <row r="220" spans="15:17" x14ac:dyDescent="0.25">
      <c r="O220" s="266" t="s">
        <v>309</v>
      </c>
      <c r="P220" s="266">
        <v>16</v>
      </c>
      <c r="Q220" s="266">
        <v>16</v>
      </c>
    </row>
    <row r="221" spans="15:17" x14ac:dyDescent="0.25">
      <c r="O221" s="266" t="s">
        <v>317</v>
      </c>
      <c r="P221" s="266">
        <v>10</v>
      </c>
      <c r="Q221" s="266">
        <v>10</v>
      </c>
    </row>
    <row r="222" spans="15:17" x14ac:dyDescent="0.25">
      <c r="O222" s="266" t="s">
        <v>307</v>
      </c>
      <c r="P222" s="266">
        <v>10</v>
      </c>
      <c r="Q222" s="266">
        <v>10</v>
      </c>
    </row>
    <row r="223" spans="15:17" x14ac:dyDescent="0.25">
      <c r="O223" s="266" t="s">
        <v>305</v>
      </c>
      <c r="P223" s="266">
        <v>15</v>
      </c>
      <c r="Q223" s="266">
        <v>15</v>
      </c>
    </row>
    <row r="224" spans="15:17" x14ac:dyDescent="0.25">
      <c r="O224" s="266" t="s">
        <v>303</v>
      </c>
      <c r="P224" s="266">
        <v>22</v>
      </c>
      <c r="Q224" s="266">
        <v>22</v>
      </c>
    </row>
    <row r="225" spans="15:17" x14ac:dyDescent="0.25">
      <c r="O225" s="266" t="s">
        <v>301</v>
      </c>
      <c r="P225" s="266">
        <v>25</v>
      </c>
      <c r="Q225" s="266">
        <v>25</v>
      </c>
    </row>
    <row r="226" spans="15:17" x14ac:dyDescent="0.25">
      <c r="O226" s="266" t="s">
        <v>297</v>
      </c>
      <c r="P226" s="266">
        <v>10</v>
      </c>
      <c r="Q226" s="266">
        <v>10</v>
      </c>
    </row>
    <row r="227" spans="15:17" x14ac:dyDescent="0.25">
      <c r="O227" s="266" t="s">
        <v>278</v>
      </c>
      <c r="P227" s="266">
        <v>10</v>
      </c>
      <c r="Q227" s="266">
        <v>10</v>
      </c>
    </row>
    <row r="228" spans="15:17" x14ac:dyDescent="0.25">
      <c r="O228" s="266" t="s">
        <v>280</v>
      </c>
      <c r="P228" s="266">
        <v>10</v>
      </c>
      <c r="Q228" s="266">
        <v>10</v>
      </c>
    </row>
    <row r="229" spans="15:17" x14ac:dyDescent="0.25">
      <c r="O229" s="266" t="s">
        <v>1305</v>
      </c>
      <c r="P229" s="266">
        <v>10</v>
      </c>
      <c r="Q229" s="266">
        <v>10</v>
      </c>
    </row>
    <row r="230" spans="15:17" x14ac:dyDescent="0.25">
      <c r="O230" s="266" t="s">
        <v>1303</v>
      </c>
      <c r="P230" s="266">
        <v>10</v>
      </c>
      <c r="Q230" s="266">
        <v>10</v>
      </c>
    </row>
    <row r="231" spans="15:17" x14ac:dyDescent="0.25">
      <c r="O231" s="266" t="s">
        <v>1298</v>
      </c>
      <c r="Q231" s="266">
        <v>50</v>
      </c>
    </row>
    <row r="232" spans="15:17" x14ac:dyDescent="0.25">
      <c r="O232" s="266" t="s">
        <v>295</v>
      </c>
      <c r="P232" s="266">
        <v>16</v>
      </c>
      <c r="Q232" s="266">
        <v>16</v>
      </c>
    </row>
    <row r="233" spans="15:17" x14ac:dyDescent="0.25">
      <c r="O233" s="266" t="s">
        <v>1310</v>
      </c>
      <c r="Q233" s="266">
        <v>50</v>
      </c>
    </row>
    <row r="234" spans="15:17" x14ac:dyDescent="0.25">
      <c r="O234" s="266" t="s">
        <v>1309</v>
      </c>
      <c r="P234" s="266">
        <v>16</v>
      </c>
      <c r="Q234" s="266">
        <v>16</v>
      </c>
    </row>
    <row r="235" spans="15:17" x14ac:dyDescent="0.25">
      <c r="O235" s="266" t="s">
        <v>299</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1782</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1797</v>
      </c>
    </row>
    <row r="2" spans="1:29" ht="15.75" customHeight="1" x14ac:dyDescent="0.2">
      <c r="A2" s="315" t="s">
        <v>1781</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1784</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1796</v>
      </c>
    </row>
    <row r="6" spans="1:29" x14ac:dyDescent="0.2">
      <c r="A6" s="325" t="s">
        <v>1795</v>
      </c>
    </row>
    <row r="7" spans="1:29" x14ac:dyDescent="0.2">
      <c r="A7" s="38" t="s">
        <v>1794</v>
      </c>
    </row>
    <row r="9" spans="1:29" x14ac:dyDescent="0.2">
      <c r="A9" s="38" t="s">
        <v>1793</v>
      </c>
    </row>
    <row r="10" spans="1:29" ht="15" x14ac:dyDescent="0.25">
      <c r="B10" s="324">
        <v>2016</v>
      </c>
      <c r="C10" s="38" t="s">
        <v>1791</v>
      </c>
    </row>
    <row r="11" spans="1:29" x14ac:dyDescent="0.2">
      <c r="A11" s="38" t="s">
        <v>1792</v>
      </c>
    </row>
    <row r="12" spans="1:29" ht="15" x14ac:dyDescent="0.25">
      <c r="B12" s="323">
        <v>2015</v>
      </c>
      <c r="C12" s="38" t="s">
        <v>1791</v>
      </c>
    </row>
    <row r="13" spans="1:29" x14ac:dyDescent="0.2">
      <c r="A13" s="38" t="s">
        <v>1790</v>
      </c>
    </row>
    <row r="14" spans="1:29" ht="15" x14ac:dyDescent="0.25">
      <c r="A14" s="38" t="s">
        <v>1789</v>
      </c>
      <c r="B14" s="322">
        <f>1/B15</f>
        <v>0.94037478705281097</v>
      </c>
    </row>
    <row r="15" spans="1:29" ht="15" x14ac:dyDescent="0.25">
      <c r="A15" s="38" t="s">
        <v>1788</v>
      </c>
      <c r="B15" s="321">
        <f>SUMIF($B$1:$Y$1,B10,$B$3:$Y$3)</f>
        <v>1.0634057971014492</v>
      </c>
    </row>
    <row r="17" spans="1:27" x14ac:dyDescent="0.2">
      <c r="A17" s="38" t="s">
        <v>1787</v>
      </c>
    </row>
    <row r="18" spans="1:27" ht="15.75" customHeight="1" x14ac:dyDescent="0.2">
      <c r="A18" s="316" t="s">
        <v>1782</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1786</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1784</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1785</v>
      </c>
    </row>
    <row r="24" spans="1:27" ht="15.75" customHeight="1" x14ac:dyDescent="0.2">
      <c r="A24" s="316" t="s">
        <v>1782</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1781</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1784</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1783</v>
      </c>
    </row>
    <row r="30" spans="1:27" ht="15.75" customHeight="1" x14ac:dyDescent="0.2">
      <c r="A30" s="316" t="s">
        <v>1782</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1781</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1780</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9"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9"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9"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9"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9"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9"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2023-04-04T15:21:41Z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