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CE1D30A4-F7D8-46AF-968F-087EDA06ED9F}" xr6:coauthVersionLast="47" xr6:coauthVersionMax="47" xr10:uidLastSave="{00000000-0000-0000-0000-000000000000}"/>
  <bookViews>
    <workbookView xWindow="-120" yWindow="-120" windowWidth="29040" windowHeight="15840" firstSheet="14" activeTab="14"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1" i="93" l="1"/>
  <c r="C19" i="93"/>
  <c r="F51" i="79"/>
  <c r="J8" i="79"/>
  <c r="F8" i="79"/>
  <c r="J6" i="79"/>
  <c r="F7" i="79"/>
  <c r="F6" i="79"/>
  <c r="G51" i="79"/>
  <c r="H51" i="79"/>
  <c r="I51" i="79"/>
  <c r="J51" i="79"/>
  <c r="G52" i="79"/>
  <c r="H52" i="79"/>
  <c r="I52" i="79"/>
  <c r="J52" i="79"/>
  <c r="F52" i="79"/>
  <c r="G53" i="79"/>
  <c r="H53" i="79"/>
  <c r="I53" i="79"/>
  <c r="J53" i="79"/>
  <c r="G54" i="79"/>
  <c r="H54" i="79"/>
  <c r="I54" i="79"/>
  <c r="J54" i="79"/>
  <c r="F54" i="79"/>
  <c r="F53" i="79"/>
  <c r="F41" i="79"/>
  <c r="G41" i="79"/>
  <c r="H41" i="79"/>
  <c r="F42" i="79"/>
  <c r="G42" i="79"/>
  <c r="H42" i="79"/>
  <c r="K4" i="92"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M41" i="79" l="1"/>
  <c r="J41" i="79" s="1"/>
  <c r="C20" i="93"/>
  <c r="C21" i="93" s="1"/>
  <c r="C22"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M42" i="79"/>
  <c r="J42" i="79" s="1"/>
  <c r="I42" i="79" s="1"/>
  <c r="H59" i="79"/>
  <c r="H61" i="79" s="1"/>
  <c r="H11" i="79" s="1"/>
  <c r="G59" i="79"/>
  <c r="G61" i="79" s="1"/>
  <c r="G11" i="79" s="1"/>
  <c r="F59" i="79"/>
  <c r="F61" i="79" s="1"/>
  <c r="F11" i="79" s="1"/>
  <c r="H58" i="79"/>
  <c r="H60" i="79" s="1"/>
  <c r="H10" i="79" s="1"/>
  <c r="I10" i="79" s="1"/>
  <c r="G58" i="79"/>
  <c r="G60" i="79" s="1"/>
  <c r="G10" i="79" s="1"/>
  <c r="F58" i="79"/>
  <c r="F60" i="79" s="1"/>
  <c r="F10" i="79" s="1"/>
  <c r="F16" i="85" l="1"/>
  <c r="F15" i="85"/>
  <c r="I11" i="79"/>
  <c r="J11" i="79" s="1"/>
  <c r="J10" i="79"/>
  <c r="I41" i="79"/>
  <c r="D26" i="63" l="1"/>
  <c r="D25" i="63"/>
  <c r="D24" i="63"/>
  <c r="G14" i="79" l="1"/>
  <c r="G15" i="79"/>
  <c r="G16" i="79"/>
  <c r="G17" i="79" s="1"/>
  <c r="J40" i="79"/>
  <c r="I40" i="79"/>
  <c r="G40" i="79"/>
  <c r="G57" i="79" s="1"/>
  <c r="H40" i="79"/>
  <c r="H57" i="79" s="1"/>
  <c r="F40" i="79"/>
  <c r="F57" i="79" s="1"/>
  <c r="D9" i="79"/>
  <c r="I46" i="79" l="1"/>
  <c r="J46" i="79"/>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5" i="7"/>
  <c r="F17" i="79"/>
  <c r="Q168" i="7" s="1"/>
  <c r="J47" i="79" l="1"/>
  <c r="J48" i="79"/>
  <c r="I47" i="79"/>
  <c r="I48" i="79"/>
  <c r="X5" i="92"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H168" i="7"/>
  <c r="D22" i="79"/>
  <c r="A168" i="7"/>
  <c r="R168" i="7"/>
  <c r="I168" i="7"/>
  <c r="I13" i="79"/>
  <c r="J13" i="79" s="1"/>
  <c r="I15" i="79"/>
  <c r="J15" i="79" s="1"/>
  <c r="I14" i="79"/>
  <c r="H15" i="79"/>
  <c r="F15" i="79"/>
  <c r="G168" i="7" s="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B29" i="85" l="1"/>
  <c r="F30" i="85"/>
  <c r="Q14" i="87"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V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D19" i="79" s="1"/>
  <c r="J14" i="79"/>
  <c r="I12" i="79"/>
  <c r="J12" i="79" s="1"/>
  <c r="F14" i="79"/>
  <c r="F168" i="7"/>
  <c r="G165" i="7" l="1"/>
  <c r="F165" i="7"/>
  <c r="F46" i="79"/>
  <c r="G46" i="79"/>
  <c r="G47" i="79" s="1"/>
  <c r="H46" i="79"/>
  <c r="H47" i="79" s="1"/>
  <c r="D45" i="79"/>
  <c r="G49" i="79" l="1"/>
  <c r="I50" i="79"/>
  <c r="I7" i="79" s="1"/>
  <c r="I9" i="79" s="1"/>
  <c r="I49" i="79"/>
  <c r="I6" i="79" s="1"/>
  <c r="J50" i="79"/>
  <c r="J7" i="79" s="1"/>
  <c r="J9" i="79" s="1"/>
  <c r="J49" i="79"/>
  <c r="H49" i="79"/>
  <c r="H6" i="79" s="1"/>
  <c r="H48" i="79"/>
  <c r="H50" i="79" s="1"/>
  <c r="G48" i="79"/>
  <c r="G50" i="79" s="1"/>
  <c r="F47" i="79"/>
  <c r="F49" i="79" s="1"/>
  <c r="F48" i="79"/>
  <c r="F50" i="79" s="1"/>
  <c r="I8" i="79"/>
  <c r="K194" i="26"/>
  <c r="D181" i="26"/>
  <c r="G6" i="79" l="1"/>
  <c r="G8" i="79" s="1"/>
  <c r="H7" i="79"/>
  <c r="H9" i="79" s="1"/>
  <c r="H8" i="79"/>
  <c r="H73" i="21"/>
  <c r="H75" i="21" s="1"/>
  <c r="G7" i="79" l="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S69" i="28" s="1"/>
  <c r="T69" i="28" s="1"/>
  <c r="U69" i="28" s="1"/>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V69" i="28"/>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S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AN98" i="9" l="1"/>
  <c r="M47" i="27"/>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<sst xmlns="http://schemas.openxmlformats.org/spreadsheetml/2006/main" count="29046" uniqueCount="14817">
  <si>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</si>
  <si>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</si>
  <si>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</si>
  <si>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</si>
  <si>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</si>
  <si>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</si>
  <si>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</si>
  <si>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</si>
  <si>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</si>
  <si>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</si>
  <si>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</si>
  <si>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</si>
  <si>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</si>
  <si>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</si>
  <si>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</si>
  <si>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</si>
  <si>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</si>
  <si>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</si>
  <si>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</si>
  <si>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</si>
  <si>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</si>
  <si>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</si>
  <si>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</si>
  <si>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</si>
  <si>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</si>
  <si>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</si>
  <si>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</si>
  <si>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</si>
  <si>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</si>
  <si>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</si>
  <si>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</si>
  <si>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</si>
  <si>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</si>
  <si>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</si>
  <si>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</si>
  <si>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</si>
  <si>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</si>
  <si>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</si>
  <si>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</si>
  <si>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</si>
  <si>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</si>
  <si>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</si>
  <si>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</si>
  <si>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</si>
  <si>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</si>
  <si>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</si>
  <si>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</si>
  <si>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</si>
  <si>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</si>
  <si>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</si>
  <si>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</si>
  <si>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</si>
  <si>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</si>
  <si>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</si>
  <si>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</si>
  <si>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</si>
  <si>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</si>
  <si>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</si>
  <si>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</si>
  <si>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</si>
  <si>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</si>
  <si>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</si>
  <si>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</si>
  <si>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</si>
  <si>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</si>
  <si>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</si>
  <si>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</si>
  <si>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</si>
  <si>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</si>
  <si>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</si>
  <si>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</si>
  <si>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</si>
  <si>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</si>
  <si>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</si>
  <si>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</si>
  <si>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</si>
  <si>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</si>
  <si>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</si>
  <si>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</si>
  <si>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</si>
  <si>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</si>
  <si>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</si>
  <si>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</si>
  <si>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</si>
  <si>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</si>
  <si>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</si>
  <si>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</si>
  <si>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</si>
  <si>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</si>
  <si>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</si>
  <si>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</si>
  <si>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</si>
  <si>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</si>
  <si>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</si>
  <si>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</si>
  <si>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</si>
  <si>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</si>
  <si>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</si>
  <si>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</si>
  <si>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</si>
  <si>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</si>
  <si>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</si>
  <si>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</si>
  <si>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</si>
  <si>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</si>
  <si>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</si>
  <si>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</si>
  <si>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</si>
  <si>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</si>
  <si>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</si>
  <si>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</si>
  <si>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</si>
  <si>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</si>
  <si>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</si>
  <si>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</si>
  <si>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</si>
  <si>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</si>
  <si>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</si>
  <si>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</si>
  <si>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</si>
  <si>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</si>
  <si>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</si>
  <si>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</si>
  <si>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</si>
  <si>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</si>
  <si>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</si>
  <si>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</si>
  <si>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</si>
  <si>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</si>
  <si>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</si>
  <si>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</si>
  <si>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</si>
  <si>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</si>
  <si>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</si>
  <si>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</si>
  <si>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</si>
  <si>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</si>
  <si>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</si>
  <si>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</si>
  <si>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</si>
  <si>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</si>
  <si>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</si>
  <si>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</si>
  <si>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</si>
  <si>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</si>
  <si>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</si>
  <si>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</si>
  <si>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</si>
  <si>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</si>
  <si>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</si>
  <si>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</si>
  <si>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</si>
  <si>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</si>
  <si>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</si>
  <si>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</si>
  <si>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</si>
  <si>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</si>
  <si>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</si>
  <si>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</si>
  <si>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</si>
  <si>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</si>
  <si>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</si>
  <si>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</si>
  <si>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</si>
  <si>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</si>
  <si>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</si>
  <si>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</si>
  <si>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</si>
  <si>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</si>
  <si>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</si>
  <si>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</si>
  <si>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</si>
  <si>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</si>
  <si>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</si>
  <si>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</si>
  <si>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</si>
  <si>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</si>
  <si>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</si>
  <si>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</si>
  <si>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</si>
  <si>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</si>
  <si>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</si>
  <si>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</si>
  <si>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</si>
  <si>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</si>
  <si>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</si>
  <si>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</si>
  <si>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</si>
  <si>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</si>
  <si>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</si>
  <si>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</si>
  <si>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</si>
  <si>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</si>
  <si>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</si>
  <si>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</si>
  <si>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</si>
  <si>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</si>
  <si>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</si>
  <si>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</si>
  <si>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</si>
  <si>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</si>
  <si>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</si>
  <si>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</si>
  <si>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</si>
  <si>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</si>
  <si>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</si>
  <si>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</si>
  <si>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</si>
  <si>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</si>
  <si>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</si>
  <si>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</si>
  <si>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</si>
  <si>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</si>
  <si>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</si>
  <si>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</si>
  <si>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</si>
  <si>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</si>
  <si>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</si>
  <si>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</si>
  <si>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</si>
  <si>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</si>
  <si>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</si>
  <si>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</si>
  <si>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</si>
  <si>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</si>
  <si>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</si>
  <si>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</si>
  <si>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</si>
  <si>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</si>
  <si>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</si>
  <si>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</si>
  <si>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</si>
  <si>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</si>
  <si>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</si>
  <si>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</si>
  <si>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</si>
  <si>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</si>
  <si>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</si>
  <si>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</si>
  <si>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</si>
  <si>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</si>
  <si>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</si>
  <si>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</si>
  <si>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</si>
  <si>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</si>
  <si>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</si>
  <si>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</si>
  <si>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</si>
  <si>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</si>
  <si>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</si>
  <si>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</si>
  <si>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</si>
  <si>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</si>
  <si>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</si>
  <si>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</si>
  <si>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</si>
  <si>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</si>
  <si>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</si>
  <si>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</si>
  <si>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</si>
  <si>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</si>
  <si>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</si>
  <si>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</si>
  <si>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</si>
  <si>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</si>
  <si>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</si>
  <si>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</si>
  <si>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</si>
  <si>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</si>
  <si>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</si>
  <si>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</si>
  <si>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</si>
  <si>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</si>
  <si>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</si>
  <si>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</si>
  <si>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</si>
  <si>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</si>
  <si>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</si>
  <si>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</si>
  <si>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</si>
  <si>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</si>
  <si>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</si>
  <si>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</si>
  <si>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</si>
  <si>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</si>
  <si>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</si>
  <si>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</si>
  <si>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</si>
  <si>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</si>
  <si>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</si>
  <si>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</si>
  <si>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</si>
  <si>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</si>
  <si>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</si>
  <si>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</si>
  <si>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</si>
  <si>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</si>
  <si>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</si>
  <si>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</si>
  <si>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</si>
  <si>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</si>
  <si>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</si>
  <si>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</si>
  <si>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</si>
  <si>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</si>
  <si>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</si>
  <si>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</si>
  <si>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</si>
  <si>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</si>
  <si>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</si>
  <si>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</si>
  <si>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</si>
  <si>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</si>
  <si>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</si>
  <si>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</si>
  <si>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</si>
  <si>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</si>
  <si>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</si>
  <si>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</si>
  <si>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</si>
  <si>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</si>
  <si>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</si>
  <si>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</si>
  <si>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</si>
  <si>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</si>
  <si>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</si>
  <si>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</si>
  <si>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</si>
  <si>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</si>
  <si>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</si>
  <si>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</si>
  <si>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</si>
  <si>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</si>
  <si>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</si>
  <si>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</si>
  <si>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</si>
  <si>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</si>
  <si>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</si>
  <si>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</si>
  <si>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</si>
  <si>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</si>
  <si>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</si>
  <si>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</si>
  <si>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</si>
  <si>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</si>
  <si>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</si>
  <si>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</si>
  <si>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</si>
  <si>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</si>
  <si>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</si>
  <si>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</si>
  <si>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</si>
  <si>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</si>
  <si>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</si>
  <si>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</si>
  <si>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</si>
  <si>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</si>
  <si>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</si>
  <si>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</si>
  <si>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</si>
  <si>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</si>
  <si>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</si>
  <si>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</si>
  <si>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</si>
  <si>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</si>
  <si>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</si>
  <si>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</si>
  <si>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</si>
  <si>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</si>
  <si>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</si>
  <si>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</si>
  <si>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</si>
  <si>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</si>
  <si>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</si>
  <si>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</si>
  <si>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</si>
  <si>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</si>
  <si>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</si>
  <si>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</si>
  <si>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</si>
  <si>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</si>
  <si>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</si>
  <si>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</si>
  <si>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</si>
  <si>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</si>
  <si>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</si>
  <si>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</si>
  <si>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</si>
  <si>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</si>
  <si>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</si>
  <si>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</si>
  <si>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</si>
  <si>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</si>
  <si>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</si>
  <si>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</si>
  <si>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</si>
  <si>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</si>
  <si>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</si>
  <si>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</si>
  <si>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</si>
  <si>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</si>
  <si>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</si>
  <si>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</si>
  <si>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</si>
  <si>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</si>
  <si>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</si>
  <si>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</si>
  <si>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</si>
  <si>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</si>
  <si>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</si>
  <si>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</si>
  <si>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</si>
  <si>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</si>
  <si>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</si>
  <si>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</si>
  <si>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</si>
  <si>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</si>
  <si>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</si>
  <si>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</si>
  <si>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</si>
  <si>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</si>
  <si>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</si>
  <si>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</si>
  <si>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</si>
  <si>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</si>
  <si>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</si>
  <si>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</si>
  <si>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</si>
  <si>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</si>
  <si>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</si>
  <si>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</si>
  <si>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</si>
  <si>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</si>
  <si>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</si>
  <si>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</si>
  <si>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</si>
  <si>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</si>
  <si>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</si>
  <si>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</si>
  <si>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</si>
  <si>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</si>
  <si>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</si>
  <si>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</si>
  <si>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</si>
  <si>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</si>
  <si>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</si>
  <si>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</si>
  <si>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</si>
  <si>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</si>
  <si>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</si>
  <si>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</si>
  <si>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</si>
  <si>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</si>
  <si>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</si>
  <si>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</si>
  <si>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</si>
  <si>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</si>
  <si>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</si>
  <si>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</si>
  <si>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</si>
  <si>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</si>
  <si>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</si>
  <si>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</si>
  <si>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</si>
  <si>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</si>
  <si>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</si>
  <si>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</si>
  <si>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</si>
  <si>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</si>
  <si>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</si>
  <si>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</si>
  <si>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</si>
  <si>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</si>
  <si>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</si>
  <si>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</si>
  <si>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</si>
  <si>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</si>
  <si>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</si>
  <si>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</si>
  <si>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</si>
  <si>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</si>
  <si>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</si>
  <si>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</si>
  <si>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</si>
  <si>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</si>
  <si>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</si>
  <si>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</si>
  <si>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</si>
  <si>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</si>
  <si>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</si>
  <si>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</si>
  <si>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</si>
  <si>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</si>
  <si>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</si>
  <si>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</si>
  <si>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</si>
  <si>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</si>
  <si>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</si>
  <si>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</si>
  <si>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</si>
  <si>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</si>
  <si>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</si>
  <si>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</si>
  <si>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</si>
  <si>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</si>
  <si>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</si>
  <si>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</si>
  <si>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</si>
  <si>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</si>
  <si>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</si>
  <si>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</si>
  <si>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</si>
  <si>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</si>
  <si>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</si>
  <si>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</si>
  <si>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</si>
  <si>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</si>
  <si>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</si>
  <si>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</si>
  <si>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</si>
  <si>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</si>
  <si>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</si>
  <si>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</si>
  <si>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</si>
  <si>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</si>
  <si>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</si>
  <si>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</si>
  <si>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</si>
  <si>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</si>
  <si>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</si>
  <si>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</si>
  <si>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</si>
  <si>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</si>
  <si>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</si>
  <si>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</si>
  <si>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</si>
  <si>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</si>
  <si>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</si>
  <si>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</si>
  <si>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</si>
  <si>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</si>
  <si>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</si>
  <si>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</si>
  <si>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</si>
  <si>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</si>
  <si>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</si>
  <si>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</si>
  <si>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</si>
  <si>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</si>
  <si>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</si>
  <si>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</si>
  <si>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</si>
  <si>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</si>
  <si>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</si>
  <si>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</si>
  <si>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</si>
  <si>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</si>
  <si>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</si>
  <si>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</si>
  <si>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</si>
  <si>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</si>
  <si>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</si>
  <si>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</si>
  <si>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</si>
  <si>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</si>
  <si>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</si>
  <si>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</si>
  <si>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</si>
  <si>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</si>
  <si>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</si>
  <si>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</si>
  <si>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</si>
  <si>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</si>
  <si>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</si>
  <si>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</si>
  <si>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</si>
  <si>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</si>
  <si>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</si>
  <si>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</si>
  <si>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</si>
  <si>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</si>
  <si>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</si>
  <si>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</si>
  <si>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</si>
  <si>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</si>
  <si>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</si>
  <si>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</si>
  <si>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</si>
  <si>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</si>
  <si>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</si>
  <si>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</si>
  <si>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</si>
  <si>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</si>
  <si>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</si>
  <si>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</si>
  <si>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</si>
  <si>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</si>
  <si>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</si>
  <si>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</si>
  <si>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</si>
  <si>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</si>
  <si>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</si>
  <si>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</si>
  <si>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</si>
  <si>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</si>
  <si>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</si>
  <si>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</si>
  <si>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</si>
  <si>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</si>
  <si>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</si>
  <si>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</si>
  <si>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</si>
  <si>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</si>
  <si>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</si>
  <si>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</si>
  <si>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</si>
  <si>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</si>
  <si>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</si>
  <si>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</si>
  <si>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</si>
  <si>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</si>
  <si>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</si>
  <si>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</si>
  <si>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</si>
  <si>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</si>
  <si>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</si>
  <si>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</si>
  <si>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</si>
  <si>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</si>
  <si>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</si>
  <si>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</si>
  <si>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</si>
  <si>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</si>
  <si>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</si>
  <si>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</si>
  <si>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</si>
  <si>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</si>
  <si>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</si>
  <si>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</si>
  <si>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</si>
  <si>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</si>
  <si>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</si>
  <si>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</si>
  <si>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</si>
  <si>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</si>
  <si>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</si>
  <si>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</si>
  <si>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</si>
  <si>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</si>
  <si>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</si>
  <si>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</si>
  <si>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</si>
  <si>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</si>
  <si>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</si>
  <si>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</si>
  <si>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</si>
  <si>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</si>
  <si>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</si>
  <si>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</si>
  <si>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</si>
  <si>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</si>
  <si>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</si>
  <si>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</si>
  <si>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</si>
  <si>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</si>
  <si>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</si>
  <si>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</si>
  <si>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</si>
  <si>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</si>
  <si>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</si>
  <si>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</si>
  <si>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</si>
  <si>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</si>
  <si>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</si>
  <si>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</si>
  <si>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</si>
  <si>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</si>
  <si>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</si>
  <si>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</si>
  <si>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</si>
  <si>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</si>
  <si>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</si>
  <si>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</si>
  <si>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</si>
  <si>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</si>
  <si>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</si>
  <si>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</si>
  <si>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</si>
  <si>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</si>
  <si>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</si>
  <si>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</si>
  <si>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</si>
  <si>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</si>
  <si>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</si>
  <si>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</si>
  <si>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</si>
  <si>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</si>
  <si>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</si>
  <si>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</si>
  <si>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</si>
  <si>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</si>
  <si>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</si>
  <si>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</si>
  <si>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</si>
  <si>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</si>
  <si>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</si>
  <si>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</si>
  <si>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</si>
  <si>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</si>
  <si>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</si>
  <si>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</si>
  <si>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</si>
  <si>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</si>
  <si>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</si>
  <si>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</si>
  <si>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</si>
  <si>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</si>
  <si>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</si>
  <si>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</si>
  <si>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</si>
  <si>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</si>
  <si>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</si>
  <si>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</si>
  <si>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</si>
  <si>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</si>
  <si>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</si>
  <si>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</si>
  <si>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</si>
  <si>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</si>
  <si>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</si>
  <si>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</si>
  <si>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</si>
  <si>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</si>
  <si>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</si>
  <si>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</si>
  <si>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</si>
  <si>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</si>
  <si>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</si>
  <si>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</si>
  <si>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</si>
  <si>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</si>
  <si>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</si>
  <si>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</si>
  <si>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</si>
  <si>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</si>
  <si>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</si>
  <si>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</si>
  <si>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</si>
  <si>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</si>
  <si>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</si>
  <si>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</si>
  <si>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</si>
  <si>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</si>
  <si>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</si>
  <si>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</si>
  <si>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</si>
  <si>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</si>
  <si>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</si>
  <si>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</si>
  <si>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</si>
  <si>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</si>
  <si>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</si>
  <si>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</si>
  <si>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</si>
  <si>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</si>
  <si>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</si>
  <si>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</si>
  <si>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</si>
  <si>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</si>
  <si>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</si>
  <si>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</si>
  <si>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</si>
  <si>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</si>
  <si>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</si>
  <si>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</si>
  <si>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</si>
  <si>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</si>
  <si>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</si>
  <si>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</si>
  <si>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</si>
  <si>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</si>
  <si>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</si>
  <si>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</si>
  <si>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</si>
  <si>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</si>
  <si>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</si>
  <si>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</si>
  <si>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</si>
  <si>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</si>
  <si>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</si>
  <si>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</si>
  <si>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</si>
  <si>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</si>
  <si>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</si>
  <si>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</si>
  <si>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</si>
  <si>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</si>
  <si>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</si>
  <si>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</si>
  <si>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</si>
  <si>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</si>
  <si>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</si>
  <si>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</si>
  <si>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</si>
  <si>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</si>
  <si>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</si>
  <si>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</si>
  <si>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</si>
  <si>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</si>
  <si>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</si>
  <si>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</si>
  <si>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</si>
  <si>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</si>
  <si>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</si>
  <si>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</si>
  <si>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</si>
  <si>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</si>
  <si>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</si>
  <si>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</si>
  <si>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</si>
  <si>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</si>
  <si>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</si>
  <si>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</si>
  <si>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</si>
  <si>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</si>
  <si>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</si>
  <si>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</si>
  <si>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</si>
  <si>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</si>
  <si>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</si>
  <si>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</si>
  <si>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</si>
  <si>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</si>
  <si>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</si>
  <si>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</si>
  <si>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</si>
  <si>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</si>
  <si>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</si>
  <si>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</si>
  <si>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</si>
  <si>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</si>
  <si>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</si>
  <si>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</si>
  <si>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</si>
  <si>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</si>
  <si>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</si>
  <si>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</si>
  <si>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</si>
  <si>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</si>
  <si>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</si>
  <si>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</si>
  <si>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</si>
  <si>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</si>
  <si>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</si>
  <si>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</si>
  <si>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</si>
  <si>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</si>
  <si>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</si>
  <si>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</si>
  <si>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</si>
  <si>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</si>
  <si>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</si>
  <si>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</si>
  <si>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</si>
  <si>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</si>
  <si>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</si>
  <si>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</si>
  <si>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</si>
  <si>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</si>
  <si>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</si>
  <si>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</si>
  <si>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</si>
  <si>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</si>
  <si>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</si>
  <si>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</si>
  <si>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</si>
  <si>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</si>
  <si>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</si>
  <si>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</si>
  <si>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</si>
  <si>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</si>
  <si>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</si>
  <si>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</si>
  <si>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</si>
  <si>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</si>
  <si>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</si>
  <si>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</si>
  <si>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</si>
  <si>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</si>
  <si>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</si>
  <si>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</si>
  <si>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</si>
  <si>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</si>
  <si>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</si>
  <si>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</si>
  <si>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</si>
  <si>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</si>
  <si>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</si>
  <si>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</si>
  <si>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</si>
  <si>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</si>
  <si>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</si>
  <si>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</si>
  <si>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</si>
  <si>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</si>
  <si>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</si>
  <si>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</si>
  <si>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</si>
  <si>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</si>
  <si>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</si>
  <si>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</si>
  <si>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</si>
  <si>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</si>
  <si>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</si>
  <si>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</si>
  <si>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</si>
  <si>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</si>
  <si>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</si>
  <si>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</si>
  <si>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</si>
  <si>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</si>
  <si>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</si>
  <si>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</si>
  <si>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</si>
  <si>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</si>
  <si>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</si>
  <si>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</si>
  <si>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</si>
  <si>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</si>
  <si>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</si>
  <si>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</si>
  <si>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</si>
  <si>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</si>
  <si>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</si>
  <si>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</si>
  <si>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</si>
  <si>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</si>
  <si>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</si>
  <si>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</si>
  <si>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</si>
  <si>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</si>
  <si>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</si>
  <si>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</si>
  <si>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</si>
  <si>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</si>
  <si>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</si>
  <si>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</si>
  <si>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</si>
  <si>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</si>
  <si>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</si>
  <si>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</si>
  <si>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</si>
  <si>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</si>
  <si>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</si>
  <si>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</si>
  <si>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</si>
  <si>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</si>
  <si>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</si>
  <si>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</si>
  <si>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</si>
  <si>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</si>
  <si>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</si>
  <si>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</si>
  <si>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</si>
  <si>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</si>
  <si>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</si>
  <si>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</si>
  <si>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</si>
  <si>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</si>
  <si>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</si>
  <si>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</si>
  <si>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</si>
  <si>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</si>
  <si>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</si>
  <si>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</si>
  <si>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</si>
  <si>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</si>
  <si>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</si>
  <si>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</si>
  <si>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</si>
  <si>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</si>
  <si>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</si>
  <si>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</si>
  <si>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</si>
  <si>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</si>
  <si>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</si>
  <si>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</si>
  <si>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</si>
  <si>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</si>
  <si>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</si>
  <si>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</si>
  <si>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</si>
  <si>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</si>
  <si>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</si>
  <si>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</si>
  <si>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</si>
  <si>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</si>
  <si>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</si>
  <si>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</si>
  <si>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</si>
  <si>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</si>
  <si>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</si>
  <si>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</si>
  <si>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</si>
  <si>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</si>
  <si>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</si>
  <si>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</si>
  <si>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</si>
  <si>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</si>
  <si>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</si>
  <si>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</si>
  <si>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</si>
  <si>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</si>
  <si>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</si>
  <si>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</si>
  <si>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</si>
  <si>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</si>
  <si>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</si>
  <si>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</si>
  <si>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</si>
  <si>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</si>
  <si>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</si>
  <si>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</si>
  <si>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</si>
  <si>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</si>
  <si>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</si>
  <si>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</si>
  <si>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</si>
  <si>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</si>
  <si>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</si>
  <si>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</si>
  <si>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</si>
  <si>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</si>
  <si>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</si>
  <si>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</si>
  <si>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</si>
  <si>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</si>
  <si>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</si>
  <si>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</si>
  <si>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</si>
  <si>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</si>
  <si>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</si>
  <si>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</si>
  <si>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</si>
  <si>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</si>
  <si>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</si>
  <si>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</si>
  <si>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</si>
  <si>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</si>
  <si>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</si>
  <si>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</si>
  <si>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</si>
  <si>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</si>
  <si>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</si>
  <si>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</si>
  <si>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</si>
  <si>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</si>
  <si>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</si>
  <si>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</si>
  <si>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</si>
  <si>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</si>
  <si>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</si>
  <si>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</si>
  <si>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</si>
  <si>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</si>
  <si>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</si>
  <si>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</si>
  <si>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</si>
  <si>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</si>
  <si>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</si>
  <si>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</si>
  <si>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</si>
  <si>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</si>
  <si>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</si>
  <si>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</si>
  <si>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</si>
  <si>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</si>
  <si>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</si>
  <si>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</si>
  <si>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</si>
  <si>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</si>
  <si>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</si>
  <si>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</si>
  <si>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</si>
  <si>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</si>
  <si>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</si>
  <si>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</si>
  <si>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</si>
  <si>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</si>
  <si>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</si>
  <si>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</si>
  <si>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</si>
  <si>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</si>
  <si>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</si>
  <si>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</si>
  <si>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</si>
  <si>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</si>
  <si>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</si>
  <si>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</si>
  <si>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</si>
  <si>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</si>
  <si>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</si>
  <si>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</si>
  <si>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</si>
  <si>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</si>
  <si>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</si>
  <si>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</si>
  <si>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</si>
  <si>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</si>
  <si>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</si>
  <si>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</si>
  <si>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</si>
  <si>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</si>
  <si>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</si>
  <si>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</si>
  <si>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</si>
  <si>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</si>
  <si>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</si>
  <si>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</si>
  <si>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</si>
  <si>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</si>
  <si>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</si>
  <si>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</si>
  <si>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</si>
  <si>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</si>
  <si>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</si>
  <si>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</si>
  <si>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</si>
  <si>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</si>
  <si>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</si>
  <si>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</si>
  <si>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</si>
  <si>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</si>
  <si>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</si>
  <si>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</si>
  <si>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</si>
  <si>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</si>
  <si>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</si>
  <si>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</si>
  <si>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</si>
  <si>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</si>
  <si>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</si>
  <si>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</si>
  <si>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</si>
  <si>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</si>
  <si>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</si>
  <si>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</si>
  <si>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</si>
  <si>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</si>
  <si>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</si>
  <si>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</si>
  <si>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</si>
  <si>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</si>
  <si>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</si>
  <si>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</si>
  <si>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</si>
  <si>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</si>
  <si>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</si>
  <si>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</si>
  <si>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</si>
  <si>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</si>
  <si>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</si>
  <si>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</si>
  <si>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</si>
  <si>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</si>
  <si>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</si>
  <si>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</si>
  <si>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</si>
  <si>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</si>
  <si>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</si>
  <si>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</si>
  <si>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</si>
  <si>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</si>
  <si>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</si>
  <si>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</si>
  <si>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</si>
  <si>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</si>
  <si>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</si>
  <si>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</si>
  <si>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</si>
  <si>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</si>
  <si>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</si>
  <si>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</si>
  <si>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</si>
  <si>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</si>
  <si>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</si>
  <si>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</si>
  <si>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</si>
  <si>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</si>
  <si>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</si>
  <si>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</si>
  <si>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</si>
  <si>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</si>
  <si>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</si>
  <si>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</si>
  <si>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</si>
  <si>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</si>
  <si>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</si>
  <si>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</si>
  <si>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</si>
  <si>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</si>
  <si>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</si>
  <si>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</si>
  <si>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</si>
  <si>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</si>
  <si>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</si>
  <si>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</si>
  <si>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</si>
  <si>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</si>
  <si>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</si>
  <si>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</si>
  <si>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</si>
  <si>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</si>
  <si>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</si>
  <si>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</si>
  <si>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</si>
  <si>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</si>
  <si>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</si>
  <si>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</si>
  <si>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</si>
  <si>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</si>
  <si>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</si>
  <si>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</si>
  <si>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</si>
  <si>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</si>
  <si>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</si>
  <si>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</si>
  <si>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</si>
  <si>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</si>
  <si>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</si>
  <si>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</si>
  <si>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</si>
  <si>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</si>
  <si>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</si>
  <si>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</si>
  <si>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</si>
  <si>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</si>
  <si>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</si>
  <si>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</si>
  <si>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</si>
  <si>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</si>
  <si>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</si>
  <si>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</si>
  <si>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</si>
  <si>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</si>
  <si>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</si>
  <si>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</si>
  <si>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</si>
  <si>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</si>
  <si>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</si>
  <si>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</si>
  <si>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</si>
  <si>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</si>
  <si>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</si>
  <si>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</si>
  <si>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</si>
  <si>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</si>
  <si>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</si>
  <si>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</si>
  <si>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</si>
  <si>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</si>
  <si>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</si>
  <si>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</si>
  <si>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</si>
  <si>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</si>
  <si>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</si>
  <si>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</si>
  <si>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</si>
  <si>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</si>
  <si>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</si>
  <si>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</si>
  <si>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</si>
  <si>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</si>
  <si>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</si>
  <si>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</si>
  <si>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</si>
  <si>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</si>
  <si>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</si>
  <si>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</si>
  <si>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</si>
  <si>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</si>
  <si>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</si>
  <si>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</si>
  <si>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</si>
  <si>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</si>
  <si>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</si>
  <si>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</si>
  <si>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</si>
  <si>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</si>
  <si>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</si>
  <si>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</si>
  <si>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</si>
  <si>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</si>
  <si>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</si>
  <si>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</si>
  <si>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</si>
  <si>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</si>
  <si>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</si>
  <si>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</si>
  <si>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</si>
  <si>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</si>
  <si>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</si>
  <si>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</si>
  <si>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</si>
  <si>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</si>
  <si>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</si>
  <si>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</si>
  <si>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</si>
  <si>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</si>
  <si>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</si>
  <si>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</si>
  <si>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</si>
  <si>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</si>
  <si>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</si>
  <si>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</si>
  <si>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</si>
  <si>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</si>
  <si>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</si>
  <si>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</si>
  <si>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</si>
  <si>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</si>
  <si>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</si>
  <si>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</si>
  <si>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</si>
  <si>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</si>
  <si>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</si>
  <si>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</si>
  <si>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</si>
  <si>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</si>
  <si>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</si>
  <si>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</si>
  <si>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</si>
  <si>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</si>
  <si>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</si>
  <si>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</si>
  <si>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</si>
  <si>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</si>
  <si>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</si>
  <si>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</si>
  <si>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</si>
  <si>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</si>
  <si>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</si>
  <si>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</si>
  <si>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</si>
  <si>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</si>
  <si>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</si>
  <si>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</si>
  <si>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</si>
  <si>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</si>
  <si>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</si>
  <si>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</si>
  <si>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</si>
  <si>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</si>
  <si>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</si>
  <si>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</si>
  <si>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</si>
  <si>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</si>
  <si>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</si>
  <si>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</si>
  <si>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</si>
  <si>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</si>
  <si>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</si>
  <si>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</si>
  <si>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</si>
  <si>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</si>
  <si>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</si>
  <si>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</si>
  <si>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</si>
  <si>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</si>
  <si>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</si>
  <si>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</si>
  <si>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</si>
  <si>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</si>
  <si>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</si>
  <si>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</si>
  <si>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</si>
  <si>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</si>
  <si>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</si>
  <si>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</si>
  <si>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</si>
  <si>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</si>
  <si>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</si>
  <si>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</si>
  <si>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</si>
  <si>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</si>
  <si>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</si>
  <si>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</si>
  <si>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</si>
  <si>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</si>
  <si>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</si>
  <si>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</si>
  <si>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</si>
  <si>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</si>
  <si>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</si>
  <si>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</si>
  <si>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</si>
  <si>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</si>
  <si>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</si>
  <si>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</si>
  <si>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</si>
  <si>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</si>
  <si>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</si>
  <si>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</si>
  <si>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</si>
  <si>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</si>
  <si>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</si>
  <si>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</si>
  <si>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</si>
  <si>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</si>
  <si>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</si>
  <si>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</si>
  <si>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</si>
  <si>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</si>
  <si>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</si>
  <si>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</si>
  <si>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</si>
  <si>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</si>
  <si>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</si>
  <si>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</si>
  <si>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</si>
  <si>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</si>
  <si>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</si>
  <si>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</si>
  <si>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</si>
  <si>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</si>
  <si>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</si>
  <si>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</si>
  <si>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</si>
  <si>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</si>
  <si>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</si>
  <si>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</si>
  <si>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</si>
  <si>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</si>
  <si>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</si>
  <si>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</si>
  <si>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</si>
  <si>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</si>
  <si>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</si>
  <si>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</si>
  <si>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</si>
  <si>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</si>
  <si>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</si>
  <si>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</si>
  <si>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</si>
  <si>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</si>
  <si>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</si>
  <si>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</si>
  <si>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</si>
  <si>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</si>
  <si>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</si>
  <si>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</si>
  <si>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</si>
  <si>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</si>
  <si>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</si>
  <si>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</si>
  <si>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</si>
  <si>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</si>
  <si>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</si>
  <si>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</si>
  <si>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</si>
  <si>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</si>
  <si>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</si>
  <si>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</si>
  <si>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</si>
  <si>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</si>
  <si>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</si>
  <si>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</si>
  <si>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</si>
  <si>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</si>
  <si>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</si>
  <si>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</si>
  <si>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</si>
  <si>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</si>
  <si>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</si>
  <si>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</si>
  <si>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</si>
  <si>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</si>
  <si>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</si>
  <si>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</si>
  <si>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</si>
  <si>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</si>
  <si>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</si>
  <si>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</si>
  <si>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</si>
  <si>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</si>
  <si>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</si>
  <si>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</si>
  <si>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</si>
  <si>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</si>
  <si>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</si>
  <si>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</si>
  <si>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</si>
  <si>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</si>
  <si>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</si>
  <si>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</si>
  <si>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</si>
  <si>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</si>
  <si>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</si>
  <si>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</si>
  <si>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</si>
  <si>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</si>
  <si>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</si>
  <si>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</si>
  <si>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</si>
  <si>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</si>
  <si>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</si>
  <si>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</si>
  <si>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</si>
  <si>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</si>
  <si>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</si>
  <si>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</si>
  <si>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</si>
  <si>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</si>
  <si>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</si>
  <si>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</si>
  <si>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</si>
  <si>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</si>
  <si>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</si>
  <si>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</si>
  <si>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</si>
  <si>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</si>
  <si>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</si>
  <si>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</si>
  <si>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</si>
  <si>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</si>
  <si>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</si>
  <si>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</si>
  <si>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</si>
  <si>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</si>
  <si>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</si>
  <si>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</si>
  <si>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</si>
  <si>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</si>
  <si>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</si>
  <si>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</si>
  <si>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</si>
  <si>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</si>
  <si>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</si>
  <si>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</si>
  <si>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</si>
  <si>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</si>
  <si>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</si>
  <si>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</si>
  <si>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</si>
  <si>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</si>
  <si>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</si>
  <si>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</si>
  <si>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</si>
  <si>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</si>
  <si>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</si>
  <si>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</si>
  <si>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</si>
  <si>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</si>
  <si>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</si>
  <si>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</si>
  <si>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</si>
  <si>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</si>
  <si>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</si>
  <si>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</si>
  <si>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</si>
  <si>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</si>
  <si>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</si>
  <si>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</si>
  <si>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</si>
  <si>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</si>
  <si>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</si>
  <si>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</si>
  <si>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</si>
  <si>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</si>
  <si>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</si>
  <si>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</si>
  <si>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</si>
  <si>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</si>
  <si>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</si>
  <si>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</si>
  <si>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</si>
  <si>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</si>
  <si>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</si>
  <si>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</si>
  <si>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</si>
  <si>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</si>
  <si>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</si>
  <si>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</si>
  <si>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</si>
  <si>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</si>
  <si>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</si>
  <si>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</si>
  <si>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</si>
  <si>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</si>
  <si>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</si>
  <si>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</si>
  <si>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</si>
  <si>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</si>
  <si>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</si>
  <si>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</si>
  <si>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</si>
  <si>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</si>
  <si>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</si>
  <si>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</si>
  <si>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</si>
  <si>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</si>
  <si>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</si>
  <si>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</si>
  <si>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</si>
  <si>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</si>
  <si>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</si>
  <si>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</si>
  <si>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</si>
  <si>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</si>
  <si>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</si>
  <si>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</si>
  <si>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</si>
  <si>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</si>
  <si>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</si>
  <si>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</si>
  <si>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</si>
  <si>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</si>
  <si>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</si>
  <si>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</si>
  <si>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</si>
  <si>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</si>
  <si>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</si>
  <si>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</si>
  <si>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</si>
  <si>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</si>
  <si>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</si>
  <si>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</si>
  <si>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</si>
  <si>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</si>
  <si>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</si>
  <si>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</si>
  <si>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</si>
  <si>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</si>
  <si>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</si>
  <si>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</si>
  <si>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</si>
  <si>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</si>
  <si>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</si>
  <si>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</si>
  <si>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</si>
  <si>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</si>
  <si>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</si>
  <si>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</si>
  <si>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</si>
  <si>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</si>
  <si>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</si>
  <si>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</si>
  <si>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</si>
  <si>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</si>
  <si>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</si>
  <si>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</si>
  <si>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</si>
  <si>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</si>
  <si>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</si>
  <si>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</si>
  <si>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</si>
  <si>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</si>
  <si>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</si>
  <si>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</si>
  <si>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</si>
  <si>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</si>
  <si>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</si>
  <si>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</si>
  <si>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</si>
  <si>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</si>
  <si>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</si>
  <si>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</si>
  <si>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</si>
  <si>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</si>
  <si>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</si>
  <si>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</si>
  <si>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</si>
  <si>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</si>
  <si>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</si>
  <si>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</si>
  <si>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</si>
  <si>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</si>
  <si>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</si>
  <si>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</si>
  <si>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</si>
  <si>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</si>
  <si>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</si>
  <si>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</si>
  <si>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</si>
  <si>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</si>
  <si>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</si>
  <si>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</si>
  <si>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</si>
  <si>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</si>
  <si>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</si>
  <si>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</si>
  <si>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</si>
  <si>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</si>
  <si>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</si>
  <si>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</si>
  <si>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</si>
  <si>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</si>
  <si>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</si>
  <si>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</si>
  <si>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</si>
  <si>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</si>
  <si>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</si>
  <si>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</si>
  <si>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</si>
  <si>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</si>
  <si>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</si>
  <si>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</si>
  <si>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</si>
  <si>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</si>
  <si>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</si>
  <si>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</si>
  <si>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</si>
  <si>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</si>
  <si>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</si>
  <si>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</si>
  <si>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</si>
  <si>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</si>
  <si>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</si>
  <si>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</si>
  <si>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</si>
  <si>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</si>
  <si>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</si>
  <si>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</si>
  <si>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</si>
  <si>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</si>
  <si>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</si>
  <si>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</si>
  <si>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</si>
  <si>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</si>
  <si>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</si>
  <si>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</si>
  <si>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</si>
  <si>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</si>
  <si>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</si>
  <si>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</si>
  <si>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</si>
  <si>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</si>
  <si>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</si>
  <si>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</si>
  <si>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</si>
  <si>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</si>
  <si>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</si>
  <si>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</si>
  <si>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</si>
  <si>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</si>
  <si>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</si>
  <si>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</si>
  <si>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</si>
  <si>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</si>
  <si>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</si>
  <si>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</si>
  <si>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</si>
  <si>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</si>
  <si>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</si>
  <si>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</si>
  <si>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</si>
  <si>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</si>
  <si>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</si>
  <si>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</si>
  <si>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</si>
  <si>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</si>
  <si>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</si>
  <si>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</si>
  <si>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</si>
  <si>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</si>
  <si>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</si>
  <si>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</si>
  <si>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</si>
  <si>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</si>
  <si>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</si>
  <si>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</si>
  <si>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</si>
  <si>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</si>
  <si>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</si>
  <si>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</si>
  <si>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</si>
  <si>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</si>
  <si>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</si>
  <si>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</si>
  <si>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</si>
  <si>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</si>
  <si>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</si>
  <si>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</si>
  <si>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</si>
  <si>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</si>
  <si>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</si>
  <si>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</si>
  <si>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</si>
  <si>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</si>
  <si>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</si>
  <si>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</si>
  <si>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</si>
  <si>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</si>
  <si>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</si>
  <si>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</si>
  <si>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</si>
  <si>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</si>
  <si>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</si>
  <si>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</si>
  <si>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</si>
  <si>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</si>
  <si>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</si>
  <si>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</si>
  <si>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</si>
  <si>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</si>
  <si>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</si>
  <si>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</si>
  <si>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</si>
  <si>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</si>
  <si>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</si>
  <si>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</si>
  <si>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</si>
  <si>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</si>
  <si>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</si>
  <si>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</si>
  <si>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</si>
  <si>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</si>
  <si>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</si>
  <si>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</si>
  <si>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</si>
  <si>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</si>
  <si>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</si>
  <si>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</si>
  <si>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</si>
  <si>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</si>
  <si>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</si>
  <si>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</si>
  <si>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</si>
  <si>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</si>
  <si>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</si>
  <si>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</si>
  <si>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</si>
  <si>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</si>
  <si>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</si>
  <si>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</si>
  <si>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</si>
  <si>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</si>
  <si>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</si>
  <si>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</si>
  <si>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</si>
  <si>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</si>
  <si>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</si>
  <si>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</si>
  <si>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</si>
  <si>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</si>
  <si>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</si>
  <si>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</si>
  <si>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</si>
  <si>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</si>
  <si>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</si>
  <si>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</si>
  <si>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</si>
  <si>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</si>
  <si>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</si>
  <si>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</si>
  <si>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</si>
  <si>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</si>
  <si>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</si>
  <si>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</si>
  <si>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</si>
  <si>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</si>
  <si>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</si>
  <si>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</si>
  <si>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</si>
  <si>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</si>
  <si>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</si>
  <si>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</si>
  <si>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</si>
  <si>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</si>
  <si>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</si>
  <si>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</si>
  <si>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</si>
  <si>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</si>
  <si>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</si>
  <si>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</si>
  <si>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</si>
  <si>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</si>
  <si>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</si>
  <si>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</si>
  <si>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</si>
  <si>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</si>
  <si>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</si>
  <si>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</si>
  <si>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</si>
  <si>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</si>
  <si>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</si>
  <si>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</si>
  <si>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</si>
  <si>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</si>
  <si>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</si>
  <si>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</si>
  <si>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</si>
  <si>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</si>
  <si>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</si>
  <si>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</si>
  <si>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</si>
  <si>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</si>
  <si>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</si>
  <si>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</si>
  <si>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</si>
  <si>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</si>
  <si>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</si>
  <si>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</si>
  <si>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</si>
  <si>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</si>
  <si>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</si>
  <si>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</si>
  <si>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</si>
  <si>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</si>
  <si>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</si>
  <si>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</si>
  <si>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</si>
  <si>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</si>
  <si>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</si>
  <si>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</si>
  <si>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</si>
  <si>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</si>
  <si>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</si>
  <si>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</si>
  <si>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</si>
  <si>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</si>
  <si>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</si>
  <si>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</si>
  <si>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</si>
  <si>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</si>
  <si>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</si>
  <si>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</si>
  <si>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</si>
  <si>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</si>
  <si>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</si>
  <si>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</si>
  <si>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</si>
  <si>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</si>
  <si>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</si>
  <si>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</si>
  <si>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</si>
  <si>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</si>
  <si>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</si>
  <si>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</si>
  <si>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</si>
  <si>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</si>
  <si>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</si>
  <si>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</si>
  <si>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</si>
  <si>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</si>
  <si>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</si>
  <si>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</si>
  <si>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</si>
  <si>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</si>
  <si>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</si>
  <si>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</si>
  <si>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</si>
  <si>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</si>
  <si>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</si>
  <si>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</si>
  <si>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</si>
  <si>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</si>
  <si>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</si>
  <si>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</si>
  <si>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</si>
  <si>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</si>
  <si>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</si>
  <si>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</si>
  <si>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</si>
  <si>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</si>
  <si>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</si>
  <si>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</si>
  <si>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</si>
  <si>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</si>
  <si>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</si>
  <si>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</si>
  <si>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</si>
  <si>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</si>
  <si>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</si>
  <si>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</si>
  <si>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</si>
  <si>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</si>
  <si>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</si>
  <si>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</si>
  <si>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</si>
  <si>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</si>
  <si>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</si>
  <si>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</si>
  <si>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</si>
  <si>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</si>
  <si>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</si>
  <si>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</si>
  <si>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</si>
  <si>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</si>
  <si>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</si>
  <si>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</si>
  <si>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</si>
  <si>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</si>
  <si>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</si>
  <si>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</si>
  <si>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</si>
  <si>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</si>
  <si>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</si>
  <si>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</si>
  <si>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</si>
  <si>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</si>
  <si>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</si>
  <si>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</si>
  <si>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</si>
  <si>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</si>
  <si>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</si>
  <si>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</si>
  <si>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</si>
  <si>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</si>
  <si>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</si>
  <si>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</si>
  <si>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</si>
  <si>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</si>
  <si>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</si>
  <si>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</si>
  <si>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</si>
  <si>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</si>
  <si>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</si>
  <si>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</si>
  <si>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</si>
  <si>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</si>
  <si>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</si>
  <si>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</si>
  <si>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</si>
  <si>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</si>
  <si>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</si>
  <si>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</si>
  <si>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</si>
  <si>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</si>
  <si>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</si>
  <si>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</si>
  <si>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</si>
  <si>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</si>
  <si>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</si>
  <si>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</si>
  <si>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</si>
  <si>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</si>
  <si>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</si>
  <si>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</si>
  <si>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</si>
  <si>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</si>
  <si>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</si>
  <si>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</si>
  <si>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</si>
  <si>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</si>
  <si>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</si>
  <si>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</si>
  <si>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</si>
  <si>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</si>
  <si>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</si>
  <si>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</si>
  <si>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</si>
  <si>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</si>
  <si>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</si>
  <si>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</si>
  <si>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</si>
  <si>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</si>
  <si>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</si>
  <si>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</si>
  <si>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</si>
  <si>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</si>
  <si>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</si>
  <si>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</si>
  <si>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</si>
  <si>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</si>
  <si>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</si>
  <si>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</si>
  <si>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</si>
  <si>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</si>
  <si>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</si>
  <si>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</si>
  <si>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</si>
  <si>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</si>
  <si>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</si>
  <si>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</si>
  <si>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</si>
  <si>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</si>
  <si>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</si>
  <si>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</si>
  <si>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</si>
  <si>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</si>
  <si>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</si>
  <si>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</si>
  <si>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</si>
  <si>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</si>
  <si>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</si>
  <si>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</si>
  <si>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</si>
  <si>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</si>
  <si>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</si>
  <si>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</si>
  <si>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</si>
  <si>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</si>
  <si>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</si>
  <si>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</si>
  <si>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</si>
  <si>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</si>
  <si>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</si>
  <si>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</si>
  <si>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</si>
  <si>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</si>
  <si>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</si>
  <si>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</si>
  <si>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</si>
  <si>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</si>
  <si>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</si>
  <si>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</si>
  <si>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</si>
  <si>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</si>
  <si>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</si>
  <si>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</si>
  <si>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</si>
  <si>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</si>
  <si>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</si>
  <si>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</si>
  <si>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</si>
  <si>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</si>
  <si>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</si>
  <si>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</si>
  <si>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</si>
  <si>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</si>
  <si>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</si>
  <si>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</si>
  <si>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</si>
  <si>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</si>
  <si>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</si>
  <si>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</si>
  <si>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</si>
  <si>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</si>
  <si>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</si>
  <si>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</si>
  <si>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</si>
  <si>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</si>
  <si>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</si>
  <si>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</si>
  <si>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</si>
  <si>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</si>
  <si>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</si>
  <si>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</si>
  <si>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</si>
  <si>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</si>
  <si>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</si>
  <si>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</si>
  <si>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</si>
  <si>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</si>
  <si>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</si>
  <si>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</si>
  <si>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</si>
  <si>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</si>
  <si>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</si>
  <si>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</si>
  <si>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</si>
  <si>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</si>
  <si>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</si>
  <si>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</si>
  <si>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</si>
  <si>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</si>
  <si>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</si>
  <si>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</si>
  <si>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</si>
  <si>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</si>
  <si>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</si>
  <si>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</si>
  <si>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</si>
  <si>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</si>
  <si>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</si>
  <si>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</si>
  <si>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</si>
  <si>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</si>
  <si>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</si>
  <si>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</si>
  <si>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</si>
  <si>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</si>
  <si>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</si>
  <si>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</si>
  <si>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</si>
  <si>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</si>
  <si>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</si>
  <si>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</si>
  <si>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</si>
  <si>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</si>
  <si>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</si>
  <si>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</si>
  <si>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</si>
  <si>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</si>
  <si>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</si>
  <si>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</si>
  <si>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</si>
  <si>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</si>
  <si>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</si>
  <si>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</si>
  <si>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</si>
  <si>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</si>
  <si>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</si>
  <si>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</si>
  <si>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</si>
  <si>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</si>
  <si>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</si>
  <si>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</si>
  <si>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</si>
  <si>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</si>
  <si>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</si>
  <si>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</si>
  <si>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</si>
  <si>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</si>
  <si>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</si>
  <si>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</si>
  <si>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</si>
  <si>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</si>
  <si>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</si>
  <si>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</si>
  <si>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</si>
  <si>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</si>
  <si>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</si>
  <si>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</si>
  <si>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</si>
  <si>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</si>
  <si>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</si>
  <si>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</si>
  <si>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</si>
  <si>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</si>
  <si>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</si>
  <si>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</si>
  <si>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</si>
  <si>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</si>
  <si>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</si>
  <si>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</si>
  <si>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</si>
  <si>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</si>
  <si>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</si>
  <si>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</si>
  <si>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</si>
  <si>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</si>
  <si>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</si>
  <si>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</si>
  <si>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</si>
  <si>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</si>
  <si>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</si>
  <si>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</si>
  <si>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</si>
  <si>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</si>
  <si>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</si>
  <si>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</si>
  <si>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</si>
  <si>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</si>
  <si>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</si>
  <si>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</si>
  <si>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</si>
  <si>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</si>
  <si>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</si>
  <si>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</si>
  <si>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</si>
  <si>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</si>
  <si>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</si>
  <si>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</si>
  <si>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</si>
  <si>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</si>
  <si>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</si>
  <si>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</si>
  <si>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</si>
  <si>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</si>
  <si>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</si>
  <si>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</si>
  <si>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</si>
  <si>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</si>
  <si>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</si>
  <si>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</si>
  <si>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</si>
  <si>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</si>
  <si>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</si>
  <si>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</si>
  <si>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</si>
  <si>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</si>
  <si>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</si>
  <si>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</si>
  <si>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</si>
  <si>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</si>
  <si>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</si>
  <si>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</si>
  <si>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</si>
  <si>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</si>
  <si>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</si>
  <si>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</si>
  <si>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</si>
  <si>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</si>
  <si>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</si>
  <si>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</si>
  <si>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</si>
  <si>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</si>
  <si>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</si>
  <si>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</si>
  <si>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</si>
  <si>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</si>
  <si>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</si>
  <si>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</si>
  <si>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</si>
  <si>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</si>
  <si>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</si>
  <si>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</si>
  <si>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</si>
  <si>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</si>
  <si>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</si>
  <si>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</si>
  <si>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</si>
  <si>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</si>
  <si>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</si>
  <si>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</si>
  <si>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</si>
  <si>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</si>
  <si>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</si>
  <si>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</si>
  <si>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</si>
  <si>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</si>
  <si>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</si>
  <si>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</si>
  <si>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</si>
  <si>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</si>
  <si>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</si>
  <si>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</si>
  <si>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</si>
  <si>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</si>
  <si>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</si>
  <si>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</si>
  <si>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</si>
  <si>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</si>
  <si>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</si>
  <si>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</si>
  <si>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</si>
  <si>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</si>
  <si>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</si>
  <si>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</si>
  <si>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</si>
  <si>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</si>
  <si>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</si>
  <si>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</si>
  <si>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</si>
  <si>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</si>
  <si>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</si>
  <si>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</si>
  <si>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</si>
  <si>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</si>
  <si>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</si>
  <si>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</si>
  <si>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</si>
  <si>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</si>
  <si>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</si>
  <si>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</si>
  <si>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</si>
  <si>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</si>
  <si>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</si>
  <si>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</si>
  <si>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</si>
  <si>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</si>
  <si>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</si>
  <si>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</si>
  <si>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</si>
  <si>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</si>
  <si>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</si>
  <si>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</si>
  <si>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</si>
  <si>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</si>
  <si>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</si>
  <si>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</si>
  <si>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</si>
  <si>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</si>
  <si>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</si>
  <si>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</si>
  <si>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</si>
  <si>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</si>
  <si>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</si>
  <si>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</si>
  <si>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</si>
  <si>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</si>
  <si>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</si>
  <si>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</si>
  <si>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</si>
  <si>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</si>
  <si>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</si>
  <si>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</si>
  <si>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</si>
  <si>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</si>
  <si>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</si>
  <si>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</si>
  <si>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</si>
  <si>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</si>
  <si>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</si>
  <si>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</si>
  <si>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</si>
  <si>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</si>
  <si>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</si>
  <si>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</si>
  <si>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</si>
  <si>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</si>
  <si>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</si>
  <si>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</si>
  <si>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</si>
  <si>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</si>
  <si>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</si>
  <si>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</si>
  <si>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</si>
  <si>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</si>
  <si>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</si>
  <si>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</si>
  <si>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</si>
  <si>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</si>
  <si>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</si>
  <si>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</si>
  <si>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</si>
  <si>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</si>
  <si>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</si>
  <si>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</si>
  <si>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</si>
  <si>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</si>
  <si>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</si>
  <si>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</si>
  <si>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</si>
  <si>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</si>
  <si>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</si>
  <si>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</si>
  <si>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</si>
  <si>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</si>
  <si>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</si>
  <si>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</si>
  <si>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</si>
  <si>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</si>
  <si>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</si>
  <si>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</si>
  <si>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</si>
  <si>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</si>
  <si>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</si>
  <si>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</si>
  <si>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</si>
  <si>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</si>
  <si>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</si>
  <si>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</si>
  <si>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</si>
  <si>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</si>
  <si>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</si>
  <si>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</si>
  <si>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</si>
  <si>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</si>
  <si>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</si>
  <si>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</si>
  <si>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</si>
  <si>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</si>
  <si>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</si>
  <si>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</si>
  <si>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</si>
  <si>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</si>
  <si>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</si>
  <si>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</si>
  <si>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</si>
  <si>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</si>
  <si>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</si>
  <si>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</si>
  <si>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</si>
  <si>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</si>
  <si>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</si>
  <si>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</si>
  <si>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</si>
  <si>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</si>
  <si>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</si>
  <si>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</si>
  <si>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</si>
  <si>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</si>
  <si>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</si>
  <si>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</si>
  <si>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</si>
  <si>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</si>
  <si>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</si>
  <si>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</si>
  <si>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</si>
  <si>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</si>
  <si>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</si>
  <si>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</si>
  <si>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</si>
  <si>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</si>
  <si>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</si>
  <si>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</si>
  <si>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</si>
  <si>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</si>
  <si>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</si>
  <si>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</si>
  <si>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</si>
  <si>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</si>
  <si>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</si>
  <si>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</si>
  <si>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</si>
  <si>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</si>
  <si>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</si>
  <si>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</si>
  <si>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</si>
  <si>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</si>
  <si>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</si>
  <si>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</si>
  <si>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</si>
  <si>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</si>
  <si>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</si>
  <si>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</si>
  <si>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</si>
  <si>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</si>
  <si>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</si>
  <si>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</si>
  <si>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</si>
  <si>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</si>
  <si>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</si>
  <si>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</si>
  <si>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</si>
  <si>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</si>
  <si>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</si>
  <si>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</si>
  <si>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</si>
  <si>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</si>
  <si>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</si>
  <si>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</si>
  <si>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</si>
  <si>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</si>
  <si>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</si>
  <si>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</si>
  <si>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</si>
  <si>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</si>
  <si>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</si>
  <si>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</si>
  <si>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</si>
  <si>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</si>
  <si>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</si>
  <si>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</si>
  <si>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</si>
  <si>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</si>
  <si>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</si>
  <si>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</si>
  <si>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</si>
  <si>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</si>
  <si>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</si>
  <si>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</si>
  <si>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</si>
  <si>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</si>
  <si>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</si>
  <si>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</si>
  <si>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</si>
  <si>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</si>
  <si>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</si>
  <si>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</si>
  <si>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</si>
  <si>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</si>
  <si>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</si>
  <si>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</si>
  <si>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</si>
  <si>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</si>
  <si>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</si>
  <si>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</si>
  <si>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</si>
  <si>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</si>
  <si>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</si>
  <si>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</si>
  <si>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</si>
  <si>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</si>
  <si>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</si>
  <si>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</si>
  <si>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</si>
  <si>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</si>
  <si>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</si>
  <si>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</si>
  <si>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</si>
  <si>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</si>
  <si>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</si>
  <si>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</si>
  <si>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</si>
  <si>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</si>
  <si>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</si>
  <si>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</si>
  <si>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</si>
  <si>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</si>
  <si>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</si>
  <si>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</si>
  <si>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</si>
  <si>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</si>
  <si>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</si>
  <si>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</si>
  <si>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</si>
  <si>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</si>
  <si>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</si>
  <si>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</si>
  <si>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</si>
  <si>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</si>
  <si>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</si>
  <si>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</si>
  <si>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</si>
  <si>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</si>
  <si>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</si>
  <si>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</si>
  <si>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</si>
  <si>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</si>
  <si>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</si>
  <si>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</si>
  <si>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</si>
  <si>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</si>
  <si>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</si>
  <si>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</si>
  <si>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</si>
  <si>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</si>
  <si>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</si>
  <si>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</si>
  <si>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</si>
  <si>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</si>
  <si>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</si>
  <si>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</si>
  <si>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</si>
  <si>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</si>
  <si>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</si>
  <si>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</si>
  <si>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</si>
  <si>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</si>
  <si>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</si>
  <si>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</si>
  <si>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</si>
  <si>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</si>
  <si>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</si>
  <si>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</si>
  <si>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</si>
  <si>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</si>
  <si>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</si>
  <si>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</si>
  <si>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</si>
  <si>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</si>
  <si>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</si>
  <si>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</si>
  <si>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</si>
  <si>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</si>
  <si>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</si>
  <si>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</si>
  <si>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</si>
  <si>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</si>
  <si>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</si>
  <si>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</si>
  <si>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</si>
  <si>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</si>
  <si>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</si>
  <si>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</si>
  <si>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</si>
  <si>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</si>
  <si>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</si>
  <si>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</si>
  <si>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</si>
  <si>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</si>
  <si>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</si>
  <si>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</si>
  <si>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</si>
  <si>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</si>
  <si>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</si>
  <si>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</si>
  <si>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</si>
  <si>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</si>
  <si>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</si>
  <si>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</si>
  <si>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</si>
  <si>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</si>
  <si>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</si>
  <si>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</si>
  <si>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</si>
  <si>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</si>
  <si>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</si>
  <si>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</si>
  <si>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</si>
  <si>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</si>
  <si>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</si>
  <si>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</si>
  <si>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</si>
  <si>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</si>
  <si>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</si>
  <si>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</si>
  <si>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</si>
  <si>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</si>
  <si>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</si>
  <si>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</si>
  <si>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</si>
  <si>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</si>
  <si>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</si>
  <si>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</si>
  <si>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</si>
  <si>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</si>
  <si>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</si>
  <si>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</si>
  <si>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</si>
  <si>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</si>
  <si>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</si>
  <si>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</si>
  <si>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</si>
  <si>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</si>
  <si>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</si>
  <si>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</si>
  <si>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</si>
  <si>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</si>
  <si>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</si>
  <si>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</si>
  <si>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</si>
  <si>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</si>
  <si>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</si>
  <si>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</si>
  <si>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</si>
  <si>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</si>
  <si>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</si>
  <si>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</si>
  <si>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</si>
  <si>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</si>
  <si>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</si>
  <si>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</si>
  <si>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</si>
  <si>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</si>
  <si>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</si>
  <si>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</si>
  <si>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</si>
  <si>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</si>
  <si>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</si>
  <si>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</si>
  <si>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</si>
  <si>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</si>
  <si>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</si>
  <si>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</si>
  <si>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</si>
  <si>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</si>
  <si>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</si>
  <si>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</si>
  <si>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</si>
  <si>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</si>
  <si>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</si>
  <si>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</si>
  <si>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</si>
  <si>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</si>
  <si>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</si>
  <si>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</si>
  <si>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</si>
  <si>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</si>
  <si>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</si>
  <si>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</si>
  <si>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</si>
  <si>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</si>
  <si>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</si>
  <si>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</si>
  <si>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</si>
  <si>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</si>
  <si>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</si>
  <si>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</si>
  <si>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</si>
  <si>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</si>
  <si>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</si>
  <si>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</si>
  <si>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</si>
  <si>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</si>
  <si>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</si>
  <si>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</si>
  <si>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</si>
  <si>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</si>
  <si>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</si>
  <si>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</si>
  <si>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</si>
  <si>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</si>
  <si>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</si>
  <si>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</si>
  <si>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</si>
  <si>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</si>
  <si>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</si>
  <si>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</si>
  <si>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</si>
  <si>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</si>
  <si>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</si>
  <si>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</si>
  <si>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</si>
  <si>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</si>
  <si>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</si>
  <si>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</si>
  <si>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</si>
  <si>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</si>
  <si>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</si>
  <si>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</si>
  <si>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</si>
  <si>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</si>
  <si>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</si>
  <si>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</si>
  <si>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</si>
  <si>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</si>
  <si>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</si>
  <si>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</si>
  <si>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</si>
  <si>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</si>
  <si>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</si>
  <si>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</si>
  <si>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</si>
  <si>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</si>
  <si>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</si>
  <si>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</si>
  <si>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</si>
  <si>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</si>
  <si>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</si>
  <si>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</si>
  <si>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</si>
  <si>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</si>
  <si>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</si>
  <si>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</si>
  <si>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</si>
  <si>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</si>
  <si>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</si>
  <si>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</si>
  <si>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</si>
  <si>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</si>
  <si>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</si>
  <si>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</si>
  <si>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</si>
  <si>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</si>
  <si>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</si>
  <si>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</si>
  <si>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</si>
  <si>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</si>
  <si>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</si>
  <si>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</si>
  <si>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</si>
  <si>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</si>
  <si>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</si>
  <si>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</si>
  <si>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</si>
  <si>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</si>
  <si>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</si>
  <si>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</si>
  <si>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</si>
  <si>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</si>
  <si>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</si>
  <si>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</si>
  <si>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</si>
  <si>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</si>
  <si>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</si>
  <si>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</si>
  <si>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</si>
  <si>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</si>
  <si>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</si>
  <si>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</si>
  <si>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</si>
  <si>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</si>
  <si>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</si>
  <si>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</si>
  <si>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</si>
  <si>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</si>
  <si>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</si>
  <si>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</si>
  <si>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</si>
  <si>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</si>
  <si>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</si>
  <si>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</si>
  <si>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</si>
  <si>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</si>
  <si>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</si>
  <si>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</si>
  <si>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</si>
  <si>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</si>
  <si>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</si>
  <si>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</si>
  <si>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</si>
  <si>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</si>
  <si>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</si>
  <si>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</si>
  <si>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</si>
  <si>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</si>
  <si>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</si>
  <si>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</si>
  <si>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</si>
  <si>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</si>
  <si>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</si>
  <si>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</si>
  <si>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</si>
  <si>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</si>
  <si>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</si>
  <si>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</si>
  <si>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</si>
  <si>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</si>
  <si>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</si>
  <si>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</si>
  <si>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</si>
  <si>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</si>
  <si>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</si>
  <si>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</si>
  <si>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</si>
  <si>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</si>
  <si>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</si>
  <si>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</si>
  <si>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</si>
  <si>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</si>
  <si>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</si>
  <si>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</si>
  <si>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</si>
  <si>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</si>
  <si>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</si>
  <si>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</si>
  <si>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</si>
  <si>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</si>
  <si>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</si>
  <si>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</si>
  <si>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</si>
  <si>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</si>
  <si>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</si>
  <si>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</si>
  <si>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</si>
  <si>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</si>
  <si>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</si>
  <si>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</si>
  <si>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</si>
  <si>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</si>
  <si>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</si>
  <si>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</si>
  <si>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</si>
  <si>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</si>
  <si>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</si>
  <si>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</si>
  <si>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</si>
  <si>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</si>
  <si>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</si>
  <si>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</si>
  <si>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</si>
  <si>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</si>
  <si>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</si>
  <si>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</si>
  <si>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</si>
  <si>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</si>
  <si>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</si>
  <si>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</si>
  <si>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</si>
  <si>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</si>
  <si>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</si>
  <si>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</si>
  <si>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</si>
  <si>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</si>
  <si>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</si>
  <si>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</si>
  <si>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</si>
  <si>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</si>
  <si>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</si>
  <si>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</si>
  <si>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</si>
  <si>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</si>
  <si>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</si>
  <si>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</si>
  <si>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</si>
  <si>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</si>
  <si>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</si>
  <si>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</si>
  <si>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</si>
  <si>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</si>
  <si>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</si>
  <si>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</si>
  <si>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</si>
  <si>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</si>
  <si>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</si>
  <si>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</si>
  <si>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</si>
  <si>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</si>
  <si>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</si>
  <si>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</si>
  <si>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</si>
  <si>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</si>
  <si>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</si>
  <si>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</si>
  <si>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</si>
  <si>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</si>
  <si>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</si>
  <si>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</si>
  <si>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</si>
  <si>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</si>
  <si>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</si>
  <si>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</si>
  <si>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</si>
  <si>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</si>
  <si>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</si>
  <si>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</si>
  <si>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</si>
  <si>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</si>
  <si>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</si>
  <si>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</si>
  <si>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</si>
  <si>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</si>
  <si>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</si>
  <si>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</si>
  <si>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</si>
  <si>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</si>
  <si>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</si>
  <si>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</si>
  <si>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</si>
  <si>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</si>
  <si>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</si>
  <si>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</si>
  <si>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</si>
  <si>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</si>
  <si>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</si>
  <si>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</si>
  <si>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</si>
  <si>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</si>
  <si>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</si>
  <si>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</si>
  <si>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</si>
  <si>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</si>
  <si>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</si>
  <si>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</si>
  <si>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</si>
  <si>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</si>
  <si>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</si>
  <si>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</si>
  <si>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</si>
  <si>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</si>
  <si>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</si>
  <si>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</si>
  <si>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</si>
  <si>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</si>
  <si>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</si>
  <si>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</si>
  <si>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</si>
  <si>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</si>
  <si>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</si>
  <si>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</si>
  <si>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</si>
  <si>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</si>
  <si>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</si>
  <si>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</si>
  <si>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</si>
  <si>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</si>
  <si>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</si>
  <si>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</si>
  <si>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</si>
  <si>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</si>
  <si>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</si>
  <si>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</si>
  <si>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</si>
  <si>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</si>
  <si>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</si>
  <si>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</si>
  <si>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</si>
  <si>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</si>
  <si>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</si>
  <si>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</si>
  <si>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</si>
  <si>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</si>
  <si>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</si>
  <si>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</si>
  <si>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</si>
  <si>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</si>
  <si>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</si>
  <si>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</si>
  <si>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</si>
  <si>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</si>
  <si>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</si>
  <si>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</si>
  <si>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</si>
  <si>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</si>
  <si>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</si>
  <si>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</si>
  <si>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</si>
  <si>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</si>
  <si>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</si>
  <si>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</si>
  <si>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</si>
  <si>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</si>
  <si>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</si>
  <si>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</si>
  <si>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</si>
  <si>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</si>
  <si>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</si>
  <si>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</si>
  <si>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</si>
  <si>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</si>
  <si>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</si>
  <si>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</si>
  <si>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</si>
  <si>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</si>
  <si>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</si>
  <si>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</si>
  <si>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</si>
  <si>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</si>
  <si>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</si>
  <si>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</si>
  <si>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</si>
  <si>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</si>
  <si>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</si>
  <si>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</si>
  <si>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</si>
  <si>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</si>
  <si>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</si>
  <si>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</si>
  <si>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</si>
  <si>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</si>
  <si>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</si>
  <si>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</si>
  <si>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</si>
  <si>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</si>
  <si>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</si>
  <si>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</si>
  <si>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</si>
  <si>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</si>
  <si>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</si>
  <si>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</si>
  <si>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</si>
  <si>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</si>
  <si>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</si>
  <si>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</si>
  <si>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</si>
  <si>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</si>
  <si>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</si>
  <si>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</si>
  <si>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</si>
  <si>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</si>
  <si>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</si>
  <si>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</si>
  <si>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</si>
  <si>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</si>
  <si>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</si>
  <si>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</si>
  <si>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</si>
  <si>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</si>
  <si>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</si>
  <si>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</si>
  <si>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</si>
  <si>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</si>
  <si>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</si>
  <si>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</si>
  <si>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</si>
  <si>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</si>
  <si>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</si>
  <si>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</si>
  <si>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</si>
  <si>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</si>
  <si>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</si>
  <si>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</si>
  <si>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</si>
  <si>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</si>
  <si>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</si>
  <si>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</si>
  <si>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</si>
  <si>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</si>
  <si>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</si>
  <si>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</si>
  <si>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</si>
  <si>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</si>
  <si>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</si>
  <si>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</si>
  <si>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</si>
  <si>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</si>
  <si>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</si>
  <si>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</si>
  <si>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</si>
  <si>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</si>
  <si>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</si>
  <si>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</si>
  <si>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</si>
  <si>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</si>
  <si>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</si>
  <si>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</si>
  <si>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</si>
  <si>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</si>
  <si>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</si>
  <si>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</si>
  <si>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</si>
  <si>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</si>
  <si>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</si>
  <si>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</si>
  <si>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</si>
  <si>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</si>
  <si>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</si>
  <si>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</si>
  <si>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</si>
  <si>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</si>
  <si>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</si>
  <si>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</si>
  <si>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</si>
  <si>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</si>
  <si>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</si>
  <si>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</si>
  <si>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</si>
  <si>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</si>
  <si>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</si>
  <si>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</si>
  <si>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</si>
  <si>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</si>
  <si>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</si>
  <si>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</si>
  <si>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</si>
  <si>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</si>
  <si>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</si>
  <si>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</si>
  <si>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</si>
  <si>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</si>
  <si>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</si>
  <si>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</si>
  <si>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</si>
  <si>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</si>
  <si>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</si>
  <si>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</si>
  <si>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</si>
  <si>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</si>
  <si>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</si>
  <si>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</si>
  <si>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</si>
  <si>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</si>
  <si>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</si>
  <si>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</si>
  <si>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</si>
  <si>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</si>
  <si>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</si>
  <si>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</si>
  <si>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</si>
  <si>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</si>
  <si>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</si>
  <si>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</si>
  <si>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</si>
  <si>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</si>
  <si>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</si>
  <si>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</si>
  <si>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</si>
  <si>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</si>
  <si>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</si>
  <si>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</si>
  <si>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</si>
  <si>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</si>
  <si>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</si>
  <si>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</si>
  <si>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</si>
  <si>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</si>
  <si>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</si>
  <si>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</si>
  <si>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</si>
  <si>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</si>
  <si>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</si>
  <si>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</si>
  <si>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</si>
  <si>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</si>
  <si>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</si>
  <si>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</si>
  <si>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</si>
  <si>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</si>
  <si>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</si>
  <si>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</si>
  <si>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</si>
  <si>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</si>
  <si>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</si>
  <si>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</si>
  <si>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</si>
  <si>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</si>
  <si>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</si>
  <si>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</si>
  <si>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</si>
  <si>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</si>
  <si>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</si>
  <si>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</si>
  <si>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</si>
  <si>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</si>
  <si>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</si>
  <si>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</si>
  <si>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</si>
  <si>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</si>
  <si>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</si>
  <si>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</si>
  <si>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</si>
  <si>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</si>
  <si>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</si>
  <si>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</si>
  <si>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</si>
  <si>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</si>
  <si>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</si>
  <si>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</si>
  <si>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</si>
  <si>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</si>
  <si>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</si>
  <si>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</si>
  <si>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</si>
  <si>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</si>
  <si>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</si>
  <si>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</si>
  <si>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</si>
  <si>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</si>
  <si>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</si>
  <si>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</si>
  <si>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</si>
  <si>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</si>
  <si>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</si>
  <si>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</si>
  <si>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</si>
  <si>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</si>
  <si>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</si>
  <si>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</si>
  <si>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</si>
  <si>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</si>
  <si>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</si>
  <si>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</si>
  <si>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</si>
  <si>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</si>
  <si>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</si>
  <si>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</si>
  <si>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</si>
  <si>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</si>
  <si>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</si>
  <si>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</si>
  <si>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</si>
  <si>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</si>
  <si>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</si>
  <si>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</si>
  <si>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</si>
  <si>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</si>
  <si>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</si>
  <si>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</si>
  <si>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</si>
  <si>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</si>
  <si>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</si>
  <si>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</si>
  <si>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</si>
  <si>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</si>
  <si>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</si>
  <si>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</si>
  <si>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</si>
  <si>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</si>
  <si>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</si>
  <si>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</si>
  <si>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</si>
  <si>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</si>
  <si>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</si>
  <si>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</si>
  <si>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</si>
  <si>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</si>
  <si>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</si>
  <si>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</si>
  <si>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</si>
  <si>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</si>
  <si>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</si>
  <si>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</si>
  <si>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</si>
  <si>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</si>
  <si>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</si>
  <si>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</si>
  <si>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</si>
  <si>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</si>
  <si>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</si>
  <si>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</si>
  <si>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</si>
  <si>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</si>
  <si>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</si>
  <si>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</si>
  <si>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</si>
  <si>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</si>
  <si>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</si>
  <si>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</si>
  <si>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</si>
  <si>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</si>
  <si>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</si>
  <si>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</si>
  <si>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</si>
  <si>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</si>
  <si>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</si>
  <si>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</si>
  <si>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</si>
  <si>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</si>
  <si>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</si>
  <si>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</si>
  <si>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</si>
  <si>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</si>
  <si>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</si>
  <si>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</si>
  <si>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</si>
  <si>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</si>
  <si>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</si>
  <si>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</si>
  <si>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</si>
  <si>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</si>
  <si>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</si>
  <si>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</si>
  <si>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</si>
  <si>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</si>
  <si>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</si>
  <si>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</si>
  <si>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</si>
  <si>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</si>
  <si>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</si>
  <si>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</si>
  <si>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</si>
  <si>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</si>
  <si>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</si>
  <si>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</si>
  <si>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</si>
  <si>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</si>
  <si>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</si>
  <si>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</si>
  <si>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</si>
  <si>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</si>
  <si>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</si>
  <si>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</si>
  <si>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</si>
  <si>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</si>
  <si>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</si>
  <si>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</si>
  <si>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</si>
  <si>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</si>
  <si>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</si>
  <si>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</si>
  <si>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</si>
  <si>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</si>
  <si>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</si>
  <si>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</si>
  <si>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</si>
  <si>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</si>
  <si>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</si>
  <si>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</si>
  <si>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</si>
  <si>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</si>
  <si>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</si>
  <si>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</si>
  <si>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</si>
  <si>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</si>
  <si>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</si>
  <si>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</si>
  <si>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</si>
  <si>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</si>
  <si>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</si>
  <si>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</si>
  <si>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</si>
  <si>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</si>
  <si>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</si>
  <si>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</si>
  <si>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</si>
  <si>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</si>
  <si>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</si>
  <si>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</si>
  <si>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</si>
  <si>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</si>
  <si>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</si>
  <si>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</si>
  <si>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</si>
  <si>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</si>
  <si>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</si>
  <si>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</si>
  <si>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</si>
  <si>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</si>
  <si>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</si>
  <si>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</si>
  <si>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</si>
  <si>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</si>
  <si>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</si>
  <si>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</si>
  <si>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</si>
  <si>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</si>
  <si>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</si>
  <si>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</si>
  <si>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</si>
  <si>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</si>
  <si>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</si>
  <si>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</si>
  <si>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</si>
  <si>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</si>
  <si>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</si>
  <si>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</si>
  <si>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</si>
  <si>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</si>
  <si>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</si>
  <si>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</si>
  <si>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</si>
  <si>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</si>
  <si>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</si>
  <si>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</si>
  <si>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</si>
  <si>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</si>
  <si>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</si>
  <si>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</si>
  <si>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</si>
  <si>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</si>
  <si>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</si>
  <si>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</si>
  <si>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</si>
  <si>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</si>
  <si>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</si>
  <si>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</si>
  <si>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</si>
  <si>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</si>
  <si>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</si>
  <si>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</si>
  <si>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</si>
  <si>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</si>
  <si>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</si>
  <si>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</si>
  <si>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</si>
  <si>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</si>
  <si>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</si>
  <si>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</si>
  <si>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</si>
  <si>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</si>
  <si>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</si>
  <si>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</si>
  <si>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</si>
  <si>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</si>
  <si>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</si>
  <si>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</si>
  <si>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</si>
  <si>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</si>
  <si>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</si>
  <si>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</si>
  <si>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</si>
  <si>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</si>
  <si>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</si>
  <si>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</si>
  <si>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</si>
  <si>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</si>
  <si>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</si>
  <si>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</si>
  <si>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</si>
  <si>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</si>
  <si>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</si>
  <si>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</si>
  <si>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</si>
  <si>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</si>
  <si>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</si>
  <si>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</si>
  <si>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</si>
  <si>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</si>
  <si>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</si>
  <si>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</si>
  <si>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</si>
  <si>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</si>
  <si>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</si>
  <si>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</si>
  <si>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</si>
  <si>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</si>
  <si>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</si>
  <si>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</si>
  <si>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</si>
  <si>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</si>
  <si>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</si>
  <si>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</si>
  <si>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</si>
  <si>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</si>
  <si>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</si>
  <si>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</si>
  <si>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</si>
  <si>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</si>
  <si>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</si>
  <si>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</si>
  <si>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</si>
  <si>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</si>
  <si>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</si>
  <si>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</si>
  <si>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</si>
  <si>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</si>
  <si>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</si>
  <si>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</si>
  <si>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</si>
  <si>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</si>
  <si>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</si>
  <si>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</si>
  <si>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</si>
  <si>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</si>
  <si>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</si>
  <si>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</si>
  <si>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</si>
  <si>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</si>
  <si>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</si>
  <si>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</si>
  <si>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</si>
  <si>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</si>
  <si>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</si>
  <si>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</si>
  <si>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</si>
  <si>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</si>
  <si>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</si>
  <si>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</si>
  <si>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</si>
  <si>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</si>
  <si>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</si>
  <si>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</si>
  <si>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</si>
  <si>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</si>
  <si>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</si>
  <si>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</si>
  <si>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</si>
  <si>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</si>
  <si>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</si>
  <si>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</si>
  <si>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</si>
  <si>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</si>
  <si>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</si>
  <si>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</si>
  <si>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</si>
  <si>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</si>
  <si>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</si>
  <si>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</si>
  <si>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</si>
  <si>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</si>
  <si>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</si>
  <si>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</si>
  <si>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</si>
  <si>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</si>
  <si>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</si>
  <si>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</si>
  <si>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</si>
  <si>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</si>
  <si>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</si>
  <si>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</si>
  <si>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</si>
  <si>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</si>
  <si>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</si>
  <si>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</si>
  <si>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</si>
  <si>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</si>
  <si>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</si>
  <si>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</si>
  <si>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</si>
  <si>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</si>
  <si>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</si>
  <si>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</si>
  <si>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</si>
  <si>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</si>
  <si>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</si>
  <si>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</si>
  <si>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</si>
  <si>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</si>
  <si>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</si>
  <si>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</si>
  <si>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</si>
  <si>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</si>
  <si>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</si>
  <si>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</si>
  <si>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</si>
  <si>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</si>
  <si>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</si>
  <si>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</si>
  <si>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</si>
  <si>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</si>
  <si>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</si>
  <si>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</si>
  <si>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</si>
  <si>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</si>
  <si>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</si>
  <si>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</si>
  <si>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</si>
  <si>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</si>
  <si>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</si>
  <si>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</si>
  <si>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</si>
  <si>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</si>
  <si>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</si>
  <si>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</si>
  <si>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</si>
  <si>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</si>
  <si>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</si>
  <si>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</si>
  <si>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</si>
  <si>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</si>
  <si>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</si>
  <si>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</si>
  <si>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</si>
  <si>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</si>
  <si>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</si>
  <si>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</si>
  <si>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</si>
  <si>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</si>
  <si>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</si>
  <si>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</si>
  <si>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</si>
  <si>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</si>
  <si>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</si>
  <si>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</si>
  <si>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</si>
  <si>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</si>
  <si>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</si>
  <si>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</si>
  <si>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</si>
  <si>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</si>
  <si>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</si>
  <si>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</si>
  <si>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</si>
  <si>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</si>
  <si>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</si>
  <si>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</si>
  <si>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</si>
  <si>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</si>
  <si>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</si>
  <si>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</si>
  <si>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</si>
  <si>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</si>
  <si>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</si>
  <si>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</si>
  <si>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</si>
  <si>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</si>
  <si>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</si>
  <si>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</si>
  <si>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</si>
  <si>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</si>
  <si>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</si>
  <si>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</si>
  <si>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</si>
  <si>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</si>
  <si>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</si>
  <si>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</si>
  <si>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</si>
  <si>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</si>
  <si>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</si>
  <si>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</si>
  <si>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</si>
  <si>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</si>
  <si>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</si>
  <si>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</si>
  <si>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</si>
  <si>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</si>
  <si>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</si>
  <si>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</si>
  <si>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</si>
  <si>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</si>
  <si>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</si>
  <si>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</si>
  <si>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</si>
  <si>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</si>
  <si>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</si>
  <si>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</si>
  <si>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</si>
  <si>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</si>
  <si>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</si>
  <si>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</si>
  <si>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</si>
  <si>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</si>
  <si>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</si>
  <si>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</si>
  <si>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</si>
  <si>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</si>
  <si>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</si>
  <si>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</si>
  <si>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</si>
  <si>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</si>
  <si>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</si>
  <si>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</si>
  <si>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</si>
  <si>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</si>
  <si>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</si>
  <si>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</si>
  <si>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</si>
  <si>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</si>
  <si>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</si>
  <si>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</si>
  <si>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</si>
  <si>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</si>
  <si>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</si>
  <si>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</si>
  <si>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</si>
  <si>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</si>
  <si>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</si>
  <si>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</si>
  <si>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</si>
  <si>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</si>
  <si>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</si>
  <si>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</si>
  <si>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</si>
  <si>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</si>
  <si>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</si>
  <si>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</si>
  <si>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</si>
  <si>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</si>
  <si>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</si>
  <si>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</si>
  <si>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</si>
  <si>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</si>
  <si>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</si>
  <si>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</si>
  <si>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</si>
  <si>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</si>
  <si>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</si>
  <si>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</si>
  <si>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</si>
  <si>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</si>
  <si>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</si>
  <si>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</si>
  <si>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</si>
  <si>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</si>
  <si>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</si>
  <si>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</si>
  <si>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</si>
  <si>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</si>
  <si>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</si>
  <si>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</si>
  <si>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</si>
  <si>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</si>
  <si>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</si>
  <si>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</si>
  <si>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</si>
  <si>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</si>
  <si>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</si>
  <si>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</si>
  <si>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</si>
  <si>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</si>
  <si>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</si>
  <si>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</si>
  <si>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</si>
  <si>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</si>
  <si>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</si>
  <si>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</si>
  <si>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</si>
  <si>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</si>
  <si>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</si>
  <si>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</si>
  <si>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</si>
  <si>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</si>
  <si>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</si>
  <si>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</si>
  <si>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</si>
  <si>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</si>
  <si>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</si>
  <si>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</si>
  <si>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</si>
  <si>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</si>
  <si>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</si>
  <si>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</si>
  <si>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</si>
  <si>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</si>
  <si>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</si>
  <si>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</si>
  <si>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</si>
  <si>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</si>
  <si>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</si>
  <si>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</si>
  <si>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</si>
  <si>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</si>
  <si>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</si>
  <si>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</si>
  <si>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</si>
  <si>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</si>
  <si>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</si>
  <si>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</si>
  <si>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</si>
  <si>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</si>
  <si>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</si>
  <si>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</si>
  <si>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</si>
  <si>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</si>
  <si>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</si>
  <si>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</si>
  <si>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</si>
  <si>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</si>
  <si>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</si>
  <si>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</si>
  <si>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</si>
  <si>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</si>
  <si>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</si>
  <si>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</si>
  <si>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</si>
  <si>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</si>
  <si>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</si>
  <si>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</si>
  <si>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</si>
  <si>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</si>
  <si>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</si>
  <si>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</si>
  <si>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</si>
  <si>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</si>
  <si>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</si>
  <si>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</si>
  <si>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</si>
  <si>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</si>
  <si>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</si>
  <si>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</si>
  <si>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</si>
  <si>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</si>
  <si>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</si>
  <si>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</si>
  <si>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</si>
  <si>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</si>
  <si>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</si>
  <si>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</si>
  <si>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</si>
  <si>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</si>
  <si>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</si>
  <si>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</si>
  <si>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</si>
  <si>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</si>
  <si>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</si>
  <si>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</si>
  <si>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</si>
  <si>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</si>
  <si>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</si>
  <si>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</si>
  <si>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</si>
  <si>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</si>
  <si>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</si>
  <si>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</si>
  <si>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</si>
  <si>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</si>
  <si>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</si>
  <si>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</si>
  <si>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</si>
  <si>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</si>
  <si>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</si>
  <si>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</si>
  <si>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</si>
  <si>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</si>
  <si>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</si>
  <si>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</si>
  <si>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</si>
  <si>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</si>
  <si>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</si>
  <si>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</si>
  <si>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</si>
  <si>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</si>
  <si>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</si>
  <si>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</si>
  <si>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</si>
  <si>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</si>
  <si>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</si>
  <si>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</si>
  <si>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</si>
  <si>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</si>
  <si>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</si>
  <si>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</si>
  <si>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</si>
  <si>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</si>
  <si>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</si>
  <si>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</si>
  <si>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</si>
  <si>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</si>
  <si>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</si>
  <si>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</si>
  <si>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</si>
  <si>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</si>
  <si>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</si>
  <si>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</si>
  <si>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</si>
  <si>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</si>
  <si>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</si>
  <si>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</si>
  <si>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</si>
  <si>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</si>
  <si>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</si>
  <si>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</si>
  <si>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</si>
  <si>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</si>
  <si>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</si>
  <si>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</si>
  <si>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</si>
  <si>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</si>
  <si>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</si>
  <si>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</si>
  <si>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</si>
  <si>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</si>
  <si>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</si>
  <si>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</si>
  <si>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</si>
  <si>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</si>
  <si>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</si>
  <si>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</si>
  <si>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</si>
  <si>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</si>
  <si>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</si>
  <si>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</si>
  <si>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</si>
  <si>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</si>
  <si>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</si>
  <si>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</si>
  <si>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</si>
  <si>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</si>
  <si>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</si>
  <si>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</si>
  <si>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</si>
  <si>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</si>
  <si>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</si>
  <si>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</si>
  <si>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</si>
  <si>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</si>
  <si>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</si>
  <si>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</si>
  <si>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</si>
  <si>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</si>
  <si>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</si>
  <si>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</si>
  <si>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</si>
  <si>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</si>
  <si>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</si>
  <si>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</si>
  <si>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</si>
  <si>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</si>
  <si>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</si>
  <si>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</si>
  <si>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</si>
  <si>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</si>
  <si>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</si>
  <si>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</si>
  <si>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</si>
  <si>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</si>
  <si>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</si>
  <si>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</si>
  <si>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</si>
  <si>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</si>
  <si>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</si>
  <si>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</si>
  <si>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</si>
  <si>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</si>
  <si>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</si>
  <si>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</si>
  <si>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</si>
  <si>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</si>
  <si>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</si>
  <si>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</si>
  <si>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</si>
  <si>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</si>
  <si>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</si>
  <si>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</si>
  <si>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</si>
  <si>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</si>
  <si>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</si>
  <si>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</si>
  <si>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</si>
  <si>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</si>
  <si>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</si>
  <si>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</si>
  <si>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</si>
  <si>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</si>
  <si>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</si>
  <si>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</si>
  <si>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</si>
  <si>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</si>
  <si>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</si>
  <si>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</si>
  <si>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</si>
  <si>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</si>
  <si>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</si>
  <si>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</si>
  <si>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</si>
  <si>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</si>
  <si>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</si>
  <si>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</si>
  <si>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</si>
  <si>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</si>
  <si>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</si>
  <si>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</si>
  <si>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</si>
  <si>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</si>
  <si>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</si>
  <si>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</si>
  <si>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</si>
  <si>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</si>
  <si>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</si>
  <si>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</si>
  <si>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</si>
  <si>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</si>
  <si>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</si>
  <si>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</si>
  <si>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</si>
  <si>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</si>
  <si>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</si>
  <si>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</si>
  <si>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</si>
  <si>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</si>
  <si>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</si>
  <si>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</si>
  <si>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</si>
  <si>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</si>
  <si>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</si>
  <si>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</si>
  <si>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</si>
  <si>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</si>
  <si>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</si>
  <si>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</si>
  <si>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</si>
  <si>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</si>
  <si>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</si>
  <si>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</si>
  <si>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</si>
  <si>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</si>
  <si>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</si>
  <si>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</si>
  <si>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</si>
  <si>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</si>
  <si>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</si>
  <si>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</si>
  <si>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</si>
  <si>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</si>
  <si>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</si>
  <si>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</si>
  <si>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</si>
  <si>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</si>
  <si>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</si>
  <si>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</si>
  <si>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</si>
  <si>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</si>
  <si>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</si>
  <si>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</si>
  <si>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</si>
  <si>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</si>
  <si>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</si>
  <si>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</si>
  <si>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</si>
  <si>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</si>
  <si>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</si>
  <si>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</si>
  <si>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</si>
  <si>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</si>
  <si>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</si>
  <si>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</si>
  <si>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</si>
  <si>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</si>
  <si>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</si>
  <si>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</si>
  <si>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</si>
  <si>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</si>
  <si>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</si>
  <si>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</si>
  <si>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</si>
  <si>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</si>
  <si>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</si>
  <si>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</si>
  <si>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</si>
  <si>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</si>
  <si>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</si>
  <si>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</si>
  <si>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</si>
  <si>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</si>
  <si>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</si>
  <si>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</si>
  <si>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</si>
  <si>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</si>
  <si>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</si>
  <si>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</si>
  <si>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</si>
  <si>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</si>
  <si>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</si>
  <si>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</si>
  <si>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</si>
  <si>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</si>
  <si>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</si>
  <si>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</si>
  <si>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</si>
  <si>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</si>
  <si>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</si>
  <si>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</si>
  <si>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</si>
  <si>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</si>
  <si>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</si>
  <si>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</si>
  <si>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</si>
  <si>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</si>
  <si>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</si>
  <si>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</si>
  <si>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</si>
  <si>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</si>
  <si>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</si>
  <si>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</si>
  <si>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</si>
  <si>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</si>
  <si>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</si>
  <si>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</si>
  <si>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</si>
  <si>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</si>
  <si>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</si>
  <si>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</si>
  <si>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</si>
  <si>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</si>
  <si>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</si>
  <si>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</si>
  <si>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</si>
  <si>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</si>
  <si>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</si>
  <si>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</si>
  <si>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</si>
  <si>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</si>
  <si>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</si>
  <si>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</si>
  <si>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</si>
  <si>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</si>
  <si>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</si>
  <si>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</si>
  <si>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</si>
  <si>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</si>
  <si>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</si>
  <si>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</si>
  <si>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</si>
  <si>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</si>
  <si>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</si>
  <si>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</si>
  <si>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</si>
  <si>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</si>
  <si>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</si>
  <si>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</si>
  <si>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</si>
  <si>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</si>
  <si>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</si>
  <si>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</si>
  <si>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</si>
  <si>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</si>
  <si>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</si>
  <si>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</si>
  <si>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</si>
  <si>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</si>
  <si>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</si>
  <si>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</si>
  <si>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</si>
  <si>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</si>
  <si>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</si>
  <si>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</si>
  <si>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</si>
  <si>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</si>
  <si>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</si>
  <si>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</si>
  <si>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</si>
  <si>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</si>
  <si>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</si>
  <si>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</si>
  <si>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</si>
  <si>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</si>
  <si>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</si>
  <si>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</si>
  <si>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</si>
  <si>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</si>
  <si>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</si>
  <si>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</si>
  <si>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</si>
  <si>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</si>
  <si>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</si>
  <si>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</si>
  <si>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</si>
  <si>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</si>
  <si>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</si>
  <si>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</si>
  <si>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</si>
  <si>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</si>
  <si>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</si>
  <si>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</si>
  <si>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</si>
  <si>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</si>
  <si>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</si>
  <si>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</si>
  <si>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</si>
  <si>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</si>
  <si>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</si>
  <si>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</si>
  <si>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</si>
  <si>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</si>
  <si>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</si>
  <si>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</si>
  <si>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</si>
  <si>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</si>
  <si>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</si>
  <si>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</si>
  <si>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</si>
  <si>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</si>
  <si>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</si>
  <si>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</si>
  <si>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</si>
  <si>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</si>
  <si>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</si>
  <si>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</si>
  <si>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</si>
  <si>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</si>
  <si>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</si>
  <si>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</si>
  <si>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</si>
  <si>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</si>
  <si>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</si>
  <si>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</si>
  <si>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</si>
  <si>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</si>
  <si>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</si>
  <si>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</si>
  <si>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</si>
  <si>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</si>
  <si>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</si>
  <si>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</si>
  <si>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</si>
  <si>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</si>
  <si>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</si>
  <si>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</si>
  <si>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</si>
  <si>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</si>
  <si>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</si>
  <si>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</si>
  <si>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</si>
  <si>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</si>
  <si>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</si>
  <si>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</si>
  <si>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</si>
  <si>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</si>
  <si>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</si>
  <si>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</si>
  <si>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</si>
  <si>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</si>
  <si>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</si>
  <si>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</si>
  <si>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</si>
  <si>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</si>
  <si>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</si>
  <si>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</si>
  <si>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</si>
  <si>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</si>
  <si>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</si>
  <si>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</si>
  <si>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</si>
  <si>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</si>
  <si>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</si>
  <si>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</si>
  <si>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</si>
  <si>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</si>
  <si>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</si>
  <si>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</si>
  <si>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</si>
  <si>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</si>
  <si>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</si>
  <si>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</si>
  <si>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</si>
  <si>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</si>
  <si>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</si>
  <si>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</si>
  <si>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</si>
  <si>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</si>
  <si>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</si>
  <si>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</si>
  <si>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</si>
  <si>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</si>
  <si>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</si>
  <si>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</si>
  <si>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</si>
  <si>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</si>
  <si>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</si>
  <si>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</si>
  <si>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</si>
  <si>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</si>
  <si>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</si>
  <si>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</si>
  <si>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</si>
  <si>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</si>
  <si>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</si>
  <si>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</si>
  <si>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</si>
  <si>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</si>
  <si>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</si>
  <si>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</si>
  <si>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</si>
  <si>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</si>
  <si>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</si>
  <si>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</si>
  <si>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</si>
  <si>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</si>
  <si>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</si>
  <si>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</si>
  <si>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</si>
  <si>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</si>
  <si>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</si>
  <si>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</si>
  <si>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</si>
  <si>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</si>
  <si>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</si>
  <si>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</si>
  <si>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</si>
  <si>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</si>
  <si>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</si>
  <si>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</si>
  <si>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</si>
  <si>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</si>
  <si>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</si>
  <si>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</si>
  <si>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</si>
  <si>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</si>
  <si>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</si>
  <si>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</si>
  <si>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</si>
  <si>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</si>
  <si>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</si>
  <si>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</si>
  <si>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</si>
  <si>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</si>
  <si>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</si>
  <si>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</si>
  <si>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</si>
  <si>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</si>
  <si>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</si>
  <si>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</si>
  <si>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</si>
  <si>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</si>
  <si>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</si>
  <si>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</si>
  <si>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</si>
  <si>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</si>
  <si>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</si>
  <si>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</si>
  <si>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</si>
  <si>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</si>
  <si>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</si>
  <si>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</si>
  <si>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</si>
  <si>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</si>
  <si>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</si>
  <si>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</si>
  <si>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</si>
  <si>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</si>
  <si>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</si>
  <si>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</si>
  <si>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</si>
  <si>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</si>
  <si>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</si>
  <si>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</si>
  <si>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</si>
  <si>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</si>
  <si>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</si>
  <si>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</si>
  <si>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</si>
  <si>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</si>
  <si>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</si>
  <si>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</si>
  <si>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</si>
  <si>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</si>
  <si>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</si>
  <si>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</si>
  <si>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</si>
  <si>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</si>
  <si>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</si>
  <si>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</si>
  <si>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</si>
  <si>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</si>
  <si>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</si>
  <si>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</si>
  <si>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</si>
  <si>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</si>
  <si>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</si>
  <si>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</si>
  <si>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</si>
  <si>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</si>
  <si>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</si>
  <si>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</si>
  <si>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</si>
  <si>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</si>
  <si>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</si>
  <si>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</si>
  <si>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</si>
  <si>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</si>
  <si>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</si>
  <si>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</si>
  <si>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</si>
  <si>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</si>
  <si>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</si>
  <si>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</si>
  <si>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</si>
  <si>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</si>
  <si>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</si>
  <si>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</si>
  <si>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</si>
  <si>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</si>
  <si>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</si>
  <si>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</si>
  <si>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</si>
  <si>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</si>
  <si>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</si>
  <si>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</si>
  <si>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</si>
  <si>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</si>
  <si>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</si>
  <si>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</si>
  <si>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</si>
  <si>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</si>
  <si>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</si>
  <si>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</si>
  <si>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</si>
  <si>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</si>
  <si>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</si>
  <si>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</si>
  <si>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</si>
  <si>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</si>
  <si>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</si>
  <si>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</si>
  <si>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</si>
  <si>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</si>
  <si>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</si>
  <si>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</si>
  <si>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</si>
  <si>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</si>
  <si>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</si>
  <si>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</si>
  <si>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</si>
  <si>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</si>
  <si>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</si>
  <si>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</si>
  <si>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</si>
  <si>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</si>
  <si>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</si>
  <si>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</si>
  <si>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</si>
  <si>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</si>
  <si>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</si>
  <si>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</si>
  <si>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</si>
  <si>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</si>
  <si>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</si>
  <si>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</si>
  <si>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</si>
  <si>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</si>
  <si>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</si>
  <si>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</si>
  <si>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</si>
  <si>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</si>
  <si>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</si>
  <si>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</si>
  <si>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</si>
  <si>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</si>
  <si>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</si>
  <si>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</si>
  <si>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</si>
  <si>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</si>
  <si>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</si>
  <si>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</si>
  <si>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</si>
  <si>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</si>
  <si>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</si>
  <si>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</si>
  <si>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</si>
  <si>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</si>
  <si>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</si>
  <si>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</si>
  <si>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</si>
  <si>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</si>
  <si>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</si>
  <si>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</si>
  <si>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</si>
  <si>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</si>
  <si>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</si>
  <si>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</si>
  <si>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</si>
  <si>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</si>
  <si>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</si>
  <si>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</si>
  <si>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</si>
  <si>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</si>
  <si>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</si>
  <si>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</si>
  <si>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</si>
  <si>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</si>
  <si>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</si>
  <si>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</si>
  <si>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</si>
  <si>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</si>
  <si>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</si>
  <si>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</si>
  <si>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</si>
  <si>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</si>
  <si>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</si>
  <si>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</si>
  <si>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</si>
  <si>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</si>
  <si>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</si>
  <si>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</si>
  <si>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</si>
  <si>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</si>
  <si>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</si>
  <si>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</si>
  <si>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</si>
  <si>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</si>
  <si>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</si>
  <si>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</si>
  <si>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</si>
  <si>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</si>
  <si>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</si>
  <si>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</si>
  <si>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</si>
  <si>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</si>
  <si>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</si>
  <si>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</si>
  <si>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</si>
  <si>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</si>
  <si>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</si>
  <si>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</si>
  <si>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</si>
  <si>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</si>
  <si>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</si>
  <si>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</si>
  <si>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</si>
  <si>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</si>
  <si>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</si>
  <si>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</si>
  <si>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</si>
  <si>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</si>
  <si>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</si>
  <si>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</si>
  <si>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</si>
  <si>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</si>
  <si>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</si>
  <si>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</si>
  <si>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</si>
  <si>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</si>
  <si>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</si>
  <si>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</si>
  <si>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</si>
  <si>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</si>
  <si>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</si>
  <si>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</si>
  <si>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</si>
  <si>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</si>
  <si>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</si>
  <si>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</si>
  <si>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</si>
  <si>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</si>
  <si>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</si>
  <si>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</si>
  <si>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</si>
  <si>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</si>
  <si>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</si>
  <si>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</si>
  <si>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</si>
  <si>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</si>
  <si>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</si>
  <si>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</si>
  <si>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</si>
  <si>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</si>
  <si>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</si>
  <si>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</si>
  <si>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</si>
  <si>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</si>
  <si>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</si>
  <si>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</si>
  <si>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</si>
  <si>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</si>
  <si>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</si>
  <si>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</si>
  <si>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</si>
  <si>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</si>
  <si>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</si>
  <si>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</si>
  <si>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</si>
  <si>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</si>
  <si>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</si>
  <si>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</si>
  <si>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</si>
  <si>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</si>
  <si>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</si>
  <si>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</si>
  <si>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</si>
  <si>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</si>
  <si>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</si>
  <si>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</si>
  <si>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</si>
  <si>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</si>
  <si>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</si>
  <si>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</si>
  <si>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</si>
  <si>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</si>
  <si>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</si>
  <si>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</si>
  <si>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</si>
  <si>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</si>
  <si>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</si>
  <si>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</si>
  <si>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</si>
  <si>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</si>
  <si>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</si>
  <si>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</si>
  <si>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</si>
  <si>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</si>
  <si>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</si>
  <si>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</si>
  <si>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</si>
  <si>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</si>
  <si>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</si>
  <si>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</si>
  <si>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</si>
  <si>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</si>
  <si>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</si>
  <si>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</si>
  <si>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</si>
  <si>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</si>
  <si>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</si>
  <si>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</si>
  <si>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</si>
  <si>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</si>
  <si>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</si>
  <si>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</si>
  <si>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</si>
  <si>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</si>
  <si>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</si>
  <si>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</si>
  <si>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</si>
  <si>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</si>
  <si>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</si>
  <si>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</si>
  <si>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</si>
  <si>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</si>
  <si>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</si>
  <si>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</si>
  <si>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</si>
  <si>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</si>
  <si>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</si>
  <si>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</si>
  <si>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</si>
  <si>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</si>
  <si>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</si>
  <si>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</si>
  <si>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</si>
  <si>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</si>
  <si>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</si>
  <si>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</si>
  <si>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</si>
  <si>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</si>
  <si>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</si>
  <si>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</si>
  <si>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</si>
  <si>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</si>
  <si>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</si>
  <si>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</si>
  <si>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</si>
  <si>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</si>
  <si>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</si>
  <si>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</si>
  <si>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</si>
  <si>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</si>
  <si>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</si>
  <si>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</si>
  <si>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</si>
  <si>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</si>
  <si>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</si>
  <si>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</si>
  <si>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</si>
  <si>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</si>
  <si>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</si>
  <si>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</si>
  <si>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</si>
  <si>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</si>
  <si>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</si>
  <si>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</si>
  <si>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</si>
  <si>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</si>
  <si>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</si>
  <si>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</si>
  <si>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</si>
  <si>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</si>
  <si>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</si>
  <si>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</si>
  <si>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</si>
  <si>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</si>
  <si>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</si>
  <si>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</si>
  <si>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</si>
  <si>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</si>
  <si>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</si>
  <si>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</si>
  <si>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</si>
  <si>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</si>
  <si>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</si>
  <si>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</si>
  <si>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</si>
  <si>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</si>
  <si>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</si>
  <si>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</si>
  <si>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</si>
  <si>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</si>
  <si>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</si>
  <si>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</si>
  <si>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</si>
  <si>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</si>
  <si>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</si>
  <si>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</si>
  <si>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</si>
  <si>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</si>
  <si>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</si>
  <si>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</si>
  <si>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</si>
  <si>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</si>
  <si>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</si>
  <si>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</si>
  <si>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</si>
  <si>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</si>
  <si>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</si>
  <si>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</si>
  <si>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</si>
  <si>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</si>
  <si>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</si>
  <si>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</si>
  <si>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</si>
  <si>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</si>
  <si>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</si>
  <si>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</si>
  <si>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</si>
  <si>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</si>
  <si>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</si>
  <si>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</si>
  <si>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</si>
  <si>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</si>
  <si>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</si>
  <si>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</si>
  <si>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</si>
  <si>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</si>
  <si>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</si>
  <si>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</si>
  <si>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</si>
  <si>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</si>
  <si>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</si>
  <si>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</si>
  <si>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</si>
  <si>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</si>
  <si>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</si>
  <si>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</si>
  <si>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</si>
  <si>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</si>
  <si>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</si>
  <si>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</si>
  <si>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</si>
  <si>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</si>
  <si>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</si>
  <si>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</si>
  <si>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</si>
  <si>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</si>
  <si>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</si>
  <si>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</si>
  <si>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</si>
  <si>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</si>
  <si>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</si>
  <si>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</si>
  <si>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</si>
  <si>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</si>
  <si>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</si>
  <si>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</si>
  <si>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</si>
  <si>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</si>
  <si>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</si>
  <si>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</si>
  <si>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</si>
  <si>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</si>
  <si>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</si>
  <si>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</si>
  <si>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</si>
  <si>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</si>
  <si>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</si>
  <si>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</si>
  <si>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</si>
  <si>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</si>
  <si>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</si>
  <si>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</si>
  <si>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</si>
  <si>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</si>
  <si>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</si>
  <si>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</si>
  <si>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</si>
  <si>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</si>
  <si>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</si>
  <si>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</si>
  <si>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</si>
  <si>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</si>
  <si>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</si>
  <si>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</si>
  <si>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</si>
  <si>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</si>
  <si>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</si>
  <si>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</si>
  <si>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</si>
  <si>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</si>
  <si>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</si>
  <si>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</si>
  <si>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</si>
  <si>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</si>
  <si>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</si>
  <si>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</si>
  <si>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</si>
  <si>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</si>
  <si>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</si>
  <si>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</si>
  <si>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</si>
  <si>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</si>
  <si>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</si>
  <si>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</si>
  <si>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</si>
  <si>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</si>
  <si>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</si>
  <si>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</si>
  <si>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</si>
  <si>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</si>
  <si>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</si>
  <si>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</si>
  <si>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</si>
  <si>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</si>
  <si>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</si>
  <si>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</si>
  <si>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</si>
  <si>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</si>
  <si>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</si>
  <si>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</si>
  <si>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</si>
  <si>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</si>
  <si>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</si>
  <si>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</si>
  <si>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</si>
  <si>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</si>
  <si>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</si>
  <si>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</si>
  <si>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</si>
  <si>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</si>
  <si>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</si>
  <si>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</si>
  <si>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</si>
  <si>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</si>
  <si>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</si>
  <si>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</si>
  <si>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</si>
  <si>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</si>
  <si>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</si>
  <si>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</si>
  <si>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</si>
  <si>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</si>
  <si>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</si>
  <si>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</si>
  <si>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</si>
  <si>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</si>
  <si>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</si>
  <si>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</si>
  <si>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</si>
  <si>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</si>
  <si>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</si>
  <si>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</si>
  <si>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</si>
  <si>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</si>
  <si>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</si>
  <si>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</si>
  <si>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</si>
  <si>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</si>
  <si>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</si>
  <si>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</si>
  <si>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</si>
  <si>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</si>
  <si>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</si>
  <si>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</si>
  <si>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</si>
  <si>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</si>
  <si>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</si>
  <si>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</si>
  <si>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</si>
  <si>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</si>
  <si>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</si>
  <si>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</si>
  <si>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</si>
  <si>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</si>
  <si>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</si>
  <si>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</si>
  <si>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</si>
  <si>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</si>
  <si>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</si>
  <si>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</si>
  <si>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</si>
  <si>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</si>
  <si>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</si>
  <si>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</si>
  <si>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</si>
  <si>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</si>
  <si>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</si>
  <si>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</si>
  <si>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</si>
  <si>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</si>
  <si>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</si>
  <si>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</si>
  <si>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</si>
  <si>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</si>
  <si>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</si>
  <si>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</si>
  <si>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</si>
  <si>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</si>
  <si>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</si>
  <si>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</si>
  <si>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</si>
  <si>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</si>
  <si>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</si>
  <si>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</si>
  <si>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</si>
  <si>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</si>
  <si>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</si>
  <si>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</si>
  <si>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</si>
  <si>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</si>
  <si>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</si>
  <si>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</si>
  <si>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</si>
  <si>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</si>
  <si>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</si>
  <si>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</si>
  <si>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</si>
  <si>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</si>
  <si>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</si>
  <si>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</si>
  <si>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</si>
  <si>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</si>
  <si>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</si>
  <si>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</si>
  <si>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</si>
  <si>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</si>
  <si>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</si>
  <si>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</si>
  <si>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</si>
  <si>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</si>
  <si>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</si>
  <si>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</si>
  <si>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</si>
  <si>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</si>
  <si>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</si>
  <si>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</si>
  <si>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</si>
  <si>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</si>
  <si>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</si>
  <si>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</si>
  <si>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</si>
  <si>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</si>
  <si>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</si>
  <si>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</si>
  <si>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</si>
  <si>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</si>
  <si>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</si>
  <si>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</si>
  <si>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</si>
  <si>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</si>
  <si>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</si>
  <si>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</si>
  <si>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</si>
  <si>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</si>
  <si>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</si>
  <si>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</si>
  <si>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</si>
  <si>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</si>
  <si>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</si>
  <si>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</si>
  <si>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</si>
  <si>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</si>
  <si>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</si>
  <si>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</si>
  <si>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</si>
  <si>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</si>
  <si>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</si>
  <si>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</si>
  <si>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</si>
  <si>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</si>
  <si>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</si>
  <si>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</si>
  <si>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</si>
  <si>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</si>
  <si>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</si>
  <si>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</si>
  <si>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</si>
  <si>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</si>
  <si>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</si>
  <si>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</si>
  <si>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</si>
  <si>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</si>
  <si>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</si>
  <si>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</si>
  <si>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</si>
  <si>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</si>
  <si>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</si>
  <si>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</si>
  <si>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</si>
  <si>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</si>
  <si>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</si>
  <si>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</si>
  <si>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</si>
  <si>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</si>
  <si>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</si>
  <si>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</si>
  <si>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</si>
  <si>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</si>
  <si>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</si>
  <si>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</si>
  <si>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</si>
  <si>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</si>
  <si>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</si>
  <si>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</si>
  <si>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</si>
  <si>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</si>
  <si>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</si>
  <si>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</si>
  <si>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</si>
  <si>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</si>
  <si>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</si>
  <si>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</si>
  <si>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</si>
  <si>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</si>
  <si>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</si>
  <si>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</si>
  <si>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</si>
  <si>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</si>
  <si>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</si>
  <si>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</si>
  <si>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</si>
  <si>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</si>
  <si>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</si>
  <si>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</si>
  <si>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</si>
  <si>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</si>
  <si>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</si>
  <si>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</si>
  <si>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</si>
  <si>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</si>
  <si>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</si>
  <si>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</si>
  <si>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</si>
  <si>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</si>
  <si>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</si>
  <si>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</si>
  <si>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</si>
  <si>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</si>
  <si>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</si>
  <si>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</si>
  <si>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</si>
  <si>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</si>
  <si>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</si>
  <si>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</si>
  <si>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</si>
  <si>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</si>
  <si>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</si>
  <si>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</si>
  <si>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</si>
  <si>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</si>
  <si>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</si>
  <si>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</si>
  <si>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</si>
  <si>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</si>
  <si>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</si>
  <si>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</si>
  <si>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</si>
  <si>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</si>
  <si>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</si>
  <si>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</si>
  <si>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</si>
  <si>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</si>
  <si>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</si>
  <si>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</si>
  <si>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</si>
  <si>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</si>
  <si>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</si>
  <si>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</si>
  <si>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</si>
  <si>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</si>
  <si>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</si>
  <si>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</si>
  <si>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</si>
  <si>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</si>
  <si>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</si>
  <si>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</si>
  <si>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</si>
  <si>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</si>
  <si>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</si>
  <si>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</si>
  <si>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</si>
  <si>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</si>
  <si>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</si>
  <si>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</si>
  <si>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</si>
  <si>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</si>
  <si>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</si>
  <si>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</si>
  <si>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</si>
  <si>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</si>
  <si>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</si>
  <si>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</si>
  <si>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</si>
  <si>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</si>
  <si>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</si>
  <si>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</si>
  <si>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</si>
  <si>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</si>
  <si>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</si>
  <si>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</si>
  <si>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</si>
  <si>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</si>
  <si>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</si>
  <si>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</si>
  <si>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</si>
  <si>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</si>
  <si>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</si>
  <si>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</si>
  <si>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</si>
  <si>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</si>
  <si>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</si>
  <si>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</si>
  <si>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</si>
  <si>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</si>
  <si>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</si>
  <si>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</si>
  <si>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</si>
  <si>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</si>
  <si>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</si>
  <si>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</si>
  <si>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</si>
  <si>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</si>
  <si>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</si>
  <si>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</si>
  <si>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</si>
  <si>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</si>
  <si>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</si>
  <si>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</si>
  <si>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</si>
  <si>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</si>
  <si>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</si>
  <si>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</si>
  <si>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</si>
  <si>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</si>
  <si>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</si>
  <si>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</si>
  <si>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</si>
  <si>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</si>
  <si>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</si>
  <si>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</si>
  <si>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</si>
  <si>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</si>
  <si>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</si>
  <si>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</si>
  <si>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</si>
  <si>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</si>
  <si>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</si>
  <si>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</si>
  <si>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</si>
  <si>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</si>
  <si>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</si>
  <si>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</si>
  <si>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</si>
  <si>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</si>
  <si>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</si>
  <si>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</si>
  <si>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</si>
  <si>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</si>
  <si>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</si>
  <si>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</si>
  <si>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</si>
  <si>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</si>
  <si>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</si>
  <si>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</si>
  <si>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</si>
  <si>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</si>
  <si>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</si>
  <si>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</si>
  <si>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</si>
  <si>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</si>
  <si>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</si>
  <si>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</si>
  <si>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</si>
  <si>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</si>
  <si>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</si>
  <si>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</si>
  <si>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</si>
  <si>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</si>
  <si>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</si>
  <si>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</si>
  <si>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</si>
  <si>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</si>
  <si>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</si>
  <si>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</si>
  <si>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</si>
  <si>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</si>
  <si>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</si>
  <si>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</si>
  <si>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</si>
  <si>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</si>
  <si>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</si>
  <si>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</si>
  <si>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</si>
  <si>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</si>
  <si>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</si>
  <si>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</si>
  <si>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</si>
  <si>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</si>
  <si>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</si>
  <si>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</si>
  <si>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</si>
  <si>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</si>
  <si>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</si>
  <si>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</si>
  <si>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</si>
  <si>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</si>
  <si>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</si>
  <si>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</si>
  <si>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</si>
  <si>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</si>
  <si>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</si>
  <si>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</si>
  <si>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</si>
  <si>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</si>
  <si>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</si>
  <si>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</si>
  <si>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</si>
  <si>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</si>
  <si>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</si>
  <si>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</si>
  <si>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</si>
  <si>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</si>
  <si>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</si>
  <si>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</si>
  <si>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</si>
  <si>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</si>
  <si>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</si>
  <si>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</si>
  <si>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</si>
  <si>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</si>
  <si>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</si>
  <si>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</si>
  <si>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</si>
  <si>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</si>
  <si>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</si>
  <si>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</si>
  <si>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</si>
  <si>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</si>
  <si>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</si>
  <si>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</si>
  <si>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</si>
  <si>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</si>
  <si>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</si>
  <si>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</si>
  <si>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</si>
  <si>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</si>
  <si>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</si>
  <si>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</si>
  <si>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</si>
  <si>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</si>
  <si>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</si>
  <si>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</si>
  <si>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</si>
  <si>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</si>
  <si>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</si>
  <si>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</si>
  <si>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</si>
  <si>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</si>
  <si>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</si>
  <si>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</si>
  <si>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</si>
  <si>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</si>
  <si>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</si>
  <si>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</si>
  <si>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</si>
  <si>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</si>
  <si>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</si>
  <si>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</si>
  <si>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</si>
  <si>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</si>
  <si>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</si>
  <si>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</si>
  <si>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</si>
  <si>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</si>
  <si>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</si>
  <si>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</si>
  <si>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</si>
  <si>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</si>
  <si>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</si>
  <si>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</si>
  <si>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</si>
  <si>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</si>
  <si>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</si>
  <si>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</si>
  <si>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</si>
  <si>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</si>
  <si>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</si>
  <si>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</si>
  <si>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</si>
  <si>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</si>
  <si>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</si>
  <si>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</si>
  <si>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</si>
  <si>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</si>
  <si>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</si>
  <si>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</si>
  <si>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</si>
  <si>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</si>
  <si>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</si>
  <si>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</si>
  <si>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</si>
  <si>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</si>
  <si>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</si>
  <si>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</si>
  <si>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</si>
  <si>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</si>
  <si>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</si>
  <si>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</si>
  <si>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</si>
  <si>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</si>
  <si>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</si>
  <si>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</si>
  <si>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</si>
  <si>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</si>
  <si>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</si>
  <si>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</si>
  <si>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</si>
  <si>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</si>
  <si>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</si>
  <si>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</si>
  <si>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</si>
  <si>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</si>
  <si>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</si>
  <si>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</si>
  <si>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</si>
  <si>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</si>
  <si>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</si>
  <si>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</si>
  <si>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</si>
  <si>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</si>
  <si>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</si>
  <si>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</si>
  <si>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</si>
  <si>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</si>
  <si>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</si>
  <si>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</si>
  <si>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</si>
  <si>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</si>
  <si>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</si>
  <si>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</si>
  <si>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</si>
  <si>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</si>
  <si>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</si>
  <si>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</si>
  <si>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</si>
  <si>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</si>
  <si>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</si>
  <si>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</si>
  <si>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</si>
  <si>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</si>
  <si>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</si>
  <si>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</si>
  <si>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</si>
  <si>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</si>
  <si>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</si>
  <si>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</si>
  <si>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</si>
  <si>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</si>
  <si>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</si>
  <si>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</si>
  <si>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</si>
  <si>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</si>
  <si>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</si>
  <si>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</si>
  <si>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</si>
  <si>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</si>
  <si>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</si>
  <si>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</si>
  <si>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</si>
  <si>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</si>
  <si>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</si>
  <si>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</si>
  <si>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</si>
  <si>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</si>
  <si>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</si>
  <si>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</si>
  <si>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</si>
  <si>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</si>
  <si>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</si>
  <si>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</si>
  <si>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</si>
  <si>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</si>
  <si>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</si>
  <si>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</si>
  <si>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</si>
  <si>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</si>
  <si>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</si>
  <si>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</si>
  <si>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</si>
  <si>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</si>
  <si>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</si>
  <si>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</si>
  <si>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</si>
  <si>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</si>
  <si>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</si>
  <si>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</si>
  <si>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</si>
  <si>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</si>
  <si>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</si>
  <si>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</si>
  <si>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</si>
  <si>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</si>
  <si>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</si>
  <si>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</si>
  <si>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</si>
  <si>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</si>
  <si>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</si>
  <si>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</si>
  <si>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</si>
  <si>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</si>
  <si>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</si>
  <si>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</si>
  <si>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</si>
  <si>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</si>
  <si>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</si>
  <si>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</si>
  <si>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</si>
  <si>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</si>
  <si>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</si>
  <si>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</si>
  <si>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</si>
  <si>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</si>
  <si>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</si>
  <si>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</si>
  <si>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</si>
  <si>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</si>
  <si>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</si>
  <si>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</si>
  <si>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</si>
  <si>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</si>
  <si>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</si>
  <si>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</si>
  <si>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</si>
  <si>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</si>
  <si>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</si>
  <si>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</si>
  <si>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</si>
  <si>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</si>
  <si>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</si>
  <si>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</si>
  <si>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</si>
  <si>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</si>
  <si>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</si>
  <si>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</si>
  <si>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</si>
  <si>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</si>
  <si>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</si>
  <si>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</si>
  <si>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</si>
  <si>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</si>
  <si>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</si>
  <si>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</si>
  <si>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</si>
  <si>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</si>
  <si>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</si>
  <si>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</si>
  <si>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</si>
  <si>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</si>
  <si>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</si>
  <si>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</si>
  <si>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</si>
  <si>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</si>
  <si>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</si>
  <si>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</si>
  <si>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</si>
  <si>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</si>
  <si>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</si>
  <si>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</si>
  <si>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</si>
  <si>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</si>
  <si>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</si>
  <si>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</si>
  <si>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</si>
  <si>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</si>
  <si>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</si>
  <si>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</si>
  <si>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</si>
  <si>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</si>
  <si>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</si>
  <si>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</si>
  <si>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</si>
  <si>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</si>
  <si>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</si>
  <si>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</si>
  <si>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</si>
  <si>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</si>
  <si>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</si>
  <si>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</si>
  <si>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</si>
  <si>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</si>
  <si>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</si>
  <si>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</si>
  <si>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</si>
  <si>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</si>
  <si>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</si>
  <si>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</si>
  <si>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</si>
  <si>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</si>
  <si>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</si>
  <si>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</si>
  <si>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</si>
  <si>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</si>
  <si>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</si>
  <si>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</si>
  <si>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</si>
  <si>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</si>
  <si>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</si>
  <si>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</si>
  <si>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</si>
  <si>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</si>
  <si>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</si>
  <si>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</si>
  <si>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</si>
  <si>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</si>
  <si>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</si>
  <si>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</si>
  <si>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</si>
  <si>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</si>
  <si>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</si>
  <si>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</si>
  <si>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</si>
  <si>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</si>
  <si>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</si>
  <si>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</si>
  <si>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</si>
  <si>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</si>
  <si>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</si>
  <si>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</si>
  <si>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</si>
  <si>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</si>
  <si>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</si>
  <si>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</si>
  <si>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</si>
  <si>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</si>
  <si>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</si>
  <si>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</si>
  <si>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</si>
  <si>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</si>
  <si>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</si>
  <si>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</si>
  <si>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</si>
  <si>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</si>
  <si>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</si>
  <si>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</si>
  <si>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</si>
  <si>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</si>
  <si>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</si>
  <si>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</si>
  <si>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</si>
  <si>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</si>
  <si>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</si>
  <si>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</si>
  <si>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</si>
  <si>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</si>
  <si>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</si>
  <si>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</si>
  <si>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</si>
  <si>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</si>
  <si>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</si>
  <si>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</si>
  <si>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</si>
  <si>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</si>
  <si>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</si>
  <si>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</si>
  <si>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</si>
  <si>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</si>
  <si>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</si>
  <si>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</si>
  <si>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</si>
  <si>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</si>
  <si>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</si>
  <si>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</si>
  <si>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</si>
  <si>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</si>
  <si>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</si>
  <si>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</si>
  <si>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</si>
  <si>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</si>
  <si>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</si>
  <si>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</si>
  <si>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</si>
  <si>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</si>
  <si>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</si>
  <si>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</si>
  <si>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</si>
  <si>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</si>
  <si>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</si>
  <si>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</si>
  <si>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</si>
  <si>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</si>
  <si>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</si>
  <si>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</si>
  <si>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</si>
  <si>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</si>
  <si>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</si>
  <si>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</si>
  <si>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</si>
  <si>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</si>
  <si>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</si>
  <si>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</si>
  <si>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</si>
  <si>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</si>
  <si>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</si>
  <si>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</si>
  <si>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</si>
  <si>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</si>
  <si>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</si>
  <si>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</si>
  <si>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</si>
  <si>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</si>
  <si>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</si>
  <si>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</si>
  <si>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</si>
  <si>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</si>
  <si>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</si>
  <si>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</si>
  <si>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</si>
  <si>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</si>
  <si>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</si>
  <si>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</si>
  <si>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</si>
  <si>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</si>
  <si>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</si>
  <si>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</si>
  <si>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</si>
  <si>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</si>
  <si>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</si>
  <si>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</si>
  <si>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</si>
  <si>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</si>
  <si>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</si>
  <si>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</si>
  <si>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</si>
  <si>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</si>
  <si>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</si>
  <si>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</si>
  <si>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</si>
  <si>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</si>
  <si>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</si>
  <si>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</si>
  <si>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</si>
  <si>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</si>
  <si>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</si>
  <si>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</si>
  <si>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</si>
  <si>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</si>
  <si>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</si>
  <si>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</si>
  <si>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</si>
  <si>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</si>
  <si>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</si>
  <si>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</si>
  <si>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</si>
  <si>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</si>
  <si>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</si>
  <si>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</si>
  <si>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</si>
  <si>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</si>
  <si>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</si>
  <si>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</si>
  <si>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</si>
  <si>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</si>
  <si>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</si>
  <si>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</si>
  <si>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</si>
  <si>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</si>
  <si>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</si>
  <si>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</si>
  <si>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</si>
  <si>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</si>
  <si>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</si>
  <si>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</si>
  <si>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</si>
  <si>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</si>
  <si>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</si>
  <si>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</si>
  <si>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</si>
  <si>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</si>
  <si>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</si>
  <si>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</si>
  <si>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</si>
  <si>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</si>
  <si>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</si>
  <si>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</si>
  <si>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</si>
  <si>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</si>
  <si>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</si>
  <si>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</si>
  <si>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</si>
  <si>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</si>
  <si>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</si>
  <si>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</si>
  <si>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</si>
  <si>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</si>
  <si>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</si>
  <si>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</si>
  <si>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</si>
  <si>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</si>
  <si>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</si>
  <si>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</si>
  <si>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</si>
  <si>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</si>
  <si>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</si>
  <si>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</si>
  <si>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</si>
  <si>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</si>
  <si>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</si>
  <si>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</si>
  <si>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</si>
  <si>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</si>
  <si>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</si>
  <si>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</si>
  <si>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</si>
  <si>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</si>
  <si>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</si>
  <si>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</si>
  <si>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</si>
  <si>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</si>
  <si>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</si>
  <si>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</si>
  <si>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</si>
  <si>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</si>
  <si>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</si>
  <si>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</si>
  <si>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</si>
  <si>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</si>
  <si>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</si>
  <si>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</si>
  <si>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</si>
  <si>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</si>
  <si>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</si>
  <si>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</si>
  <si>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</si>
  <si>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</si>
  <si>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</si>
  <si>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</si>
  <si>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</si>
  <si>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</si>
  <si>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</si>
  <si>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</si>
  <si>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</si>
  <si>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</si>
  <si>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</si>
  <si>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</si>
  <si>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</si>
  <si>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</si>
  <si>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</si>
  <si>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</si>
  <si>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</si>
  <si>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</si>
  <si>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</si>
  <si>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</si>
  <si>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</si>
  <si>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</si>
  <si>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</si>
  <si>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</si>
  <si>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</si>
  <si>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</si>
  <si>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</si>
  <si>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</si>
  <si>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</si>
  <si>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</si>
  <si>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</si>
  <si>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</si>
  <si>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</si>
  <si>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</si>
  <si>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</si>
  <si>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</si>
  <si>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</si>
  <si>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</si>
  <si>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</si>
  <si>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</si>
  <si>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</si>
  <si>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</si>
  <si>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</si>
  <si>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</si>
  <si>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</si>
  <si>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</si>
  <si>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</si>
  <si>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</si>
  <si>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</si>
  <si>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</si>
  <si>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</si>
  <si>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</si>
  <si>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</si>
  <si>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</si>
  <si>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</si>
  <si>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</si>
  <si>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</si>
  <si>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</si>
  <si>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</si>
  <si>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</si>
  <si>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</si>
  <si>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</si>
  <si>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</si>
  <si>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</si>
  <si>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</si>
  <si>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</si>
  <si>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</si>
  <si>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</si>
  <si>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</si>
  <si>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</si>
  <si>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</si>
  <si>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</si>
  <si>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</si>
  <si>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</si>
  <si>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</si>
  <si>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</si>
  <si>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</si>
  <si>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</si>
  <si>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</si>
  <si>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</si>
  <si>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</si>
  <si>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</si>
  <si>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</si>
  <si>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</si>
  <si>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</si>
  <si>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</si>
  <si>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</si>
  <si>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</si>
  <si>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</si>
  <si>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</si>
  <si>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</si>
  <si>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</si>
  <si>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</si>
  <si>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</si>
  <si>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</si>
  <si>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</si>
  <si>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</si>
  <si>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</si>
  <si>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</si>
  <si>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</si>
  <si>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</si>
  <si>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</si>
  <si>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</si>
  <si>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</si>
  <si>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</si>
  <si>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</si>
  <si>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</si>
  <si>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</si>
  <si>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</si>
  <si>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</si>
  <si>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</si>
  <si>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</si>
  <si>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</si>
  <si>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</si>
  <si>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</si>
  <si>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</si>
  <si>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</si>
  <si>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</si>
  <si>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</si>
  <si>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</si>
  <si>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</si>
  <si>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</si>
  <si>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</si>
  <si>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</si>
  <si>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</si>
  <si>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</si>
  <si>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</si>
  <si>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</si>
  <si>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</si>
  <si>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</si>
  <si>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</si>
  <si>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</si>
  <si>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</si>
  <si>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</si>
  <si>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</si>
  <si>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</si>
  <si>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</si>
  <si>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</si>
  <si>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</si>
  <si>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</si>
  <si>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</si>
  <si>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</si>
  <si>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</si>
  <si>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</si>
  <si>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</si>
  <si>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</si>
  <si>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</si>
  <si>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</si>
  <si>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</si>
  <si>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</si>
  <si>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</si>
  <si>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</si>
  <si>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</si>
  <si>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</si>
  <si>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</si>
  <si>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</si>
  <si>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</si>
  <si>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</si>
  <si>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</si>
  <si>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</si>
  <si>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</si>
  <si>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</si>
  <si>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</si>
  <si>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</si>
  <si>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</si>
  <si>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</si>
  <si>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</si>
  <si>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</si>
  <si>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</si>
  <si>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</si>
  <si>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</si>
  <si>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</si>
  <si>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</si>
  <si>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</si>
  <si>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</si>
  <si>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</si>
  <si>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</si>
  <si>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</si>
  <si>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</si>
  <si>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</si>
  <si>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</si>
  <si>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</si>
  <si>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</si>
  <si>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</si>
  <si>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</si>
  <si>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</si>
  <si>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</si>
  <si>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</si>
  <si>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</si>
  <si>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</si>
  <si>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</si>
  <si>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</si>
  <si>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</si>
  <si>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</si>
  <si>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</si>
  <si>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</si>
  <si>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</si>
  <si>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</si>
  <si>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</si>
  <si>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</si>
  <si>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</si>
  <si>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</si>
  <si>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</si>
  <si>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</si>
  <si>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</si>
  <si>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</si>
  <si>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</si>
  <si>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</si>
  <si>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</si>
  <si>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</si>
  <si>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</si>
  <si>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</si>
  <si>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</si>
  <si>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</si>
  <si>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</si>
  <si>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</si>
  <si>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</si>
  <si>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</si>
  <si>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</si>
  <si>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</si>
  <si>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</si>
  <si>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</si>
  <si>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</si>
  <si>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</si>
  <si>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</si>
  <si>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</si>
  <si>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</si>
  <si>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</si>
  <si>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</si>
  <si>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</si>
  <si>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</si>
  <si>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</si>
  <si>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</si>
  <si>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</si>
  <si>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</si>
  <si>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</si>
  <si>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</si>
  <si>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</si>
  <si>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</si>
  <si>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</si>
  <si>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</si>
  <si>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</si>
  <si>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</si>
  <si>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</si>
  <si>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</si>
  <si>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</si>
  <si>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</si>
  <si>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</si>
  <si>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</si>
  <si>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</si>
  <si>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</si>
  <si>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</si>
  <si>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</si>
  <si>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</si>
  <si>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</si>
  <si>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</si>
  <si>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</si>
  <si>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</si>
  <si>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</si>
  <si>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</si>
  <si>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</si>
  <si>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</si>
  <si>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</si>
  <si>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</si>
  <si>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</si>
  <si>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</si>
  <si>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</si>
  <si>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</si>
  <si>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</si>
  <si>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</si>
  <si>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</si>
  <si>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</si>
  <si>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</si>
  <si>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</si>
  <si>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</si>
  <si>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</si>
  <si>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</si>
  <si>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</si>
  <si>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</si>
  <si>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</si>
  <si>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</si>
  <si>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</si>
  <si>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</si>
  <si>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</si>
  <si>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</si>
  <si>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</si>
  <si>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</si>
  <si>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</si>
  <si>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</si>
  <si>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</si>
  <si>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</si>
  <si>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</si>
  <si>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</si>
  <si>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</si>
  <si>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</si>
  <si>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</si>
  <si>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</si>
  <si>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</si>
  <si>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</si>
  <si>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</si>
  <si>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</si>
  <si>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</si>
  <si>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</si>
  <si>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</si>
  <si>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</si>
  <si>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</si>
  <si>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</si>
  <si>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</si>
  <si>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</si>
  <si>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</si>
  <si>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</si>
  <si>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</si>
  <si>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</si>
  <si>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</si>
  <si>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</si>
  <si>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</si>
  <si>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</si>
  <si>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</si>
  <si>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</si>
  <si>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</si>
  <si>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</si>
  <si>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</si>
  <si>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</si>
  <si>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</si>
  <si>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</si>
  <si>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</si>
  <si>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</si>
  <si>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</si>
  <si>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</si>
  <si>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</si>
  <si>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</si>
  <si>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</si>
  <si>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</si>
  <si>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</si>
  <si>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</si>
  <si>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</si>
  <si>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</si>
  <si>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</si>
  <si>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</si>
  <si>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</si>
  <si>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</si>
  <si>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</si>
  <si>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</si>
  <si>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</si>
  <si>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</si>
  <si>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</si>
  <si>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</si>
  <si>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</si>
  <si>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</si>
  <si>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</si>
  <si>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</si>
  <si>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</si>
  <si>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</si>
  <si>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</si>
  <si>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</si>
  <si>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</si>
  <si>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</si>
  <si>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</si>
  <si>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</si>
  <si>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</si>
  <si>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</si>
  <si>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</si>
  <si>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</si>
  <si>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</si>
  <si>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</si>
  <si>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</si>
  <si>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</si>
  <si>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</si>
  <si>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</si>
  <si>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</si>
  <si>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</si>
  <si>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</si>
  <si>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</si>
  <si>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</si>
  <si>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</si>
  <si>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</si>
  <si>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</si>
  <si>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</si>
  <si>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</si>
  <si>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</si>
  <si>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</si>
  <si>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</si>
  <si>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</si>
  <si>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</si>
  <si>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</si>
  <si>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</si>
  <si>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</si>
  <si>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</si>
  <si>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</si>
  <si>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</si>
  <si>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</si>
  <si>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</si>
  <si>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</si>
  <si>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</si>
  <si>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</si>
  <si>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</si>
  <si>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</si>
  <si>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</si>
  <si>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</si>
  <si>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</si>
  <si>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</si>
  <si>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</si>
  <si>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</si>
  <si>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</si>
  <si>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</si>
  <si>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</si>
  <si>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</si>
  <si>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</si>
  <si>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</si>
  <si>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</si>
  <si>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</si>
  <si>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</si>
  <si>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</si>
  <si>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</si>
  <si>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</si>
  <si>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</si>
  <si>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</si>
  <si>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</si>
  <si>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</si>
  <si>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</si>
  <si>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</si>
  <si>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</si>
  <si>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</si>
  <si>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</si>
  <si>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</si>
  <si>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</si>
  <si>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</si>
  <si>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</si>
  <si>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</si>
  <si>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</si>
  <si>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</si>
  <si>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</si>
  <si>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</si>
  <si>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</si>
  <si>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</si>
  <si>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</si>
  <si>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</si>
  <si>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</si>
  <si>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</si>
  <si>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</si>
  <si>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</si>
  <si>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</si>
  <si>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</si>
  <si>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</si>
  <si>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</si>
  <si>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</si>
  <si>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</si>
  <si>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</si>
  <si>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</si>
  <si>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</si>
  <si>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</si>
  <si>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</si>
  <si>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</si>
  <si>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</si>
  <si>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</si>
  <si>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</si>
  <si>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</si>
  <si>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</si>
  <si>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</si>
  <si>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</si>
  <si>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</si>
  <si>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</si>
  <si>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</si>
  <si>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</si>
  <si>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</si>
  <si>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</si>
  <si>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</si>
  <si>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</si>
  <si>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</si>
  <si>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</si>
  <si>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</si>
  <si>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</si>
  <si>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</si>
  <si>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</si>
  <si>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</si>
  <si>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</si>
  <si>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</si>
  <si>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</si>
  <si>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</si>
  <si>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</si>
  <si>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</si>
  <si>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</si>
  <si>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</si>
  <si>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</si>
  <si>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</si>
  <si>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</si>
  <si>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</si>
  <si>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</si>
  <si>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</si>
  <si>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</si>
  <si>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</si>
  <si>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</si>
  <si>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</si>
  <si>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</si>
  <si>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</si>
  <si>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</si>
  <si>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</si>
  <si>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</si>
  <si>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</si>
  <si>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</si>
  <si>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</si>
  <si>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</si>
  <si>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</si>
  <si>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</si>
  <si>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</si>
  <si>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</si>
  <si>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</si>
  <si>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</si>
  <si>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</si>
  <si>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</si>
  <si>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</si>
  <si>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</si>
  <si>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</si>
  <si>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</si>
  <si>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</si>
  <si>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</si>
  <si>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</si>
  <si>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</si>
  <si>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</si>
  <si>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</si>
  <si>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</si>
  <si>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</si>
  <si>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</si>
  <si>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</si>
  <si>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</si>
  <si>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</si>
  <si>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</si>
  <si>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</si>
  <si>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</si>
  <si>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</si>
  <si>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</si>
  <si>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</si>
  <si>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</si>
  <si>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</si>
  <si>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</si>
  <si>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</si>
  <si>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</si>
  <si>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</si>
  <si>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</si>
  <si>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</si>
  <si>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</si>
  <si>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</si>
  <si>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</si>
  <si>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</si>
  <si>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</si>
  <si>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</si>
  <si>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</si>
  <si>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</si>
  <si>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</si>
  <si>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</si>
  <si>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</si>
  <si>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</si>
  <si>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</si>
  <si>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</si>
  <si>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</si>
  <si>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</si>
  <si>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</si>
  <si>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</si>
  <si>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</si>
  <si>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</si>
  <si>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</si>
  <si>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</si>
  <si>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</si>
  <si>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</si>
  <si>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</si>
  <si>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</si>
  <si>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</si>
  <si>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</si>
  <si>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</si>
  <si>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</si>
  <si>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</si>
  <si>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</si>
  <si>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</si>
  <si>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</si>
  <si>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</si>
  <si>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</si>
  <si>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</si>
  <si>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</si>
  <si>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</si>
  <si>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</si>
  <si>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</si>
  <si>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</si>
  <si>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</si>
  <si>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</si>
  <si>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</si>
  <si>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</si>
  <si>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</si>
  <si>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</si>
  <si>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</si>
  <si>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</si>
  <si>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</si>
  <si>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</si>
  <si>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</si>
  <si>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</si>
  <si>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</si>
  <si>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</si>
  <si>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</si>
  <si>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</si>
  <si>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</si>
  <si>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</si>
  <si>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</si>
  <si>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</si>
  <si>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</si>
  <si>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</si>
  <si>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</si>
  <si>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</si>
  <si>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</si>
  <si>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</si>
  <si>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</si>
  <si>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</si>
  <si>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</si>
  <si>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</si>
  <si>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</si>
  <si>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</si>
  <si>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</si>
  <si>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</si>
  <si>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</si>
  <si>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</si>
  <si>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</si>
  <si>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</si>
  <si>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</si>
  <si>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</si>
  <si>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</si>
  <si>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</si>
  <si>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</si>
  <si>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</si>
  <si>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</si>
  <si>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</si>
  <si>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</si>
  <si>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</si>
  <si>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</si>
  <si>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</si>
  <si>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</si>
  <si>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</si>
  <si>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</si>
  <si>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</si>
  <si>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</si>
  <si>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</si>
  <si>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</si>
  <si>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</si>
  <si>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</si>
  <si>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</si>
  <si>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</si>
  <si>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</si>
  <si>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</si>
  <si>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</si>
  <si>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</si>
  <si>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</si>
  <si>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</si>
  <si>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</si>
  <si>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</si>
  <si>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</si>
  <si>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</si>
  <si>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</si>
  <si>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</si>
  <si>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</si>
  <si>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</si>
  <si>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</si>
  <si>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</si>
  <si>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</si>
  <si>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</si>
  <si>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</si>
  <si>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</si>
  <si>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</si>
  <si>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</si>
  <si>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</si>
  <si>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</si>
  <si>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</si>
  <si>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</si>
  <si>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</si>
  <si>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</si>
  <si>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</si>
  <si>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</si>
  <si>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</si>
  <si>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</si>
  <si>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</si>
  <si>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</si>
  <si>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</si>
  <si>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</si>
  <si>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</si>
  <si>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</si>
  <si>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</si>
  <si>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</si>
  <si>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</si>
  <si>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</si>
  <si>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</si>
  <si>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</si>
  <si>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</si>
  <si>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</si>
  <si>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</si>
  <si>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</si>
  <si>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</si>
  <si>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</si>
  <si>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</si>
  <si>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</si>
  <si>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</si>
  <si>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</si>
  <si>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</si>
  <si>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</si>
  <si>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</si>
  <si>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</si>
  <si>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</si>
  <si>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</si>
  <si>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</si>
  <si>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</si>
  <si>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</si>
  <si>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</si>
  <si>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</si>
  <si>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</si>
  <si>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</si>
  <si>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</si>
  <si>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</si>
  <si>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</si>
  <si>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</si>
  <si>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</si>
  <si>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</si>
  <si>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</si>
  <si>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</si>
  <si>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</si>
  <si>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</si>
  <si>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</si>
  <si>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</si>
  <si>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</si>
  <si>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</si>
  <si>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</si>
  <si>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</si>
  <si>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</si>
  <si>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</si>
  <si>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</si>
  <si>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</si>
  <si>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</si>
  <si>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</si>
  <si>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</si>
  <si>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</si>
  <si>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</si>
  <si>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</si>
  <si>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</si>
  <si>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</si>
  <si>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</si>
  <si>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</si>
  <si>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</si>
  <si>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</si>
  <si>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</si>
  <si>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</si>
  <si>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</si>
  <si>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</si>
  <si>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</si>
  <si>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</si>
  <si>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</si>
  <si>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</si>
  <si>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</si>
  <si>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</si>
  <si>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</si>
  <si>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</si>
  <si>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</si>
  <si>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</si>
  <si>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</si>
  <si>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</si>
  <si>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</si>
  <si>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</si>
  <si>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</si>
  <si>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</si>
  <si>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</si>
  <si>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</si>
  <si>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</si>
  <si>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</si>
  <si>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</si>
  <si>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</si>
  <si>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</si>
  <si>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</si>
  <si>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</si>
  <si>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</si>
  <si>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</si>
  <si>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</si>
  <si>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</si>
  <si>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</si>
  <si>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</si>
  <si>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</si>
  <si>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</si>
  <si>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</si>
  <si>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</si>
  <si>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</si>
  <si>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</si>
  <si>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</si>
  <si>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</si>
  <si>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</si>
  <si>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</si>
  <si>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</si>
  <si>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</si>
  <si>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</si>
  <si>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</si>
  <si>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</si>
  <si>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</si>
  <si>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</si>
  <si>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</si>
  <si>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</si>
  <si>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</si>
  <si>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</si>
  <si>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</si>
  <si>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</si>
  <si>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</si>
  <si>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</si>
  <si>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</si>
  <si>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</si>
  <si>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</si>
  <si>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</si>
  <si>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</si>
  <si>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</si>
  <si>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</si>
  <si>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</si>
  <si>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</si>
  <si>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</si>
  <si>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</si>
  <si>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</si>
  <si>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</si>
  <si>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</si>
  <si>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</si>
  <si>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</si>
  <si>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</si>
  <si>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</si>
  <si>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</si>
  <si>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</si>
  <si>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</si>
  <si>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</si>
  <si>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</si>
  <si>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</si>
  <si>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</si>
  <si>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</si>
  <si>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</si>
  <si>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</si>
  <si>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</si>
  <si>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</si>
  <si>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</si>
  <si>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</si>
  <si>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</si>
  <si>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</si>
  <si>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</si>
  <si>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</si>
  <si>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</si>
  <si>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</si>
  <si>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</si>
  <si>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</si>
  <si>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</si>
  <si>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</si>
  <si>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</si>
  <si>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</si>
  <si>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</si>
  <si>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</si>
  <si>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</si>
  <si>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</si>
  <si>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</si>
  <si>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</si>
  <si>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</si>
  <si>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</si>
  <si>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</si>
  <si>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</si>
  <si>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</si>
  <si>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</si>
  <si>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</si>
  <si>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</si>
  <si>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</si>
  <si>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</si>
  <si>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</si>
  <si>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</si>
  <si>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</si>
  <si>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</si>
  <si>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</si>
  <si>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</si>
  <si>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</si>
  <si>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</si>
  <si>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</si>
  <si>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</si>
  <si>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</si>
  <si>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</si>
  <si>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</si>
  <si>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</si>
  <si>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</si>
  <si>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</si>
  <si>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</si>
  <si>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</si>
  <si>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</si>
  <si>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</si>
  <si>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</si>
  <si>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</si>
  <si>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</si>
  <si>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</si>
  <si>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</si>
  <si>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</si>
  <si>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</si>
  <si>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</si>
  <si>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</si>
  <si>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</si>
  <si>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</si>
  <si>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</si>
  <si>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</si>
  <si>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</si>
  <si>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</si>
  <si>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</si>
  <si>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</si>
  <si>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</si>
  <si>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</si>
  <si>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</si>
  <si>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</si>
  <si>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</si>
  <si>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</si>
  <si>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</si>
  <si>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</si>
  <si>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</si>
  <si>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</si>
  <si>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</si>
  <si>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</si>
  <si>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</si>
  <si>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</si>
  <si>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</si>
  <si>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</si>
  <si>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</si>
  <si>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</si>
  <si>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</si>
  <si>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</si>
  <si>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</si>
  <si>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</si>
  <si>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</si>
  <si>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</si>
  <si>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</si>
  <si>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</si>
  <si>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</si>
  <si>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</si>
  <si>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</si>
  <si>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</si>
  <si>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</si>
  <si>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</si>
  <si>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</si>
  <si>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</si>
  <si>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</si>
  <si>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</si>
  <si>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</si>
  <si>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</si>
  <si>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</si>
  <si>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</si>
  <si>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</si>
  <si>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</si>
  <si>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</si>
  <si>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</si>
  <si>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</si>
  <si>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</si>
  <si>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</si>
  <si>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</si>
  <si>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</si>
  <si>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</si>
  <si>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</si>
  <si>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</si>
  <si>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</si>
  <si>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</si>
  <si>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</si>
  <si>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</si>
  <si>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</si>
  <si>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</si>
  <si>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</si>
  <si>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</si>
  <si>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</si>
  <si>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</si>
  <si>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</si>
  <si>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</si>
  <si>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</si>
  <si>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</si>
  <si>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</si>
  <si>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</si>
  <si>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</si>
  <si>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</si>
  <si>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</si>
  <si>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</si>
  <si>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</si>
  <si>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</si>
  <si>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</si>
  <si>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</si>
  <si>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</si>
  <si>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</si>
  <si>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</si>
  <si>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</si>
  <si>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</si>
  <si>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</si>
  <si>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</si>
  <si>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</si>
  <si>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</si>
  <si>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</si>
  <si>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</si>
  <si>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</si>
  <si>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</si>
  <si>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</si>
  <si>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</si>
  <si>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</si>
  <si>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</si>
  <si>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</si>
  <si>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</si>
  <si>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</si>
  <si>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</si>
  <si>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</si>
  <si>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</si>
  <si>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</si>
  <si>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</si>
  <si>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</si>
  <si>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</si>
  <si>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</si>
  <si>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</si>
  <si>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</si>
  <si>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</si>
  <si>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</si>
  <si>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</si>
  <si>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</si>
  <si>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</si>
  <si>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</si>
  <si>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</si>
  <si>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</si>
  <si>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</si>
  <si>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</si>
  <si>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</si>
  <si>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</si>
  <si>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</si>
  <si>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</si>
  <si>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</si>
  <si>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</si>
  <si>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</si>
  <si>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</si>
  <si>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</si>
  <si>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</si>
  <si>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</si>
  <si>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</si>
  <si>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</si>
  <si>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</si>
  <si>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</si>
  <si>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</si>
  <si>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</si>
  <si>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</si>
  <si>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</si>
  <si>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</si>
  <si>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</si>
  <si>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</si>
  <si>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</si>
  <si>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</si>
  <si>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</si>
  <si>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</si>
  <si>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</si>
  <si>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</si>
  <si>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</si>
  <si>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</si>
  <si>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</si>
  <si>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</si>
  <si>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</si>
  <si>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</si>
  <si>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</si>
  <si>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</si>
  <si>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</si>
  <si>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</si>
  <si>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</si>
  <si>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</si>
  <si>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</si>
  <si>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</si>
  <si>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</si>
  <si>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</si>
  <si>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</si>
  <si>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</si>
  <si>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</si>
  <si>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</si>
  <si>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</si>
  <si>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</si>
  <si>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</si>
  <si>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</si>
  <si>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</si>
  <si>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</si>
  <si>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</si>
  <si>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</si>
  <si>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</si>
  <si>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</si>
  <si>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</si>
  <si>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</si>
  <si>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</si>
  <si>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</si>
  <si>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</si>
  <si>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</si>
  <si>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</si>
  <si>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</si>
  <si>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</si>
  <si>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</si>
  <si>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</si>
  <si>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</si>
  <si>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</si>
  <si>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</si>
  <si>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</si>
  <si>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</si>
  <si>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</si>
  <si>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</si>
  <si>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</si>
  <si>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</si>
  <si>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</si>
  <si>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</si>
  <si>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</si>
  <si>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</si>
  <si>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</si>
  <si>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</si>
  <si>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</si>
  <si>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</si>
  <si>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</si>
  <si>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</si>
  <si>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</si>
  <si>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</si>
  <si>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</si>
  <si>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</si>
  <si>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</si>
  <si>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</si>
  <si>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</si>
  <si>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</si>
  <si>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</si>
  <si>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</si>
  <si>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</si>
  <si>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</si>
  <si>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</si>
  <si>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</si>
  <si>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</si>
  <si>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</si>
  <si>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</si>
  <si>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</si>
  <si>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</si>
  <si>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</si>
  <si>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</si>
  <si>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</si>
  <si>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</si>
  <si>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</si>
  <si>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</si>
  <si>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</si>
  <si>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</si>
  <si>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</si>
  <si>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</si>
  <si>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</si>
  <si>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</si>
  <si>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</si>
  <si>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</si>
  <si>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</si>
  <si>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</si>
  <si>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</si>
  <si>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</si>
  <si>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</si>
  <si>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</si>
  <si>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</si>
  <si>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</si>
  <si>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</si>
  <si>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</si>
  <si>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</si>
  <si>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</si>
  <si>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</si>
  <si>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</si>
  <si>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</si>
  <si>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</si>
  <si>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</si>
  <si>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</si>
  <si>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</si>
  <si>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</si>
  <si>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</si>
  <si>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</si>
  <si>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</si>
  <si>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</si>
  <si>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</si>
  <si>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</si>
  <si>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</si>
  <si>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</si>
  <si>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</si>
  <si>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</si>
  <si>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</si>
  <si>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</si>
  <si>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</si>
  <si>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</si>
  <si>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</si>
  <si>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</si>
  <si>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</si>
  <si>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</si>
  <si>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</si>
  <si>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</si>
  <si>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</si>
  <si>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</si>
  <si>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</si>
  <si>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</si>
  <si>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</si>
  <si>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</si>
  <si>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</si>
  <si>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</si>
  <si>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</si>
  <si>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</si>
  <si>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</si>
  <si>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</si>
  <si>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</si>
  <si>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</si>
  <si>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</si>
  <si>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</si>
  <si>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</si>
  <si>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</si>
  <si>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</si>
  <si>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</si>
  <si>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</si>
  <si>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</si>
  <si>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</si>
  <si>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</si>
  <si>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</si>
  <si>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</si>
  <si>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</si>
  <si>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</si>
  <si>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</si>
  <si>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</si>
  <si>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</si>
  <si>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</si>
  <si>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</si>
  <si>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</si>
  <si>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</si>
  <si>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</si>
  <si>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</si>
  <si>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</si>
  <si>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</si>
  <si>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</si>
  <si>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</si>
  <si>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</si>
  <si>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</si>
  <si>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</si>
  <si>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</si>
  <si>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</si>
  <si>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</si>
  <si>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</si>
  <si>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</si>
  <si>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</si>
  <si>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</si>
  <si>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</si>
  <si>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</si>
  <si>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</si>
  <si>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</si>
  <si>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</si>
  <si>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</si>
  <si>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</si>
  <si>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</si>
  <si>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</si>
  <si>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</si>
  <si>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</si>
  <si>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</si>
  <si>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</si>
  <si>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</si>
  <si>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</si>
  <si>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</si>
  <si>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</si>
  <si>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</si>
  <si>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</si>
  <si>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</si>
  <si>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</si>
  <si>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</si>
  <si>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</si>
  <si>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</si>
  <si>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</si>
  <si>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</si>
  <si>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</si>
  <si>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</si>
  <si>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</si>
  <si>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</si>
  <si>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</si>
  <si>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</si>
  <si>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</si>
  <si>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</si>
  <si>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</si>
  <si>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</si>
  <si>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</si>
  <si>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</si>
  <si>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</si>
  <si>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</si>
  <si>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</si>
  <si>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</si>
  <si>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</si>
  <si>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</si>
  <si>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</si>
  <si>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</si>
  <si>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</si>
  <si>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</si>
  <si>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</si>
  <si>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</si>
  <si>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</si>
  <si>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</si>
  <si>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</si>
  <si>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</si>
  <si>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</si>
  <si>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</si>
  <si>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</si>
  <si>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</si>
  <si>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</si>
  <si>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</si>
  <si>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</si>
  <si>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</si>
  <si>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</si>
  <si>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</si>
  <si>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</si>
  <si>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</si>
  <si>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</si>
  <si>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</si>
  <si>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</si>
  <si>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</si>
  <si>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</si>
  <si>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</si>
  <si>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</si>
  <si>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</si>
  <si>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</si>
  <si>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</si>
  <si>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</si>
  <si>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</si>
  <si>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</si>
  <si>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</si>
  <si>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</si>
  <si>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</si>
  <si>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</si>
  <si>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</si>
  <si>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</si>
  <si>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</si>
  <si>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</si>
  <si>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</si>
  <si>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</si>
  <si>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</si>
  <si>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</si>
  <si>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</si>
  <si>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</si>
  <si>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</si>
  <si>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</si>
  <si>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</si>
  <si>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</si>
  <si>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</si>
  <si>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</si>
  <si>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</si>
  <si>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</si>
  <si>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</si>
  <si>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</si>
  <si>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</si>
  <si>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</si>
  <si>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</si>
  <si>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</si>
  <si>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</si>
  <si>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</si>
  <si>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</si>
  <si>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</si>
  <si>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</si>
  <si>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</si>
  <si>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</si>
  <si>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</si>
  <si>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</si>
  <si>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</si>
  <si>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</si>
  <si>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</si>
  <si>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</si>
  <si>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</si>
  <si>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</si>
  <si>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</si>
  <si>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</si>
  <si>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</si>
  <si>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</si>
  <si>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</si>
  <si>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</si>
  <si>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</si>
  <si>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</si>
  <si>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</si>
  <si>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</si>
  <si>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</si>
  <si>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</si>
  <si>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</si>
  <si>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</si>
  <si>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</si>
  <si>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</si>
  <si>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</si>
  <si>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</si>
  <si>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</si>
  <si>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</si>
  <si>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</si>
  <si>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</si>
  <si>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</si>
  <si>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</si>
  <si>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</si>
  <si>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</si>
  <si>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</si>
  <si>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</si>
  <si>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</si>
  <si>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</si>
  <si>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</si>
  <si>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</si>
  <si>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</si>
  <si>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</si>
  <si>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</si>
  <si>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</si>
  <si>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</si>
  <si>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</si>
  <si>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</si>
  <si>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</si>
  <si>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</si>
  <si>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</si>
  <si>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</si>
  <si>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</si>
  <si>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</si>
  <si>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</si>
  <si>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</si>
  <si>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</si>
  <si>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</si>
  <si>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</si>
  <si>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</si>
  <si>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</si>
  <si>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</si>
  <si>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</si>
  <si>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</si>
  <si>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</si>
  <si>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</si>
  <si>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</si>
  <si>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</si>
  <si>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</si>
  <si>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</si>
  <si>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</si>
  <si>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</si>
  <si>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</si>
  <si>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</si>
  <si>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</si>
  <si>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</si>
  <si>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</si>
  <si>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</si>
  <si>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</si>
  <si>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</si>
  <si>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</si>
  <si>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</si>
  <si>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</si>
  <si>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</si>
  <si>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</si>
  <si>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</si>
  <si>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</si>
  <si>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</si>
  <si>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</si>
  <si>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</si>
  <si>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</si>
  <si>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</si>
  <si>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</si>
  <si>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</si>
  <si>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</si>
  <si>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</si>
  <si>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</si>
  <si>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</si>
  <si>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</si>
  <si>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</si>
  <si>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</si>
  <si>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</si>
  <si>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</si>
  <si>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</si>
  <si>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</si>
  <si>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</si>
  <si>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</si>
  <si>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</si>
  <si>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</si>
  <si>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</si>
  <si>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</si>
  <si>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</si>
  <si>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</si>
  <si>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</si>
  <si>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</si>
  <si>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</si>
  <si>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</si>
  <si>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</si>
  <si>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</si>
  <si>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</si>
  <si>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</si>
  <si>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</si>
  <si>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</si>
  <si>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</si>
  <si>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</si>
  <si>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</si>
  <si>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</si>
  <si>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</si>
  <si>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</si>
  <si>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</si>
  <si>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</si>
  <si>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</si>
  <si>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</si>
  <si>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</si>
  <si>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</si>
  <si>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</si>
  <si>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</si>
  <si>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</si>
  <si>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</si>
  <si>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</si>
  <si>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</si>
  <si>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</si>
  <si>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</si>
  <si>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</si>
  <si>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</si>
  <si>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</si>
  <si>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</si>
  <si>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</si>
  <si>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</si>
  <si>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</si>
  <si>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</si>
  <si>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</si>
  <si>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</si>
  <si>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</si>
  <si>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</si>
  <si>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</si>
  <si>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</si>
  <si>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</si>
  <si>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</si>
  <si>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</si>
  <si>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</si>
  <si>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</si>
  <si>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</si>
  <si>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</si>
  <si>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</si>
  <si>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</si>
  <si>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</si>
  <si>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</si>
  <si>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</si>
  <si>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</si>
  <si>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</si>
  <si>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</si>
  <si>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</si>
  <si>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</si>
  <si>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</si>
  <si>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</si>
  <si>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</si>
  <si>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</si>
  <si>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</si>
  <si>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</si>
  <si>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</si>
  <si>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</si>
  <si>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</si>
  <si>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</si>
  <si>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</si>
  <si>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</si>
  <si>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</si>
  <si>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</si>
  <si>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</si>
  <si>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</si>
  <si>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</si>
  <si>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</si>
  <si>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</si>
  <si>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</si>
  <si>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</si>
  <si>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</si>
  <si>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</si>
  <si>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</si>
  <si>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</si>
  <si>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</si>
  <si>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</si>
  <si>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</si>
  <si>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</si>
  <si>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</si>
  <si>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</si>
  <si>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</si>
  <si>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</si>
  <si>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</si>
  <si>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</si>
  <si>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</si>
  <si>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</si>
  <si>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</si>
  <si>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</si>
  <si>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</si>
  <si>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</si>
  <si>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</si>
  <si>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</si>
  <si>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</si>
  <si>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</si>
  <si>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</si>
  <si>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</si>
  <si>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</si>
  <si>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</si>
  <si>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</si>
  <si>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</si>
  <si>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</si>
  <si>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</si>
  <si>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</si>
  <si>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</si>
  <si>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</si>
  <si>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</si>
  <si>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</si>
  <si>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</si>
  <si>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</si>
  <si>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</si>
  <si>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</si>
  <si>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</si>
  <si>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</si>
  <si>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</si>
  <si>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</si>
  <si>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</si>
  <si>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</si>
  <si>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</si>
  <si>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</si>
  <si>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</si>
  <si>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</si>
  <si>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</si>
  <si>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</si>
  <si>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</si>
  <si>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</si>
  <si>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</si>
  <si>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</si>
  <si>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</si>
  <si>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</si>
  <si>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</si>
  <si>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</si>
  <si>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</si>
  <si>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</si>
  <si>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</si>
  <si>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</si>
  <si>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</si>
  <si>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</si>
  <si>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</si>
  <si>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</si>
  <si>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</si>
  <si>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</si>
  <si>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</si>
  <si>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</si>
  <si>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</si>
  <si>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</si>
  <si>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</si>
  <si>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</si>
  <si>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</si>
  <si>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</si>
  <si>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</si>
  <si>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</si>
  <si>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</si>
  <si>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</si>
  <si>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</si>
  <si>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</si>
  <si>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</si>
  <si>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</si>
  <si>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</si>
  <si>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</si>
  <si>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</si>
  <si>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</si>
  <si>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</si>
  <si>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</si>
  <si>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</si>
  <si>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</si>
  <si>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</si>
  <si>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</si>
  <si>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</si>
  <si>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</si>
  <si>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</si>
  <si>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</si>
  <si>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</si>
  <si>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</si>
  <si>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</si>
  <si>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</si>
  <si>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</si>
  <si>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</si>
  <si>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</si>
  <si>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</si>
  <si>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</si>
  <si>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</si>
  <si>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</si>
  <si>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</si>
  <si>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</si>
  <si>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</si>
  <si>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</si>
  <si>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</si>
  <si>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</si>
  <si>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</si>
  <si>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</si>
  <si>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</si>
  <si>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</si>
  <si>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</si>
  <si>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</si>
  <si>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</si>
  <si>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</si>
  <si>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</si>
  <si>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</si>
  <si>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</si>
  <si>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</si>
  <si>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</si>
  <si>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</si>
  <si>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</si>
  <si>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</si>
  <si>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</si>
  <si>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</si>
  <si>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</si>
  <si>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</si>
  <si>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</si>
  <si>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</si>
  <si>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</si>
  <si>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</si>
  <si>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</si>
  <si>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</si>
  <si>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</si>
  <si>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</si>
  <si>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</si>
  <si>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</si>
  <si>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</si>
  <si>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</si>
  <si>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</si>
  <si>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</si>
  <si>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</si>
  <si>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</si>
  <si>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</si>
  <si>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</si>
  <si>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</si>
  <si>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</si>
  <si>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</si>
  <si>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</si>
  <si>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</si>
  <si>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</si>
  <si>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</si>
  <si>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</si>
  <si>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</si>
  <si>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</si>
  <si>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</si>
  <si>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</si>
  <si>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</si>
  <si>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</si>
  <si>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</si>
  <si>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</si>
  <si>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</si>
  <si>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</si>
  <si>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</si>
  <si>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</si>
  <si>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</si>
  <si>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</si>
  <si>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</si>
  <si>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</si>
  <si>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</si>
  <si>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</si>
  <si>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</si>
  <si>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</si>
  <si>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</si>
  <si>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</si>
  <si>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</si>
  <si>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</si>
  <si>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</si>
  <si>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</si>
  <si>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</si>
  <si>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</si>
  <si>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</si>
  <si>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</si>
  <si>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</si>
  <si>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</si>
  <si>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</si>
  <si>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</si>
  <si>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</si>
  <si>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</si>
  <si>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</si>
  <si>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</si>
  <si>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</si>
  <si>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</si>
  <si>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</si>
  <si>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</si>
  <si>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</si>
  <si>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</si>
  <si>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</si>
  <si>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</si>
  <si>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</si>
  <si>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</si>
  <si>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</si>
  <si>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</si>
  <si>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</si>
  <si>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</si>
  <si>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</si>
  <si>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</si>
  <si>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</si>
  <si>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</si>
  <si>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</si>
  <si>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</si>
  <si>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</si>
  <si>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</si>
  <si>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</si>
  <si>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</si>
  <si>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</si>
  <si>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</si>
  <si>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</si>
  <si>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</si>
  <si>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</si>
  <si>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</si>
  <si>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</si>
  <si>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</si>
  <si>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</si>
  <si>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</si>
  <si>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</si>
  <si>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</si>
  <si>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</si>
  <si>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</si>
  <si>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</si>
  <si>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</si>
  <si>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</si>
  <si>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</si>
  <si>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</si>
  <si>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</si>
  <si>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</si>
  <si>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</si>
  <si>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</si>
  <si>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</si>
  <si>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</si>
  <si>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</si>
  <si>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</si>
  <si>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</si>
  <si>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</si>
  <si>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</si>
  <si>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</si>
  <si>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</si>
  <si>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</si>
  <si>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</si>
  <si>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</si>
  <si>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</si>
  <si>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</si>
  <si>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</si>
  <si>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</si>
  <si>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</si>
  <si>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</si>
  <si>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</si>
  <si>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</si>
  <si>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</si>
  <si>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</si>
  <si>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</si>
  <si>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</si>
  <si>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</si>
  <si>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</si>
  <si>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</si>
  <si>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</si>
  <si>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</si>
  <si>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</si>
  <si>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</si>
  <si>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</si>
  <si>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</si>
  <si>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</si>
  <si>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</si>
  <si>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</si>
  <si>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</si>
  <si>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</si>
  <si>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</si>
  <si>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</si>
  <si>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</si>
  <si>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</si>
  <si>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</si>
  <si>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</si>
  <si>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</si>
  <si>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</si>
  <si>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</si>
  <si>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</si>
  <si>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</si>
  <si>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</si>
  <si>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</si>
  <si>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</si>
  <si>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</si>
  <si>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</si>
  <si>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</si>
  <si>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</si>
  <si>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</si>
  <si>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</si>
  <si>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</si>
  <si>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</si>
  <si>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</si>
  <si>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</si>
  <si>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</si>
  <si>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</si>
  <si>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</si>
  <si>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</si>
  <si>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</si>
  <si>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</si>
  <si>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</si>
  <si>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</si>
  <si>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</si>
  <si>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</si>
  <si>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</si>
  <si>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</si>
  <si>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</si>
  <si>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</si>
  <si>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</si>
  <si>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</si>
  <si>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</si>
  <si>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</si>
  <si>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</si>
  <si>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</si>
  <si>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</si>
  <si>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</si>
  <si>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</si>
  <si>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</si>
  <si>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</si>
  <si>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</si>
  <si>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</si>
  <si>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</si>
  <si>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</si>
  <si>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</si>
  <si>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</si>
  <si>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</si>
  <si>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</si>
  <si>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</si>
  <si>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</si>
  <si>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</si>
  <si>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</si>
  <si>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</si>
  <si>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</si>
  <si>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</si>
  <si>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</si>
  <si>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</si>
  <si>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</si>
  <si>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</si>
  <si>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</si>
  <si>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</si>
  <si>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</si>
  <si>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</si>
  <si>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</si>
  <si>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</si>
  <si>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</si>
  <si>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</si>
  <si>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</si>
  <si>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</si>
  <si>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</si>
  <si>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</si>
  <si>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</si>
  <si>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</si>
  <si>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</si>
  <si>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</si>
  <si>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</si>
  <si>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</si>
  <si>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</si>
  <si>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</si>
  <si>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</si>
  <si>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</si>
  <si>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</si>
  <si>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</si>
  <si>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</si>
  <si>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</si>
  <si>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</si>
  <si>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</si>
  <si>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</si>
  <si>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</si>
  <si>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</si>
  <si>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</si>
  <si>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</si>
  <si>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</si>
  <si>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</si>
  <si>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</si>
  <si>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</si>
  <si>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</si>
  <si>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</si>
  <si>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</si>
  <si>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</si>
  <si>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</si>
  <si>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</si>
  <si>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</si>
  <si>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</si>
  <si>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</si>
  <si>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</si>
  <si>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</si>
  <si>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</si>
  <si>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</si>
  <si>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</si>
  <si>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</si>
  <si>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</si>
  <si>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</si>
  <si>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</si>
  <si>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</si>
  <si>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</si>
  <si>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</si>
  <si>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</si>
  <si>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</si>
  <si>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</si>
  <si>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</si>
  <si>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</si>
  <si>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</si>
  <si>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</si>
  <si>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</si>
  <si>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</si>
  <si>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</si>
  <si>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</si>
  <si>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</si>
  <si>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</si>
  <si>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</si>
  <si>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</si>
  <si>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</si>
  <si>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</si>
  <si>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</si>
  <si>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</si>
  <si>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</si>
  <si>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</si>
  <si>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</si>
  <si>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</si>
  <si>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</si>
  <si>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</si>
  <si>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</si>
  <si>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</si>
  <si>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</si>
  <si>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</si>
  <si>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</si>
  <si>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</si>
  <si>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</si>
  <si>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</si>
  <si>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</si>
  <si>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</si>
  <si>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</si>
  <si>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</si>
  <si>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</si>
  <si>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</si>
  <si>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</si>
  <si>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</si>
  <si>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</si>
  <si>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</si>
  <si>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</si>
  <si>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</si>
  <si>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</si>
  <si>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</si>
  <si>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</si>
  <si>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</si>
  <si>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</si>
  <si>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</si>
  <si>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</si>
  <si>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</si>
  <si>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</si>
  <si>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</si>
  <si>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</si>
  <si>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</si>
  <si>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</si>
  <si>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</si>
  <si>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</si>
  <si>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</si>
  <si>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</si>
  <si>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</si>
  <si>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</si>
  <si>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</si>
  <si>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</si>
  <si>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</si>
  <si>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</si>
  <si>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</si>
  <si>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</si>
  <si>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</si>
  <si>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</si>
  <si>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</si>
  <si>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</si>
  <si>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</si>
  <si>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</si>
  <si>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</si>
  <si>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</si>
  <si>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</si>
  <si>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</si>
  <si>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</si>
  <si>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</si>
  <si>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</si>
  <si>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</si>
  <si>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</si>
  <si>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</si>
  <si>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</si>
  <si>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</si>
  <si>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</si>
  <si>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</si>
  <si>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</si>
  <si>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</si>
  <si>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</si>
  <si>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</si>
  <si>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</si>
  <si>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</si>
  <si>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</si>
  <si>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</si>
  <si>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</si>
  <si>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</si>
  <si>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</si>
  <si>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</si>
  <si>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</si>
  <si>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</si>
  <si>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</si>
  <si>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</si>
  <si>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</si>
  <si>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</si>
  <si>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</si>
  <si>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</si>
  <si>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</si>
  <si>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</si>
  <si>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</si>
  <si>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</si>
  <si>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</si>
  <si>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</si>
  <si>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</si>
  <si>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</si>
  <si>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</si>
  <si>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</si>
  <si>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</si>
  <si>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</si>
  <si>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</si>
  <si>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</si>
  <si>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</si>
  <si>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</si>
  <si>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</si>
  <si>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</si>
  <si>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</si>
  <si>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</si>
  <si>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</si>
  <si>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</si>
  <si>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</si>
  <si>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</si>
  <si>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</si>
  <si>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</si>
  <si>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</si>
  <si>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</si>
  <si>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</si>
  <si>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</si>
  <si>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</si>
  <si>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</si>
  <si>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</si>
  <si>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</si>
  <si>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</si>
  <si>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</si>
  <si>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</si>
  <si>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</si>
  <si>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</si>
  <si>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</si>
  <si>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</si>
  <si>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</si>
  <si>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</si>
  <si>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</si>
  <si>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</si>
  <si>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</si>
  <si>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</si>
  <si>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</si>
  <si>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</si>
  <si>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</si>
  <si>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</si>
  <si>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</si>
  <si>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</si>
  <si>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</si>
  <si>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</si>
  <si>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</si>
  <si>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</si>
  <si>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</si>
  <si>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</si>
  <si>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</si>
  <si>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</si>
  <si>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</si>
  <si>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</si>
  <si>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</si>
  <si>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</si>
  <si>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</si>
  <si>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</si>
  <si>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</si>
  <si>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</si>
  <si>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</si>
  <si>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</si>
  <si>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</si>
  <si>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</si>
  <si>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</si>
  <si>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</si>
  <si>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</si>
  <si>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</si>
  <si>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</si>
  <si>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</si>
  <si>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</si>
  <si>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</si>
  <si>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</si>
  <si>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</si>
  <si>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</si>
  <si>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</si>
  <si>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</si>
  <si>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</si>
  <si>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</si>
  <si>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</si>
  <si>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</si>
  <si>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</si>
  <si>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</si>
  <si>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</si>
  <si>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</si>
  <si>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</si>
  <si>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</si>
  <si>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</si>
  <si>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</si>
  <si>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</si>
  <si>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</si>
  <si>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</si>
  <si>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</si>
  <si>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</si>
  <si>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</si>
  <si>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</si>
  <si>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</si>
  <si>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</si>
  <si>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</si>
  <si>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</si>
  <si>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</si>
  <si>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</si>
  <si>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</si>
  <si>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</si>
  <si>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</si>
  <si>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</si>
  <si>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</si>
  <si>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</si>
  <si>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</si>
  <si>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</si>
  <si>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</si>
  <si>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</si>
  <si>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</si>
  <si>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</si>
  <si>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</si>
  <si>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</si>
  <si>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</si>
  <si>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</si>
  <si>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</si>
  <si>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</si>
  <si>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</si>
  <si>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</si>
  <si>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</si>
  <si>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</si>
  <si>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</si>
  <si>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</si>
  <si>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</si>
  <si>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</si>
  <si>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</si>
  <si>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</si>
  <si>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</si>
  <si>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</si>
  <si>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</si>
  <si>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</si>
  <si>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</si>
  <si>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</si>
  <si>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</si>
  <si>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</si>
  <si>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</si>
  <si>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</si>
  <si>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</si>
  <si>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</si>
  <si>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</si>
  <si>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</si>
  <si>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</si>
  <si>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</si>
  <si>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</si>
  <si>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</si>
  <si>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</si>
  <si>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</si>
  <si>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</si>
  <si>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</si>
  <si>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</si>
  <si>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</si>
  <si>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</si>
  <si>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</si>
  <si>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</si>
  <si>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</si>
  <si>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</si>
  <si>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</si>
  <si>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</si>
  <si>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</si>
  <si>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</si>
  <si>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</si>
  <si>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</si>
  <si>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</si>
  <si>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</si>
  <si>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</si>
  <si>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</si>
  <si>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</si>
  <si>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</si>
  <si>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</si>
  <si>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</si>
  <si>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</si>
  <si>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</si>
  <si>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</si>
  <si>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</si>
  <si>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</si>
  <si>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</si>
  <si>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</si>
  <si>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</si>
  <si>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</si>
  <si>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</si>
  <si>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</si>
  <si>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</si>
  <si>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</si>
  <si>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</si>
  <si>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</si>
  <si>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</si>
  <si>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</si>
  <si>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</si>
  <si>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</si>
  <si>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</si>
  <si>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</si>
  <si>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</si>
  <si>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</si>
  <si>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</si>
  <si>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</si>
  <si>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</si>
  <si>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</si>
  <si>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</si>
  <si>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</si>
  <si>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</si>
  <si>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</si>
  <si>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</si>
  <si>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</si>
  <si>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</si>
  <si>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</si>
  <si>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</si>
  <si>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</si>
  <si>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</si>
  <si>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</si>
  <si>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</si>
  <si>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</si>
  <si>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</si>
  <si>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</si>
  <si>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</si>
  <si>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</si>
  <si>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</si>
  <si>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</si>
  <si>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</si>
  <si>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</si>
  <si>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</si>
  <si>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</si>
  <si>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</si>
  <si>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</si>
  <si>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</si>
  <si>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</si>
  <si>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</si>
  <si>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</si>
  <si>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</si>
  <si>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</si>
  <si>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</si>
  <si>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</si>
  <si>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</si>
  <si>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</si>
  <si>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</si>
  <si>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</si>
  <si>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</si>
  <si>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</si>
  <si>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</si>
  <si>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</si>
  <si>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</si>
  <si>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</si>
  <si>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</si>
  <si>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</si>
  <si>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</si>
  <si>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</si>
  <si>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</si>
  <si>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</si>
  <si>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</si>
  <si>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</si>
  <si>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</si>
  <si>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</si>
  <si>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</si>
  <si>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</si>
  <si>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</si>
  <si>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</si>
  <si>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</si>
  <si>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</si>
  <si>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</si>
  <si>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</si>
  <si>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</si>
  <si>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</si>
  <si>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</si>
  <si>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</si>
  <si>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</si>
  <si>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</si>
  <si>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</si>
  <si>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</si>
  <si>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</si>
  <si>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</si>
  <si>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</si>
  <si>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</si>
  <si>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</si>
  <si>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</si>
  <si>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</si>
  <si>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</si>
  <si>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</si>
  <si>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</si>
  <si>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</si>
  <si>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</si>
  <si>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</si>
  <si>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</si>
  <si>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</si>
  <si>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</si>
  <si>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</si>
  <si>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</si>
  <si>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</si>
  <si>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</si>
  <si>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</si>
  <si>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</si>
  <si>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</si>
  <si>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</si>
  <si>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</si>
  <si>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</si>
  <si>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</si>
  <si>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</si>
  <si>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</si>
  <si>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</si>
  <si>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</si>
  <si>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</si>
  <si>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</si>
  <si>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</si>
  <si>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</si>
  <si>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</si>
  <si>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</si>
  <si>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</si>
  <si>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</si>
  <si>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</si>
  <si>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</si>
  <si>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</si>
  <si>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</si>
  <si>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</si>
  <si>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</si>
  <si>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</si>
  <si>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</si>
  <si>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</si>
  <si>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</si>
  <si>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</si>
  <si>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</si>
  <si>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</si>
  <si>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</si>
  <si>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</si>
  <si>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</si>
  <si>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</si>
  <si>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</si>
  <si>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</si>
  <si>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</si>
  <si>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</si>
  <si>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</si>
  <si>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</si>
  <si>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</si>
  <si>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</si>
  <si>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</si>
  <si>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</si>
  <si>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</si>
  <si>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</si>
  <si>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</si>
  <si>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</si>
  <si>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</si>
  <si>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</si>
  <si>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</si>
  <si>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</si>
  <si>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</si>
  <si>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</si>
  <si>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</si>
  <si>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</si>
  <si>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</si>
  <si>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</si>
  <si>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</si>
  <si>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</si>
  <si>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</si>
  <si>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</si>
  <si>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</si>
  <si>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</si>
  <si>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</si>
  <si>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</si>
  <si>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</si>
  <si>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</si>
  <si>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</si>
  <si>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</si>
  <si>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</si>
  <si>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</si>
  <si>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</si>
  <si>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</si>
  <si>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</si>
  <si>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</si>
  <si>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</si>
  <si>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</si>
  <si>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</si>
  <si>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</si>
  <si>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</si>
  <si>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</si>
  <si>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</si>
  <si>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</si>
  <si>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</si>
  <si>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</si>
  <si>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</si>
  <si>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</si>
  <si>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</si>
  <si>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</si>
  <si>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</si>
  <si>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</si>
  <si>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</si>
  <si>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</si>
  <si>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</si>
  <si>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</si>
  <si>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</si>
  <si>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</si>
  <si>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</si>
  <si>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</si>
  <si>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</si>
  <si>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</si>
  <si>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</si>
  <si>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</si>
  <si>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</si>
  <si>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</si>
  <si>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</si>
  <si>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</si>
  <si>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</si>
  <si>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</si>
  <si>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</si>
  <si>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</si>
  <si>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</si>
  <si>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</si>
  <si>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</si>
  <si>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</si>
  <si>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</si>
  <si>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</si>
  <si>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</si>
  <si>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</si>
  <si>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</si>
  <si>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</si>
  <si>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</si>
  <si>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</si>
  <si>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</si>
  <si>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</si>
  <si>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</si>
  <si>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</si>
  <si>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</si>
  <si>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</si>
  <si>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</si>
  <si>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</si>
  <si>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</si>
  <si>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</si>
  <si>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</si>
  <si>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</si>
  <si>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</si>
  <si>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</si>
  <si>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</si>
  <si>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</si>
  <si>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</si>
  <si>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</si>
  <si>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</si>
  <si>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</si>
  <si>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</si>
  <si>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</si>
  <si>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</si>
  <si>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</si>
  <si>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</si>
  <si>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</si>
  <si>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</si>
  <si>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</si>
  <si>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</si>
  <si>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</si>
  <si>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</si>
  <si>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</si>
  <si>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</si>
  <si>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</si>
  <si>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</si>
  <si>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</si>
  <si>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</si>
  <si>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</si>
  <si>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</si>
  <si>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</si>
  <si>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</si>
  <si>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</si>
  <si>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</si>
  <si>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</si>
  <si>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</si>
  <si>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</si>
  <si>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</si>
  <si>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</si>
  <si>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</si>
  <si>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</si>
  <si>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</si>
  <si>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</si>
  <si>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</si>
  <si>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</si>
  <si>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</si>
  <si>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</si>
  <si>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</si>
  <si>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</si>
  <si>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</si>
  <si>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</si>
  <si>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</si>
  <si>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</si>
  <si>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</si>
  <si>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</si>
  <si>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</si>
  <si>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</si>
  <si>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</si>
  <si>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</si>
  <si>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</si>
  <si>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</si>
  <si>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</si>
  <si>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</si>
  <si>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</si>
  <si>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</si>
  <si>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</si>
  <si>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</si>
  <si>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</si>
  <si>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</si>
  <si>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</si>
  <si>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</si>
  <si>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</si>
  <si>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</si>
  <si>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</si>
  <si>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</si>
  <si>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</si>
  <si>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</si>
  <si>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</si>
  <si>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</si>
  <si>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</si>
  <si>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</si>
  <si>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</si>
  <si>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</si>
  <si>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</si>
  <si>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</si>
  <si>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</si>
  <si>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</si>
  <si>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</si>
  <si>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</si>
  <si>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</si>
  <si>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</si>
  <si>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</si>
  <si>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</si>
  <si>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</si>
  <si>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</si>
  <si>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</si>
  <si>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</si>
  <si>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</si>
  <si>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</si>
  <si>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</si>
  <si>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</si>
  <si>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</si>
  <si>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</si>
  <si>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</si>
  <si>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</si>
  <si>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</si>
  <si>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</si>
  <si>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</si>
  <si>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</si>
  <si>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</si>
  <si>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</si>
  <si>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</si>
  <si>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</si>
  <si>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</si>
  <si>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</si>
  <si>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</si>
  <si>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</si>
  <si>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</si>
  <si>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</si>
  <si>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</si>
  <si>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</si>
  <si>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</si>
  <si>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</si>
  <si>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</si>
  <si>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</si>
  <si>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</si>
  <si>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</si>
  <si>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</si>
  <si>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</si>
  <si>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</si>
  <si>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</si>
  <si>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</si>
  <si>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</si>
  <si>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</si>
  <si>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</si>
  <si>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</si>
  <si>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</si>
  <si>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</si>
  <si>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</si>
  <si>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</si>
  <si>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</si>
  <si>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</si>
  <si>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</si>
  <si>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</si>
  <si>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</si>
  <si>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</si>
  <si>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</si>
  <si>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</si>
  <si>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</si>
  <si>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</si>
  <si>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</si>
  <si>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</si>
  <si>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</si>
  <si>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</si>
  <si>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</si>
  <si>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</si>
  <si>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</si>
  <si>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</si>
  <si>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</si>
  <si>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</si>
  <si>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</si>
  <si>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</si>
  <si>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</si>
  <si>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</si>
  <si>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</si>
  <si>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</si>
  <si>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</si>
  <si>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</si>
  <si>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</si>
  <si>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</si>
  <si>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</si>
  <si>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</si>
  <si>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</si>
  <si>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</si>
  <si>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</si>
  <si>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</si>
  <si>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</si>
  <si>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</si>
  <si>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</si>
  <si>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</si>
  <si>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</si>
  <si>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</si>
  <si>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</si>
  <si>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</si>
  <si>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</si>
  <si>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</si>
  <si>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</si>
  <si>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</si>
  <si>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</si>
  <si>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</si>
  <si>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</si>
  <si>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</si>
  <si>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</si>
  <si>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</si>
  <si>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</si>
  <si>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</si>
  <si>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</si>
  <si>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</si>
  <si>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</si>
  <si>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</si>
  <si>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</si>
  <si>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</si>
  <si>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</si>
  <si>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</si>
  <si>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</si>
  <si>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</si>
  <si>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</si>
  <si>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</si>
  <si>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</si>
  <si>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</si>
  <si>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</si>
  <si>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</si>
  <si>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</si>
  <si>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</si>
  <si>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</si>
  <si>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</si>
  <si>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</si>
  <si>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</si>
  <si>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</si>
  <si>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</si>
  <si>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</si>
  <si>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</si>
  <si>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</si>
  <si>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</si>
  <si>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</si>
  <si>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</si>
  <si>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</si>
  <si>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</si>
  <si>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</si>
  <si>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</si>
  <si>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</si>
  <si>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</si>
  <si>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</si>
  <si>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</si>
  <si>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</si>
  <si>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</si>
  <si>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</si>
  <si>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</si>
  <si>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</si>
  <si>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</si>
  <si>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</si>
  <si>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</si>
  <si>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</si>
  <si>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</si>
  <si>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</si>
  <si>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</si>
  <si>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</si>
  <si>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</si>
  <si>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</si>
  <si>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</si>
  <si>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</si>
  <si>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</si>
  <si>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</si>
  <si>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</si>
  <si>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</si>
  <si>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</si>
  <si>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</si>
  <si>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</si>
  <si>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</si>
  <si>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</si>
  <si>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</si>
  <si>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</si>
  <si>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</si>
  <si>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</si>
  <si>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</si>
  <si>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</si>
  <si>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</si>
  <si>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</si>
  <si>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</si>
  <si>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</si>
  <si>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</si>
  <si>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</si>
  <si>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</si>
  <si>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</si>
  <si>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</si>
  <si>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</si>
  <si>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</si>
  <si>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</si>
  <si>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</si>
  <si>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</si>
  <si>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</si>
  <si>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</si>
  <si>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</si>
  <si>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</si>
  <si>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</si>
  <si>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</si>
  <si>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</si>
  <si>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</si>
  <si>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</si>
  <si>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</si>
  <si>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</si>
  <si>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</si>
  <si>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</si>
  <si>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</si>
  <si>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</si>
  <si>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</si>
  <si>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</si>
  <si>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</si>
  <si>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</si>
  <si>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</si>
  <si>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</si>
  <si>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</si>
  <si>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</si>
  <si>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</si>
  <si>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</si>
  <si>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</si>
  <si>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</si>
  <si>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</si>
  <si>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</si>
  <si>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</si>
  <si>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</si>
  <si>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</si>
  <si>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</si>
  <si>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</si>
  <si>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</si>
  <si>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</si>
  <si>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</si>
  <si>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</si>
  <si>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</si>
  <si>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</si>
  <si>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</si>
  <si>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</si>
  <si>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</si>
  <si>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</si>
  <si>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</si>
  <si>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</si>
  <si>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</si>
  <si>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</si>
  <si>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</si>
  <si>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</si>
  <si>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</si>
  <si>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</si>
  <si>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</si>
  <si>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</si>
  <si>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</si>
  <si>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</si>
  <si>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</si>
  <si>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</si>
  <si>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</si>
  <si>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</si>
  <si>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</si>
  <si>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</si>
  <si>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</si>
  <si>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</si>
  <si>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</si>
  <si>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</si>
  <si>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</si>
  <si>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</si>
  <si>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</si>
  <si>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</si>
  <si>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</si>
  <si>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</si>
  <si>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</si>
  <si>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</si>
  <si>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</si>
  <si>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</si>
  <si>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</si>
  <si>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</si>
  <si>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</si>
  <si>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</si>
  <si>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</si>
  <si>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</si>
  <si>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</si>
  <si>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</si>
  <si>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</si>
  <si>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</si>
  <si>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</si>
  <si>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</si>
  <si>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</si>
  <si>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</si>
  <si>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</si>
  <si>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</si>
  <si>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</si>
  <si>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</si>
  <si>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</si>
  <si>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</si>
  <si>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</si>
  <si>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</si>
  <si>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</si>
  <si>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</si>
  <si>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</si>
  <si>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</si>
  <si>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</si>
  <si>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</si>
  <si>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</si>
  <si>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</si>
  <si>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</si>
  <si>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</si>
  <si>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</si>
  <si>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</si>
  <si>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</si>
  <si>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</si>
  <si>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</si>
  <si>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</si>
  <si>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</si>
  <si>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</si>
  <si>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</si>
  <si>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</si>
  <si>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</si>
  <si>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</si>
  <si>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</si>
  <si>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</si>
  <si>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</si>
  <si>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</si>
  <si>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</si>
  <si>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</si>
  <si>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</si>
  <si>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</si>
  <si>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</si>
  <si>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</si>
  <si>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</si>
  <si>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</si>
  <si>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</si>
  <si>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</si>
  <si>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</si>
  <si>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</si>
  <si>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</si>
  <si>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</si>
  <si>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</si>
  <si>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</si>
  <si>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</si>
  <si>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</si>
  <si>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</si>
  <si>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</si>
  <si>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</si>
  <si>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</si>
  <si>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</si>
  <si>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</si>
  <si>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</si>
  <si>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</si>
  <si>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</si>
  <si>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</si>
  <si>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</si>
  <si>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</si>
  <si>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</si>
  <si>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</si>
  <si>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</si>
  <si>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</si>
  <si>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</si>
  <si>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</si>
  <si>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</si>
  <si>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</si>
  <si>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</si>
  <si>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</si>
  <si>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</si>
  <si>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</si>
  <si>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</si>
  <si>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</si>
  <si>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</si>
  <si>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</si>
  <si>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</si>
  <si>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</si>
  <si>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</si>
  <si>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</si>
  <si>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</si>
  <si>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</si>
  <si>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</si>
  <si>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</si>
  <si>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</si>
  <si>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</si>
  <si>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</si>
  <si>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</si>
  <si>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</si>
  <si>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</si>
  <si>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</si>
  <si>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</si>
  <si>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</si>
  <si>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</si>
  <si>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</si>
  <si>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</si>
  <si>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</si>
  <si>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</si>
  <si>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</si>
  <si>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</si>
  <si>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</si>
  <si>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</si>
  <si>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</si>
  <si>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</si>
  <si>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</si>
  <si>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</si>
  <si>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</si>
  <si>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</si>
  <si>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</si>
  <si>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</si>
  <si>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</si>
  <si>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</si>
  <si>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</si>
  <si>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</si>
  <si>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</si>
  <si>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</si>
  <si>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</si>
  <si>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</si>
  <si>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</si>
  <si>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</si>
  <si>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</si>
  <si>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</si>
  <si>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</si>
  <si>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</si>
  <si>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</si>
  <si>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</si>
  <si>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</si>
  <si>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</si>
  <si>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</si>
  <si>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</si>
  <si>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</si>
  <si>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</si>
  <si>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</si>
  <si>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</si>
  <si>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</si>
  <si>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</si>
  <si>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</si>
  <si>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</si>
  <si>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</si>
  <si>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</si>
  <si>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</si>
  <si>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</si>
  <si>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</si>
  <si>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</si>
  <si>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</si>
  <si>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</si>
  <si>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</si>
  <si>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</si>
  <si>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</si>
  <si>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</si>
  <si>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</si>
  <si>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</si>
  <si>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</si>
  <si>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</si>
  <si>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</si>
  <si>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</si>
  <si>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</si>
  <si>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</si>
  <si>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</si>
  <si>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</si>
  <si>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</si>
  <si>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</si>
  <si>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</si>
  <si>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</si>
  <si>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</si>
  <si>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</si>
  <si>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</si>
  <si>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</si>
  <si>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</si>
  <si>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</si>
  <si>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</si>
  <si>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</si>
  <si>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</si>
  <si>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</si>
  <si>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</si>
  <si>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</si>
  <si>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</si>
  <si>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</si>
  <si>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</si>
  <si>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</si>
  <si>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</si>
  <si>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</si>
  <si>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</si>
  <si>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</si>
  <si>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</si>
  <si>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</si>
  <si>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</si>
  <si>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</si>
  <si>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</si>
  <si>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</si>
  <si>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</si>
  <si>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</si>
  <si>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</si>
  <si>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</si>
  <si>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</si>
  <si>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</si>
  <si>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</si>
  <si>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</si>
  <si>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</si>
  <si>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</si>
  <si>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</si>
  <si>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</si>
  <si>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</si>
  <si>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</si>
  <si>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</si>
  <si>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</si>
  <si>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</si>
  <si>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</si>
  <si>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</si>
  <si>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</si>
  <si>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</si>
  <si>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</si>
  <si>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</si>
  <si>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</si>
  <si>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</si>
  <si>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</si>
  <si>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</si>
  <si>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</si>
  <si>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</si>
  <si>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</si>
  <si>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</si>
  <si>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</si>
  <si>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</si>
  <si>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</si>
  <si>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</si>
  <si>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</si>
  <si>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</si>
  <si>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</si>
  <si>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</si>
  <si>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</si>
  <si>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</si>
  <si>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</si>
  <si>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</si>
  <si>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</si>
  <si>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</si>
  <si>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</si>
  <si>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</si>
  <si>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</si>
  <si>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</si>
  <si>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</si>
  <si>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</si>
  <si>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</si>
  <si>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</si>
  <si>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</si>
  <si>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</si>
  <si>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</si>
  <si>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</si>
  <si>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</si>
  <si>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</si>
  <si>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</si>
  <si>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</si>
  <si>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</si>
  <si>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</si>
  <si>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</si>
  <si>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</si>
  <si>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</si>
  <si>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</si>
  <si>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</si>
  <si>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</si>
  <si>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</si>
  <si>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</si>
  <si>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</si>
  <si>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</si>
  <si>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</si>
  <si>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</si>
  <si>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</si>
  <si>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</si>
  <si>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</si>
  <si>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</si>
  <si>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</si>
  <si>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</si>
  <si>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</si>
  <si>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</si>
  <si>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</si>
  <si>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</si>
  <si>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</si>
  <si>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</si>
  <si>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</si>
  <si>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</si>
  <si>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</si>
  <si>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</si>
  <si>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</si>
  <si>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</si>
  <si>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</si>
  <si>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</si>
  <si>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</si>
  <si>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</si>
  <si>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</si>
  <si>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</si>
  <si>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</si>
  <si>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</si>
  <si>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</si>
  <si>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</si>
  <si>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</si>
  <si>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</si>
  <si>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</si>
  <si>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</si>
  <si>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</si>
  <si>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</si>
  <si>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</si>
  <si>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</si>
  <si>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</si>
  <si>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</si>
  <si>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</si>
  <si>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</si>
  <si>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</si>
  <si>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</si>
  <si>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</si>
  <si>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</si>
  <si>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</si>
  <si>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</si>
  <si>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</si>
  <si>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</si>
  <si>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</si>
  <si>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</si>
  <si>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</si>
  <si>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</si>
  <si>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</si>
  <si>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</si>
  <si>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</si>
  <si>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</si>
  <si>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</si>
  <si>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</si>
  <si>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</si>
  <si>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</si>
  <si>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</si>
  <si>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</si>
  <si>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</si>
  <si>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</si>
  <si>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</si>
  <si>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</si>
  <si>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</si>
  <si>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</si>
  <si>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</si>
  <si>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</si>
  <si>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</si>
  <si>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</si>
  <si>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</si>
  <si>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</si>
  <si>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</si>
  <si>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</si>
  <si>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</si>
  <si>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</si>
  <si>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</si>
  <si>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</si>
  <si>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</si>
  <si>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</si>
  <si>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</si>
  <si>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</si>
  <si>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</si>
  <si>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</si>
  <si>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</si>
  <si>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</si>
  <si>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</si>
  <si>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</si>
  <si>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</si>
  <si>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</si>
  <si>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</si>
  <si>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</si>
  <si>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</si>
  <si>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</si>
  <si>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</si>
  <si>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</si>
  <si>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</si>
  <si>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</si>
  <si>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</si>
  <si>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</si>
  <si>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</si>
  <si>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</si>
  <si>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</si>
  <si>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</si>
  <si>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</si>
  <si>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</si>
  <si>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</si>
  <si>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</si>
  <si>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</si>
  <si>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</si>
  <si>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</si>
  <si>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</si>
  <si>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</si>
  <si>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</si>
  <si>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</si>
  <si>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</si>
  <si>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</si>
  <si>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</si>
  <si>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</si>
  <si>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</si>
  <si>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</si>
  <si>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</si>
  <si>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</si>
  <si>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</si>
  <si>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</si>
  <si>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</si>
  <si>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</si>
  <si>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</si>
  <si>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</si>
  <si>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</si>
  <si>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</si>
  <si>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</si>
  <si>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</si>
  <si>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</si>
  <si>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</si>
  <si>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</si>
  <si>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</si>
  <si>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</si>
  <si>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</si>
  <si>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</si>
  <si>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</si>
  <si>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</si>
  <si>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</si>
  <si>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</si>
  <si>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</si>
  <si>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</si>
  <si>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</si>
  <si>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</si>
  <si>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</si>
  <si>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</si>
  <si>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</si>
  <si>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</si>
  <si>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</si>
  <si>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</si>
  <si>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</si>
  <si>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</si>
  <si>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</si>
  <si>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</si>
  <si>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</si>
  <si>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</si>
  <si>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</si>
  <si>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</si>
  <si>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</si>
  <si>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</si>
  <si>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</si>
  <si>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</si>
  <si>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</si>
  <si>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</si>
  <si>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</si>
  <si>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</si>
  <si>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</si>
  <si>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</si>
  <si>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</si>
  <si>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</si>
  <si>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</si>
  <si>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</si>
  <si>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</si>
  <si>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</si>
  <si>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</si>
  <si>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</si>
  <si>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</si>
  <si>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</si>
  <si>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</si>
  <si>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</si>
  <si>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</si>
  <si>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</si>
  <si>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</si>
  <si>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</si>
  <si>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</si>
  <si>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</si>
  <si>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</si>
  <si>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</si>
  <si>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</si>
  <si>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</si>
  <si>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</si>
  <si>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</si>
  <si>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</si>
  <si>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</si>
  <si>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</si>
  <si>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</si>
  <si>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</si>
  <si>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</si>
  <si>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</si>
  <si>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</si>
  <si>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</si>
  <si>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</si>
  <si>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</si>
  <si>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</si>
  <si>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</si>
  <si>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</si>
  <si>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</si>
  <si>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</si>
  <si>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</si>
  <si>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</si>
  <si>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</si>
  <si>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</si>
  <si>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</si>
  <si>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</si>
  <si>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</si>
  <si>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</si>
  <si>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</si>
  <si>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</si>
  <si>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</si>
  <si>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</si>
  <si>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</si>
  <si>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</si>
  <si>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</si>
  <si>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</si>
  <si>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</si>
  <si>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</si>
  <si>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</si>
  <si>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</si>
  <si>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</si>
  <si>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</si>
  <si>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</si>
  <si>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</si>
  <si>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</si>
  <si>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</si>
  <si>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</si>
  <si>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</si>
  <si>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</si>
  <si>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</si>
  <si>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</si>
  <si>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</si>
  <si>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</si>
  <si>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</si>
  <si>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</si>
  <si>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</si>
  <si>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</si>
  <si>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</si>
  <si>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</si>
  <si>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</si>
  <si>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</si>
  <si>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</si>
  <si>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</si>
  <si>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</si>
  <si>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</si>
  <si>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</si>
  <si>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</si>
  <si>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</si>
  <si>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</si>
  <si>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</si>
  <si>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</si>
  <si>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</si>
  <si>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</si>
  <si>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</si>
  <si>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</si>
  <si>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</si>
  <si>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</si>
  <si>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</si>
  <si>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</si>
  <si>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</si>
  <si>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</si>
  <si>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</si>
  <si>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</si>
  <si>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</si>
  <si>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</si>
  <si>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</si>
  <si>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</si>
  <si>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</si>
  <si>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</si>
  <si>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</si>
  <si>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</si>
  <si>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</si>
  <si>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</si>
  <si>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</si>
  <si>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</si>
  <si>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</si>
  <si>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</si>
  <si>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</si>
  <si>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</si>
  <si>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</si>
  <si>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</si>
  <si>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</si>
  <si>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</si>
  <si>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</si>
  <si>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</si>
  <si>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</si>
  <si>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</si>
  <si>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</si>
  <si>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</si>
  <si>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</si>
  <si>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</si>
  <si>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</si>
  <si>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</si>
  <si>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</si>
  <si>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</si>
  <si>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</si>
  <si>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</si>
  <si>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</si>
  <si>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</si>
  <si>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</si>
  <si>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</si>
  <si>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</si>
  <si>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</si>
  <si>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</si>
  <si>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</si>
  <si>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</si>
  <si>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</si>
  <si>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</si>
  <si>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</si>
  <si>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</si>
  <si>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</si>
  <si>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</si>
  <si>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</si>
  <si>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</si>
  <si>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</si>
  <si>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</si>
  <si>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</si>
  <si>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</si>
  <si>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</si>
  <si>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</si>
  <si>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</si>
  <si>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</si>
  <si>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</si>
  <si>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</si>
  <si>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</si>
  <si>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</si>
  <si>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</si>
  <si>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</si>
  <si>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</si>
  <si>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</si>
  <si>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</si>
  <si>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</si>
  <si>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</si>
  <si>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</si>
  <si>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</si>
  <si>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</si>
  <si>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</si>
  <si>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</si>
  <si>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</si>
  <si>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</si>
  <si>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</si>
  <si>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</si>
  <si>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</si>
  <si>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</si>
  <si>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</si>
  <si>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</si>
  <si>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</si>
  <si>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</si>
  <si>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</si>
  <si>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</si>
  <si>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</si>
  <si>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</si>
  <si>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</si>
  <si>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</si>
  <si>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</si>
  <si>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</si>
  <si>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</si>
  <si>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</si>
  <si>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</si>
  <si>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</si>
  <si>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</si>
  <si>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</si>
  <si>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</si>
  <si>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</si>
  <si>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</si>
  <si>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</si>
  <si>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</si>
  <si>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</si>
  <si>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</si>
  <si>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</si>
  <si>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</si>
  <si>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</si>
  <si>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</si>
  <si>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</si>
  <si>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</si>
  <si>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</si>
  <si>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</si>
  <si>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</si>
  <si>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</si>
  <si>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</si>
  <si>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</si>
  <si>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</si>
  <si>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</si>
  <si>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</si>
  <si>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</si>
  <si>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</si>
  <si>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</si>
  <si>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</si>
  <si>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</si>
  <si>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</si>
  <si>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</si>
  <si>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</si>
  <si>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</si>
  <si>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</si>
  <si>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</si>
  <si>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</si>
  <si>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</si>
  <si>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</si>
  <si>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</si>
  <si>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</si>
  <si>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</si>
  <si>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</si>
  <si>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</si>
  <si>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</si>
  <si>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</si>
  <si>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</si>
  <si>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</si>
  <si>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</si>
  <si>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</si>
  <si>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</si>
  <si>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</si>
  <si>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</si>
  <si>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</si>
  <si>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</si>
  <si>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</si>
  <si>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</si>
  <si>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</si>
  <si>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</si>
  <si>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</si>
  <si>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</si>
  <si>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</si>
  <si>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</si>
  <si>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</si>
  <si>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</si>
  <si>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</si>
  <si>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</si>
  <si>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</si>
  <si>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</si>
  <si>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</si>
  <si>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</si>
  <si>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</si>
  <si>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</si>
  <si>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</si>
  <si>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</si>
  <si>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</si>
  <si>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</si>
  <si>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</si>
  <si>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</si>
  <si>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</si>
  <si>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</si>
  <si>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</si>
  <si>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</si>
  <si>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</si>
  <si>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</si>
  <si>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</si>
  <si>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</si>
  <si>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</si>
  <si>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</si>
  <si>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</si>
  <si>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</si>
  <si>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</si>
  <si>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</si>
  <si>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</si>
  <si>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</si>
  <si>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</si>
  <si>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</si>
  <si>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</si>
  <si>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</si>
  <si>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</si>
  <si>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</si>
  <si>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</si>
  <si>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</si>
  <si>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</si>
  <si>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</si>
  <si>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</si>
  <si>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</si>
  <si>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</si>
  <si>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</si>
  <si>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</si>
  <si>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</si>
  <si>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</si>
  <si>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</si>
  <si>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</si>
  <si>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</si>
  <si>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</si>
  <si>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</si>
  <si>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</si>
  <si>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</si>
  <si>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</si>
  <si>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</si>
  <si>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</si>
  <si>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</si>
  <si>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</si>
  <si>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</si>
  <si>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</si>
  <si>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</si>
  <si>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</si>
  <si>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</si>
  <si>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</si>
  <si>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</si>
  <si>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</si>
  <si>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</si>
  <si>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</si>
  <si>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</si>
  <si>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</si>
  <si>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</si>
  <si>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</si>
  <si>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</si>
  <si>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</si>
  <si>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</si>
  <si>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</si>
  <si>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</si>
  <si>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</si>
  <si>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</si>
  <si>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</si>
  <si>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</si>
  <si>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</si>
  <si>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</si>
  <si>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</si>
  <si>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</si>
  <si>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</si>
  <si>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</si>
  <si>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</si>
  <si>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</si>
  <si>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</si>
  <si>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</si>
  <si>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</si>
  <si>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</si>
  <si>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</si>
  <si>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</si>
  <si>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</si>
  <si>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</si>
  <si>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</si>
  <si>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</si>
  <si>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</si>
  <si>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</si>
  <si>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</si>
  <si>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</si>
  <si>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</si>
  <si>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</si>
  <si>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</si>
  <si>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</si>
  <si>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</si>
  <si>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</si>
  <si>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</si>
  <si>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</si>
  <si>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</si>
  <si>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</si>
  <si>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</si>
  <si>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</si>
  <si>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</si>
  <si>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</si>
  <si>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</si>
  <si>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</si>
  <si>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</si>
  <si>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</si>
  <si>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</si>
  <si>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</si>
  <si>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</si>
  <si>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</si>
  <si>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</si>
  <si>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</si>
  <si>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</si>
  <si>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</si>
  <si>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</si>
  <si>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</si>
  <si>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</si>
  <si>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</si>
  <si>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</si>
  <si>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</si>
  <si>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</si>
  <si>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</si>
  <si>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</si>
  <si>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</si>
  <si>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</si>
  <si>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</si>
  <si>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</si>
  <si>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</si>
  <si>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</si>
  <si>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</si>
  <si>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</si>
  <si>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</si>
  <si>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</si>
  <si>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</si>
  <si>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</si>
  <si>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</si>
  <si>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</si>
  <si>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</si>
  <si>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</si>
  <si>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</si>
  <si>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</si>
  <si>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</si>
  <si>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</si>
  <si>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</si>
  <si>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</si>
  <si>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</si>
  <si>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</si>
  <si>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</si>
  <si>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</si>
  <si>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</si>
  <si>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</si>
  <si>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</si>
  <si>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</si>
  <si>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</si>
  <si>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</si>
  <si>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</si>
  <si>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</si>
  <si>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</si>
  <si>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</si>
  <si>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</si>
  <si>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</si>
  <si>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</si>
  <si>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</si>
  <si>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</si>
  <si>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</si>
  <si>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</si>
  <si>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</si>
  <si>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</si>
  <si>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</si>
  <si>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</si>
  <si>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</si>
  <si>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</si>
  <si>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</si>
  <si>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</si>
  <si>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</si>
  <si>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</si>
  <si>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</si>
  <si>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</si>
  <si>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</si>
  <si>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</si>
  <si>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</si>
  <si>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</si>
  <si>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</si>
  <si>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</si>
  <si>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</si>
  <si>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</si>
  <si>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</si>
  <si>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</si>
  <si>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</si>
  <si>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</si>
  <si>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</si>
  <si>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</si>
  <si>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</si>
  <si>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</si>
  <si>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</si>
  <si>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</si>
  <si>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</si>
  <si>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</si>
  <si>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</si>
  <si>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</si>
  <si>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</si>
  <si>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</si>
  <si>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</si>
  <si>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</si>
  <si>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</si>
  <si>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</si>
  <si>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</si>
  <si>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</si>
  <si>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</si>
  <si>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</si>
  <si>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</si>
  <si>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</si>
  <si>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</si>
  <si>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</si>
  <si>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</si>
  <si>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</si>
  <si>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</si>
  <si>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</si>
  <si>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</si>
  <si>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</si>
  <si>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</si>
  <si>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</si>
  <si>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</si>
  <si>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</si>
  <si>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</si>
  <si>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</si>
  <si>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</si>
  <si>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</si>
  <si>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</si>
  <si>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</si>
  <si>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</si>
  <si>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</si>
  <si>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</si>
  <si>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</si>
  <si>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</si>
  <si>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</si>
  <si>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</si>
  <si>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</si>
  <si>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</si>
  <si>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</si>
  <si>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</si>
  <si>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</si>
  <si>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</si>
  <si>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</si>
  <si>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</si>
  <si>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</si>
  <si>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</si>
  <si>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</si>
  <si>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</si>
  <si>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</si>
  <si>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</si>
  <si>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</si>
  <si>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</si>
  <si>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</si>
  <si>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</si>
  <si>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</si>
  <si>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</si>
  <si>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</si>
  <si>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</si>
  <si>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</si>
  <si>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</si>
  <si>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</si>
  <si>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</si>
  <si>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</si>
  <si>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</si>
  <si>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</si>
  <si>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</si>
  <si>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</si>
  <si>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</si>
  <si>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</si>
  <si>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</si>
  <si>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</si>
  <si>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</si>
  <si>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</si>
  <si>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</si>
  <si>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</si>
  <si>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</si>
  <si>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</si>
  <si>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</si>
  <si>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</si>
  <si>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</si>
  <si>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</si>
  <si>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</si>
  <si>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</si>
  <si>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</si>
  <si>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</si>
  <si>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</si>
  <si>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</si>
  <si>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</si>
  <si>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</si>
  <si>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</si>
  <si>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</si>
  <si>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</si>
  <si>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</si>
  <si>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</si>
  <si>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</si>
  <si>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</si>
  <si>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</si>
  <si>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</si>
  <si>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</si>
  <si>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</si>
  <si>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</si>
  <si>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</si>
  <si>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</si>
  <si>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</si>
  <si>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</si>
  <si>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</si>
  <si>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</si>
  <si>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</si>
  <si>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</si>
  <si>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</si>
  <si>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</si>
  <si>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</si>
  <si>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</si>
  <si>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</si>
  <si>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</si>
  <si>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</si>
  <si>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</si>
  <si>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</si>
  <si>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</si>
  <si>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</si>
  <si>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</si>
  <si>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</si>
  <si>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</si>
  <si>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</si>
  <si>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</si>
  <si>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</si>
  <si>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</si>
  <si>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</si>
  <si>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</si>
  <si>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</si>
  <si>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</si>
  <si>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</si>
  <si>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</si>
  <si>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</si>
  <si>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</si>
  <si>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</si>
  <si>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</si>
  <si>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</si>
  <si>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</si>
  <si>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</si>
  <si>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</si>
  <si>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</si>
  <si>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</si>
  <si>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</si>
  <si>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</si>
  <si>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</si>
  <si>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</si>
  <si>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</si>
  <si>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</si>
  <si>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</si>
  <si>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</si>
  <si>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</si>
  <si>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</si>
  <si>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</si>
  <si>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</si>
  <si>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</si>
  <si>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</si>
  <si>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</si>
  <si>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</si>
  <si>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</si>
  <si>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</si>
  <si>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</si>
  <si>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</si>
  <si>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</si>
  <si>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</si>
  <si>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</si>
  <si>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</si>
  <si>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</si>
  <si>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</si>
  <si>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</si>
  <si>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</si>
  <si>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</si>
  <si>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</si>
  <si>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</si>
  <si>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</si>
  <si>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</si>
  <si>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</si>
  <si>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</si>
  <si>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</si>
  <si>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</si>
  <si>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</si>
  <si>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</si>
  <si>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</si>
  <si>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</si>
  <si>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</si>
  <si>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</si>
  <si>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</si>
  <si>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</si>
  <si>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</si>
  <si>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</si>
  <si>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</si>
  <si>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</si>
  <si>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</si>
  <si>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</si>
  <si>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</si>
  <si>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</si>
  <si>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</si>
  <si>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</si>
  <si>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</si>
  <si>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</si>
  <si>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</si>
  <si>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</si>
  <si>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</si>
  <si>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</si>
  <si>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</si>
  <si>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</si>
  <si>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</si>
  <si>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</si>
  <si>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</si>
  <si>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</si>
  <si>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</si>
  <si>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</si>
  <si>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</si>
  <si>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</si>
  <si>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</si>
  <si>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</si>
  <si>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</si>
  <si>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</si>
  <si>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</si>
  <si>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</si>
  <si>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</si>
  <si>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</si>
  <si>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</si>
  <si>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</si>
  <si>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</si>
  <si>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</si>
  <si>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</si>
  <si>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</si>
  <si>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</si>
  <si>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</si>
  <si>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</si>
  <si>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</si>
  <si>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</si>
  <si>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</si>
  <si>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</si>
  <si>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</si>
  <si>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</si>
  <si>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</si>
  <si>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</si>
  <si>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</si>
  <si>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</si>
  <si>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</si>
  <si>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</si>
  <si>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</si>
  <si>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</si>
  <si>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</si>
  <si>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</si>
  <si>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</si>
  <si>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</si>
  <si>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</si>
  <si>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</si>
  <si>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</si>
  <si>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</si>
  <si>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</si>
  <si>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</si>
  <si>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</si>
  <si>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</si>
  <si>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</si>
  <si>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</si>
  <si>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</si>
  <si>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</si>
  <si>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</si>
  <si>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</si>
  <si>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</si>
  <si>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</si>
  <si>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</si>
  <si>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</si>
  <si>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</si>
  <si>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</si>
  <si>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</si>
  <si>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</si>
  <si>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</si>
  <si>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</si>
  <si>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</si>
  <si>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</si>
  <si>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</si>
  <si>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</si>
  <si>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</si>
  <si>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</si>
  <si>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</si>
  <si>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</si>
  <si>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</si>
  <si>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</si>
  <si>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</si>
  <si>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</si>
  <si>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</si>
  <si>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</si>
  <si>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</si>
  <si>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</si>
  <si>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</si>
  <si>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</si>
  <si>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</si>
  <si>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</si>
  <si>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</si>
  <si>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</si>
  <si>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</si>
  <si>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</si>
  <si>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</si>
  <si>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</si>
  <si>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</si>
  <si>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</si>
  <si>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</si>
  <si>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</si>
  <si>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</si>
  <si>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</si>
  <si>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</si>
  <si>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</si>
  <si>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</si>
  <si>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</si>
  <si>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</si>
  <si>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</si>
  <si>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</si>
  <si>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</si>
  <si>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</si>
  <si>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</si>
  <si>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</si>
  <si>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</si>
  <si>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</si>
  <si>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</si>
  <si>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</si>
  <si>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</si>
  <si>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</si>
  <si>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</si>
  <si>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</si>
  <si>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</si>
  <si>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</si>
  <si>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</si>
  <si>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</si>
  <si>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</si>
  <si>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</si>
  <si>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</si>
  <si>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</si>
  <si>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</si>
  <si>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</si>
  <si>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</si>
  <si>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</si>
  <si>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</si>
  <si>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</si>
  <si>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</si>
  <si>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</si>
  <si>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</si>
  <si>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</si>
  <si>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</si>
  <si>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</si>
  <si>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</si>
  <si>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</si>
  <si>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</si>
  <si>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</si>
  <si>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</si>
  <si>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</si>
  <si>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</si>
  <si>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</si>
  <si>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</si>
  <si>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</si>
  <si>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</si>
  <si>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</si>
  <si>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</si>
  <si>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</si>
  <si>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</si>
  <si>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</si>
  <si>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</si>
  <si>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</si>
  <si>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</si>
  <si>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</si>
  <si>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</si>
  <si>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</si>
  <si>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</si>
  <si>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</si>
  <si>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</si>
  <si>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</si>
  <si>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</si>
  <si>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</si>
  <si>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</si>
  <si>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</si>
  <si>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</si>
  <si>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</si>
  <si>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</si>
  <si>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</si>
  <si>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</si>
  <si>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</si>
  <si>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</si>
  <si>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</si>
  <si>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</si>
  <si>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</si>
  <si>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</si>
  <si>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</si>
  <si>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</si>
  <si>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</si>
  <si>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</si>
  <si>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</si>
  <si>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</si>
  <si>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</si>
  <si>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</si>
  <si>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</si>
  <si>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</si>
  <si>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</si>
  <si>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</si>
  <si>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</si>
  <si>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</si>
  <si>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</si>
  <si>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</si>
  <si>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</si>
  <si>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</si>
  <si>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</si>
  <si>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</si>
  <si>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</si>
  <si>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</si>
  <si>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</si>
  <si>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</si>
  <si>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</si>
  <si>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</si>
  <si>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</si>
  <si>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</si>
  <si>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</si>
  <si>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</si>
  <si>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</si>
  <si>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</si>
  <si>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</si>
  <si>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</si>
  <si>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</si>
  <si>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</si>
  <si>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</si>
  <si>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</si>
  <si>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</si>
  <si>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</si>
  <si>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</si>
  <si>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</si>
  <si>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</si>
  <si>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</si>
  <si>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</si>
  <si>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</si>
  <si>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</si>
  <si>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</si>
  <si>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</si>
  <si>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</si>
  <si>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</si>
  <si>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</si>
  <si>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</si>
  <si>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</si>
  <si>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</si>
  <si>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</si>
  <si>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</si>
  <si>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</si>
  <si>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</si>
  <si>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</si>
  <si>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</si>
  <si>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</si>
  <si>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</si>
  <si>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</si>
  <si>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</si>
  <si>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</si>
  <si>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</si>
  <si>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</si>
  <si>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</si>
  <si>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</si>
  <si>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</si>
  <si>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</si>
  <si>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</si>
  <si>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</si>
  <si>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</si>
  <si>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</si>
  <si>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</si>
  <si>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</si>
  <si>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</si>
  <si>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</si>
  <si>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</si>
  <si>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</si>
  <si>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</si>
  <si>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</si>
  <si>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</si>
  <si>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</si>
  <si>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</si>
  <si>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</si>
  <si>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</si>
  <si>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</si>
  <si>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</si>
  <si>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</si>
  <si>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</si>
  <si>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</si>
  <si>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</si>
  <si>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</si>
  <si>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</si>
  <si>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</si>
  <si>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</si>
  <si>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</si>
  <si>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</si>
  <si>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</si>
  <si>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</si>
  <si>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</si>
  <si>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</si>
  <si>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</si>
  <si>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</si>
  <si>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</si>
  <si>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</si>
  <si>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</si>
  <si>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</si>
  <si>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</si>
  <si>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</si>
  <si>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</si>
  <si>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</si>
  <si>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</si>
  <si>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</si>
  <si>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</si>
  <si>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</si>
  <si>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</si>
  <si>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</si>
  <si>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</si>
  <si>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</si>
  <si>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</si>
  <si>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</si>
  <si>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</si>
  <si>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</si>
  <si>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</si>
  <si>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</si>
  <si>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</si>
  <si>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</si>
  <si>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</si>
  <si>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</si>
  <si>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</si>
  <si>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</si>
  <si>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</si>
  <si>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</si>
  <si>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</si>
  <si>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</si>
  <si>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</si>
  <si>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</si>
  <si>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</si>
  <si>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</si>
  <si>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</si>
  <si>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</si>
  <si>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</si>
  <si>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</si>
  <si>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</si>
  <si>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</si>
  <si>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</si>
  <si>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</si>
  <si>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</si>
  <si>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</si>
  <si>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</si>
  <si>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</si>
  <si>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</si>
  <si>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</si>
  <si>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</si>
  <si>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</si>
  <si>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</si>
  <si>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</si>
  <si>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</si>
  <si>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</si>
  <si>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</si>
  <si>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</si>
  <si>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</si>
  <si>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</si>
  <si>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</si>
  <si>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</si>
  <si>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</si>
  <si>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</si>
  <si>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</si>
  <si>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</si>
  <si>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</si>
  <si>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</si>
  <si>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</si>
  <si>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</si>
  <si>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</si>
  <si>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</si>
  <si>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</si>
  <si>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</si>
  <si>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</si>
  <si>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</si>
  <si>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</si>
  <si>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</si>
  <si>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</si>
  <si>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</si>
  <si>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</si>
  <si>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</si>
  <si>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</si>
  <si>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</si>
  <si>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</si>
  <si>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</si>
  <si>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</si>
  <si>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</si>
  <si>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</si>
  <si>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</si>
  <si>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</si>
  <si>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</si>
  <si>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</si>
  <si>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</si>
  <si>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</si>
  <si>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</si>
  <si>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</si>
  <si>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</si>
  <si>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</si>
  <si>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</si>
  <si>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</si>
  <si>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</si>
  <si>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</si>
  <si>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</si>
  <si>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</si>
  <si>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</si>
  <si>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</si>
  <si>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</si>
  <si>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</si>
  <si>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</si>
  <si>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</si>
  <si>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</si>
  <si>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</si>
  <si>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</si>
  <si>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</si>
  <si>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</si>
  <si>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</si>
  <si>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</si>
  <si>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</si>
  <si>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</si>
  <si>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</si>
  <si>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</si>
  <si>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</si>
  <si>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</si>
  <si>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</si>
  <si>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</si>
  <si>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</si>
  <si>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</si>
  <si>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</si>
  <si>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</si>
  <si>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</si>
  <si>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</si>
  <si>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</si>
  <si>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</si>
  <si>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</si>
  <si>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</si>
  <si>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</si>
  <si>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</si>
  <si>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</si>
  <si>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</si>
  <si>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</si>
  <si>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</si>
  <si>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</si>
  <si>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</si>
  <si>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</si>
  <si>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</si>
  <si>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</si>
  <si>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</si>
  <si>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</si>
  <si>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</si>
  <si>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</si>
  <si>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</si>
  <si>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</si>
  <si>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</si>
  <si>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</si>
  <si>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</si>
  <si>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</si>
  <si>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</si>
  <si>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</si>
  <si>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</si>
  <si>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</si>
  <si>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</si>
  <si>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</si>
  <si>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</si>
  <si>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</si>
  <si>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</si>
  <si>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</si>
  <si>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</si>
  <si>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</si>
  <si>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</si>
  <si>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</si>
  <si>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</si>
  <si>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</si>
  <si>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</si>
  <si>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</si>
  <si>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</si>
  <si>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</si>
  <si>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</si>
  <si>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</si>
  <si>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</si>
  <si>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</si>
  <si>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</si>
  <si>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</si>
  <si>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</si>
  <si>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</si>
  <si>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</si>
  <si>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</si>
  <si>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</si>
  <si>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</si>
  <si>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</si>
  <si>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</si>
  <si>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</si>
  <si>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</si>
  <si>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</si>
  <si>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</si>
  <si>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</si>
  <si>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</si>
  <si>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</si>
  <si>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</si>
  <si>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</si>
  <si>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</si>
  <si>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</si>
  <si>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</si>
  <si>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</si>
  <si>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</si>
  <si>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</si>
  <si>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</si>
  <si>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</si>
  <si>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</si>
  <si>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</si>
  <si>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</si>
  <si>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</si>
  <si>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</si>
  <si>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</si>
  <si>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</si>
  <si>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</si>
  <si>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</si>
  <si>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</si>
  <si>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</si>
  <si>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</si>
  <si>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</si>
  <si>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</si>
  <si>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</si>
  <si>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</si>
  <si>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</si>
  <si>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</si>
  <si>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</si>
  <si>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</si>
  <si>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</si>
  <si>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</si>
  <si>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</si>
  <si>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</si>
  <si>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</si>
  <si>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</si>
  <si>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</si>
  <si>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</si>
  <si>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</si>
  <si>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</si>
  <si>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</si>
  <si>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</si>
  <si>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</si>
  <si>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</si>
  <si>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</si>
  <si>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</si>
  <si>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</si>
  <si>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</si>
  <si>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</si>
  <si>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</si>
  <si>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</si>
  <si>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</si>
  <si>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</si>
  <si>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</si>
  <si>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</si>
  <si>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</si>
  <si>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</si>
  <si>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</si>
  <si>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</si>
  <si>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</si>
  <si>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</si>
  <si>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</si>
  <si>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</si>
  <si>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</si>
  <si>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</si>
  <si>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</si>
  <si>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</si>
  <si>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</si>
  <si>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</si>
  <si>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</si>
  <si>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</si>
  <si>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</si>
  <si>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</si>
  <si>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</si>
  <si>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</si>
  <si>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</si>
  <si>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</si>
  <si>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</si>
  <si>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</si>
  <si>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</si>
  <si>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</si>
  <si>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</si>
  <si>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</si>
  <si>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</si>
  <si>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</si>
  <si>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</si>
  <si>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</si>
  <si>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</si>
  <si>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</si>
  <si>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</si>
  <si>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</si>
  <si>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</si>
  <si>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</si>
  <si>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</si>
  <si>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</si>
  <si>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</si>
  <si>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</si>
  <si>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</si>
  <si>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</si>
  <si>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</si>
  <si>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</si>
  <si>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</si>
  <si>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</si>
  <si>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</si>
  <si>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</si>
  <si>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</si>
  <si>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</si>
  <si>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</si>
  <si>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</si>
  <si>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</si>
  <si>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</si>
  <si>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</si>
  <si>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</si>
  <si>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</si>
  <si>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</si>
  <si>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</si>
  <si>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</si>
  <si>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</si>
  <si>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</si>
  <si>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</si>
  <si>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</si>
  <si>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</si>
  <si>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</si>
  <si>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</si>
  <si>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</si>
  <si>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</si>
  <si>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</si>
  <si>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</si>
  <si>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</si>
  <si>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</si>
  <si>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</si>
  <si>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</si>
  <si>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</si>
  <si>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</si>
  <si>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</si>
  <si>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</si>
  <si>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</si>
  <si>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</si>
  <si>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</si>
  <si>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</si>
  <si>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</si>
  <si>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</si>
  <si>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</si>
  <si>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</si>
  <si>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</si>
  <si>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</si>
  <si>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</si>
  <si>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</si>
  <si>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</si>
  <si>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</si>
  <si>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</si>
  <si>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</si>
  <si>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</si>
  <si>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</si>
  <si>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</si>
  <si>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</si>
  <si>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</si>
  <si>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</si>
  <si>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</si>
  <si>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</si>
  <si>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</si>
  <si>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</si>
  <si>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</si>
  <si>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</si>
  <si>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</si>
  <si>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</si>
  <si>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</si>
  <si>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</si>
  <si>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</si>
  <si>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</si>
  <si>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</si>
  <si>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</si>
  <si>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</si>
  <si>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</si>
  <si>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</si>
  <si>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</si>
  <si>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</si>
  <si>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</si>
  <si>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</si>
  <si>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</si>
  <si>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</si>
  <si>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</si>
  <si>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</si>
  <si>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</si>
  <si>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</si>
  <si>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</si>
  <si>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</si>
  <si>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</si>
  <si>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</si>
  <si>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</si>
  <si>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</si>
  <si>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</si>
  <si>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</si>
  <si>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</si>
  <si>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</si>
  <si>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</si>
  <si>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</si>
  <si>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</si>
  <si>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</si>
  <si>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</si>
  <si>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</si>
  <si>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</si>
  <si>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</si>
  <si>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</si>
  <si>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</si>
  <si>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</si>
  <si>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</si>
  <si>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</si>
  <si>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</si>
  <si>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</si>
  <si>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</si>
  <si>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</si>
  <si>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</si>
  <si>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</si>
  <si>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</si>
  <si>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</si>
  <si>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</si>
  <si>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</si>
  <si>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</si>
  <si>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</si>
  <si>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</si>
  <si>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</si>
  <si>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</si>
  <si>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</si>
  <si>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</si>
  <si>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</si>
  <si>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</si>
  <si>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</si>
  <si>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</si>
  <si>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</si>
  <si>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</si>
  <si>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</si>
  <si>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</si>
  <si>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</si>
  <si>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</si>
  <si>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</si>
  <si>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</si>
  <si>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</si>
  <si>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</si>
  <si>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</si>
  <si>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</si>
  <si>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</si>
  <si>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</si>
  <si>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</si>
  <si>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</si>
  <si>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</si>
  <si>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</si>
  <si>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</si>
  <si>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</si>
  <si>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</si>
  <si>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</si>
  <si>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</si>
  <si>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</si>
  <si>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</si>
  <si>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</si>
  <si>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</si>
  <si>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</si>
  <si>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</si>
  <si>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</si>
  <si>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</si>
  <si>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</si>
  <si>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</si>
  <si>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</si>
  <si>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</si>
  <si>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</si>
  <si>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</si>
  <si>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</si>
  <si>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</si>
  <si>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</si>
  <si>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</si>
  <si>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</si>
  <si>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</si>
  <si>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</si>
  <si>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</si>
  <si>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</si>
  <si>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</si>
  <si>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</si>
  <si>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</si>
  <si>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</si>
  <si>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</si>
  <si>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</si>
  <si>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</si>
  <si>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</si>
  <si>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</si>
  <si>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</si>
  <si>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</si>
  <si>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</si>
  <si>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</si>
  <si>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</si>
  <si>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</si>
  <si>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</si>
  <si>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</si>
  <si>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</si>
  <si>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</si>
  <si>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</si>
  <si>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</si>
  <si>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</si>
  <si>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</si>
  <si>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</si>
  <si>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</si>
  <si>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</si>
  <si>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</si>
  <si>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</si>
  <si>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</si>
  <si>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</si>
  <si>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</si>
  <si>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</si>
  <si>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</si>
  <si>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</si>
  <si>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</si>
  <si>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</si>
  <si>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</si>
  <si>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</si>
  <si>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</si>
  <si>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</si>
  <si>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</si>
  <si>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</si>
  <si>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</si>
  <si>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</si>
  <si>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</si>
  <si>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</si>
  <si>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</si>
  <si>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</si>
  <si>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</si>
  <si>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</si>
  <si>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</si>
  <si>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</si>
  <si>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</si>
  <si>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</si>
  <si>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</si>
  <si>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</si>
  <si>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</si>
  <si>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</si>
  <si>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</si>
  <si>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</si>
  <si>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</si>
  <si>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</si>
  <si>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</si>
  <si>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</si>
  <si>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</si>
  <si>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</si>
  <si>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</si>
  <si>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</si>
  <si>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</si>
  <si>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</si>
  <si>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</si>
  <si>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</si>
  <si>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</si>
  <si>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</si>
  <si>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</si>
  <si>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</si>
  <si>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</si>
  <si>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</si>
  <si>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</si>
  <si>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</si>
  <si>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</si>
  <si>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</si>
  <si>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</si>
  <si>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</si>
  <si>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</si>
  <si>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</si>
  <si>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</si>
  <si>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</si>
  <si>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</si>
  <si>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</si>
  <si>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</si>
  <si>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</si>
  <si>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</si>
  <si>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</si>
  <si>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</si>
  <si>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</si>
  <si>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</si>
  <si>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</si>
  <si>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</si>
  <si>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</si>
  <si>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</si>
  <si>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</si>
  <si>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</si>
  <si>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</si>
  <si>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</si>
  <si>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</si>
  <si>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</si>
  <si>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</si>
  <si>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</si>
  <si>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</si>
  <si>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</si>
  <si>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</si>
  <si>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</si>
  <si>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</si>
  <si>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</si>
  <si>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</si>
  <si>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</si>
  <si>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</si>
  <si>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</si>
  <si>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</si>
  <si>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</si>
  <si>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</si>
  <si>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</si>
  <si>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</si>
  <si>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</si>
  <si>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</si>
  <si>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</si>
  <si>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</si>
  <si>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</si>
  <si>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</si>
  <si>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</si>
  <si>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</si>
  <si>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</si>
  <si>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</si>
  <si>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</si>
  <si>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</si>
  <si>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</si>
  <si>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</si>
  <si>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</si>
  <si>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</si>
  <si>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</si>
  <si>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</si>
  <si>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</si>
  <si>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</si>
  <si>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</si>
  <si>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</si>
  <si>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</si>
  <si>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</si>
  <si>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</si>
  <si>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</si>
  <si>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</si>
  <si>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</si>
  <si>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</si>
  <si>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</si>
  <si>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</si>
  <si>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</si>
  <si>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</si>
  <si>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</si>
  <si>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</si>
  <si>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</si>
  <si>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</si>
  <si>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</si>
  <si>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</si>
  <si>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</si>
  <si>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</si>
  <si>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</si>
  <si>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</si>
  <si>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</si>
  <si>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</si>
  <si>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</si>
  <si>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</si>
  <si>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</si>
  <si>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</si>
  <si>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</si>
  <si>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</si>
  <si>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</si>
  <si>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</si>
  <si>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</si>
  <si>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</si>
  <si>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</si>
  <si>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</si>
  <si>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</si>
  <si>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</si>
  <si>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</si>
  <si>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</si>
  <si>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</si>
  <si>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</si>
  <si>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</si>
  <si>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</si>
  <si>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</si>
  <si>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</si>
  <si>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</si>
  <si>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</si>
  <si>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</si>
  <si>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</si>
  <si>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</si>
  <si>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</si>
  <si>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</si>
  <si>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</si>
  <si>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</si>
  <si>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</si>
  <si>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</si>
  <si>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</si>
  <si>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</si>
  <si>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</si>
  <si>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</si>
  <si>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</si>
  <si>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</si>
  <si>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</si>
  <si>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</si>
  <si>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</si>
  <si>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</si>
  <si>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</si>
  <si>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</si>
  <si>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</si>
  <si>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</si>
  <si>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</si>
  <si>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</si>
  <si>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</si>
  <si>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</si>
  <si>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</si>
  <si>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</si>
  <si>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</si>
  <si>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</si>
  <si>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</si>
  <si>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</si>
  <si>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</si>
  <si>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</si>
  <si>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</si>
  <si>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</si>
  <si>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</si>
  <si>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</si>
  <si>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</si>
  <si>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</si>
  <si>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</si>
  <si>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</si>
  <si>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</si>
  <si>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</si>
  <si>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</si>
  <si>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</si>
  <si>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</si>
  <si>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</si>
  <si>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</si>
  <si>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</si>
  <si>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</si>
  <si>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</si>
  <si>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</si>
  <si>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</si>
  <si>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</si>
  <si>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</si>
  <si>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</si>
  <si>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</si>
  <si>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</si>
  <si>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</si>
  <si>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</si>
  <si>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</si>
  <si>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</si>
  <si>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</si>
  <si>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</si>
  <si>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</si>
  <si>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</si>
  <si>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</si>
  <si>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</si>
  <si>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</si>
  <si>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</si>
  <si>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</si>
  <si>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</si>
  <si>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</si>
  <si>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</si>
  <si>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</si>
  <si>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</si>
  <si>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</si>
  <si>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</si>
  <si>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</si>
  <si>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</si>
  <si>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</si>
  <si>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</si>
  <si>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</si>
  <si>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</si>
  <si>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</si>
  <si>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</si>
  <si>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</si>
  <si>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</si>
  <si>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</si>
  <si>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</si>
  <si>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</si>
  <si>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</si>
  <si>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</si>
  <si>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</si>
  <si>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</si>
  <si>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</si>
  <si>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</si>
  <si>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</si>
  <si>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</si>
  <si>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</si>
  <si>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</si>
  <si>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</si>
  <si>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</si>
  <si>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</si>
  <si>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</si>
  <si>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</si>
  <si>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</si>
  <si>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</si>
  <si>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</si>
  <si>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</si>
  <si>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</si>
  <si>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</si>
  <si>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</si>
  <si>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</si>
  <si>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</si>
  <si>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</si>
  <si>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</si>
  <si>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</si>
  <si>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</si>
  <si>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</si>
  <si>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</si>
  <si>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</si>
  <si>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</si>
  <si>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</si>
  <si>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</si>
  <si>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</si>
  <si>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</si>
  <si>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</si>
  <si>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</si>
  <si>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</si>
  <si>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</si>
  <si>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</si>
  <si>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</si>
  <si>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</si>
  <si>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</si>
  <si>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</si>
  <si>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</si>
  <si>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</si>
  <si>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</si>
  <si>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</si>
  <si>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</si>
  <si>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</si>
  <si>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</si>
  <si>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</si>
  <si>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</si>
  <si>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</si>
  <si>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</si>
  <si>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</si>
  <si>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</si>
  <si>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</si>
  <si>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</si>
  <si>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</si>
  <si>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</si>
  <si>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</si>
  <si>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</si>
  <si>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</si>
  <si>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</si>
  <si>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</si>
  <si>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</si>
  <si>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</si>
  <si>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</si>
  <si>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</si>
  <si>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</si>
  <si>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</si>
  <si>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</si>
  <si>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</si>
  <si>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</si>
  <si>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</si>
  <si>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</si>
  <si>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</si>
  <si>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</si>
  <si>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</si>
  <si>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</si>
  <si>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</si>
  <si>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</si>
  <si>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</si>
  <si>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</si>
  <si>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</si>
  <si>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</si>
  <si>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</si>
  <si>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</si>
  <si>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</si>
  <si>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</si>
  <si>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</si>
  <si>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</si>
  <si>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</si>
  <si>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</si>
  <si>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</si>
  <si>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</si>
  <si>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</si>
  <si>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</si>
  <si>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</si>
  <si>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</si>
  <si>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</si>
  <si>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</si>
  <si>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</si>
  <si>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</si>
  <si>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</si>
  <si>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</si>
  <si>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</si>
  <si>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</si>
  <si>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</si>
  <si>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</si>
  <si>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</si>
  <si>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</si>
  <si>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</si>
  <si>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</si>
  <si>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</si>
  <si>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</si>
  <si>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</si>
  <si>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</si>
  <si>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</si>
  <si>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</si>
  <si>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</si>
  <si>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</si>
  <si>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</si>
  <si>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</si>
  <si>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</si>
  <si>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</si>
  <si>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</si>
  <si>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</si>
  <si>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</si>
  <si>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</si>
  <si>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</si>
  <si>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</si>
  <si>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</si>
  <si>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</si>
  <si>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</si>
  <si>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</si>
  <si>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</si>
  <si>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</si>
  <si>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</si>
  <si>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</si>
  <si>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</si>
  <si>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</si>
  <si>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</si>
  <si>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</si>
  <si>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</si>
  <si>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</si>
  <si>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</si>
  <si>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</si>
  <si>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</si>
  <si>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</si>
  <si>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</si>
  <si>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</si>
  <si>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</si>
  <si>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</si>
  <si>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</si>
  <si>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</si>
  <si>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</si>
  <si>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</si>
  <si>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</si>
  <si>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</si>
  <si>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</si>
  <si>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</si>
  <si>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</si>
  <si>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</si>
  <si>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</si>
  <si>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</si>
  <si>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</si>
  <si>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</si>
  <si>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</si>
  <si>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</si>
  <si>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</si>
  <si>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</si>
  <si>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</si>
  <si>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</si>
  <si>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</si>
  <si>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</si>
  <si>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</si>
  <si>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</si>
  <si>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</si>
  <si>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</si>
  <si>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</si>
  <si>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</si>
  <si>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</si>
  <si>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</si>
  <si>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</si>
  <si>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</si>
  <si>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</si>
  <si>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</si>
  <si>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</si>
  <si>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</si>
  <si>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</si>
  <si>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</si>
  <si>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</si>
  <si>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</si>
  <si>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</si>
  <si>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</si>
  <si>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</si>
  <si>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</si>
  <si>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</si>
  <si>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</si>
  <si>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</si>
  <si>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</si>
  <si>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</si>
  <si>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</si>
  <si>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</si>
  <si>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</si>
  <si>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</si>
  <si>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</si>
  <si>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</si>
  <si>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</si>
  <si>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</si>
  <si>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</si>
  <si>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</si>
  <si>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</si>
  <si>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</si>
  <si>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</si>
  <si>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</si>
  <si>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</si>
  <si>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</si>
  <si>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</si>
  <si>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</si>
  <si>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</si>
  <si>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</si>
  <si>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</si>
  <si>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</si>
  <si>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</si>
  <si>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</si>
  <si>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</si>
  <si>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</si>
  <si>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</si>
  <si>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</si>
  <si>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</si>
  <si>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</si>
  <si>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</si>
  <si>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</si>
  <si>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</si>
  <si>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</si>
  <si>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</si>
  <si>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</si>
  <si>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</si>
  <si>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</si>
  <si>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</si>
  <si>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</si>
  <si>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</si>
  <si>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</si>
  <si>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</si>
  <si>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</si>
  <si>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</si>
  <si>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</si>
  <si>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</si>
  <si>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</si>
  <si>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</si>
  <si>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</si>
  <si>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</si>
  <si>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</si>
  <si>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</si>
  <si>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</si>
  <si>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</si>
  <si>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</si>
  <si>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</si>
  <si>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</si>
  <si>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</si>
  <si>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</si>
  <si>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</si>
  <si>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</si>
  <si>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</si>
  <si>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</si>
  <si>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</si>
  <si>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</si>
  <si>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</si>
  <si>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</si>
  <si>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</si>
  <si>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</si>
  <si>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</si>
  <si>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</si>
  <si>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</si>
  <si>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</si>
  <si>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</si>
  <si>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</si>
  <si>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</si>
  <si>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</si>
  <si>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</si>
  <si>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</si>
  <si>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</si>
  <si>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</si>
  <si>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</si>
  <si>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</si>
  <si>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</si>
  <si>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</si>
  <si>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</si>
  <si>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</si>
  <si>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</si>
  <si>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</si>
  <si>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</si>
  <si>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</si>
  <si>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</si>
  <si>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</si>
  <si>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</si>
  <si>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</si>
  <si>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</si>
  <si>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</si>
  <si>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</si>
  <si>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</si>
  <si>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</si>
  <si>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</si>
  <si>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</si>
  <si>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</si>
  <si>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</si>
  <si>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</si>
  <si>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</si>
  <si>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</si>
  <si>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</si>
  <si>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</si>
  <si>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</si>
  <si>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</si>
  <si>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</si>
  <si>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</si>
  <si>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</si>
  <si>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</si>
  <si>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</si>
  <si>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</si>
  <si>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</si>
  <si>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</si>
  <si>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</si>
  <si>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</si>
  <si>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</si>
  <si>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</si>
  <si>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</si>
  <si>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</si>
  <si>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</si>
  <si>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</si>
  <si>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</si>
  <si>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</si>
  <si>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</si>
  <si>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</si>
  <si>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</si>
  <si>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</si>
  <si>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</si>
  <si>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</si>
  <si>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</si>
  <si>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</si>
  <si>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</si>
  <si>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</si>
  <si>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</si>
  <si>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</si>
  <si>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</si>
  <si>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</si>
  <si>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</si>
  <si>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</si>
  <si>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</si>
  <si>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</si>
  <si>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</si>
  <si>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</si>
  <si>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</si>
  <si>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</si>
  <si>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</si>
  <si>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</si>
  <si>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</si>
  <si>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</si>
  <si>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</si>
  <si>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</si>
  <si>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</si>
  <si>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</si>
  <si>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</si>
  <si>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</si>
  <si>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</si>
  <si>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</si>
  <si>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</si>
  <si>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</si>
  <si>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</si>
  <si>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</si>
  <si>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</si>
  <si>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</si>
  <si>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</si>
  <si>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</si>
  <si>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</si>
  <si>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</si>
  <si>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</si>
  <si>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</si>
  <si>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</si>
  <si>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</si>
  <si>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</si>
  <si>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</si>
  <si>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</si>
  <si>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</si>
  <si>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</si>
  <si>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</si>
  <si>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</si>
  <si>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</si>
  <si>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</si>
  <si>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</si>
  <si>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</si>
  <si>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</si>
  <si>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</si>
  <si>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</si>
  <si>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</si>
  <si>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</si>
  <si>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</si>
  <si>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</si>
  <si>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</si>
  <si>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</si>
  <si>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</si>
  <si>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</si>
  <si>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</si>
  <si>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</si>
  <si>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</si>
  <si>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</si>
  <si>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</si>
  <si>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</si>
  <si>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</si>
  <si>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</si>
  <si>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</si>
  <si>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</si>
  <si>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</si>
  <si>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</si>
  <si>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</si>
  <si>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</si>
  <si>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</si>
  <si>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</si>
  <si>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</si>
  <si>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</si>
  <si>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</si>
  <si>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</si>
  <si>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</si>
  <si>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</si>
  <si>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</si>
  <si>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</si>
  <si>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</si>
  <si>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</si>
  <si>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</si>
  <si>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</si>
  <si>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</si>
  <si>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</si>
  <si>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</si>
  <si>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</si>
  <si>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</si>
  <si>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</si>
  <si>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</si>
  <si>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</si>
  <si>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</si>
  <si>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</si>
  <si>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</si>
  <si>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</si>
  <si>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</si>
  <si>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</si>
  <si>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</si>
  <si>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</si>
  <si>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</si>
  <si>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</si>
  <si>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</si>
  <si>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</si>
  <si>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</si>
  <si>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</si>
  <si>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</si>
  <si>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</si>
  <si>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</si>
  <si>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</si>
  <si>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</si>
  <si>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</si>
  <si>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</si>
  <si>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</si>
  <si>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</si>
  <si>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</si>
  <si>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</si>
  <si>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</si>
  <si>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</si>
  <si>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</si>
  <si>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</si>
  <si>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</si>
  <si>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</si>
  <si>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</si>
  <si>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</si>
  <si>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</si>
  <si>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</si>
  <si>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</si>
  <si>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</si>
  <si>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</si>
  <si>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</si>
  <si>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</si>
  <si>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</si>
  <si>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</si>
  <si>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</si>
  <si>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</si>
  <si>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</si>
  <si>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</si>
  <si>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</si>
  <si>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</si>
  <si>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</si>
  <si>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</si>
  <si>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</si>
  <si>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</si>
  <si>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</si>
  <si>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</si>
  <si>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</si>
  <si>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</si>
  <si>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</si>
  <si>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</si>
  <si>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</si>
  <si>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</si>
  <si>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</si>
  <si>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</si>
  <si>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</si>
  <si>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</si>
  <si>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</si>
  <si>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</si>
  <si>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</si>
  <si>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</si>
  <si>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</si>
  <si>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</si>
  <si>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</si>
  <si>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</si>
  <si>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</si>
  <si>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</si>
  <si>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</si>
  <si>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</si>
  <si>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</si>
  <si>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</si>
  <si>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</si>
  <si>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</si>
  <si>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</si>
  <si>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</si>
  <si>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</si>
  <si>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</si>
  <si>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</si>
  <si>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</si>
  <si>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</si>
  <si>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</si>
  <si>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</si>
  <si>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</si>
  <si>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</si>
  <si>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</si>
  <si>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</si>
  <si>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</si>
  <si>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</si>
  <si>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</si>
  <si>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</si>
  <si>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</si>
  <si>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</si>
  <si>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</si>
  <si>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</si>
  <si>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</si>
  <si>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</si>
  <si>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</si>
  <si>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</si>
  <si>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</si>
  <si>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</si>
  <si>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</si>
  <si>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</si>
  <si>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</si>
  <si>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</si>
  <si>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</si>
  <si>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</si>
  <si>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</si>
  <si>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</si>
  <si>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</si>
  <si>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</si>
  <si>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</si>
  <si>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</si>
  <si>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</si>
  <si>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</si>
  <si>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</si>
  <si>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</si>
  <si>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</si>
  <si>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</si>
  <si>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</si>
  <si>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</si>
  <si>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</si>
  <si>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</si>
  <si>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</si>
  <si>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</si>
  <si>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</si>
  <si>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</si>
  <si>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</si>
  <si>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</si>
  <si>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</si>
  <si>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</si>
  <si>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</si>
  <si>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</si>
  <si>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</si>
  <si>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</si>
  <si>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</si>
  <si>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</si>
  <si>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</si>
  <si>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</si>
  <si>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</si>
  <si>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</si>
  <si>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</si>
  <si>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</si>
  <si>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</si>
  <si>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</si>
  <si>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</si>
  <si>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</si>
  <si>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</si>
  <si>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</si>
  <si>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</si>
  <si>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</si>
  <si>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</si>
  <si>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</si>
  <si>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</si>
  <si>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</si>
  <si>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</si>
  <si>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</si>
  <si>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</si>
  <si>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</si>
  <si>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</si>
  <si>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</si>
  <si>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</si>
  <si>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</si>
  <si>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</si>
  <si>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</si>
  <si>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</si>
  <si>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</si>
  <si>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</si>
  <si>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</si>
  <si>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</si>
  <si>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</si>
  <si>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</si>
  <si>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</si>
  <si>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</si>
  <si>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</si>
  <si>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</si>
  <si>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</si>
  <si>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</si>
  <si>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</si>
  <si>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</si>
  <si>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</si>
  <si>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</si>
  <si>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</si>
  <si>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</si>
  <si>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</si>
  <si>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</si>
  <si>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</si>
  <si>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</si>
  <si>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</si>
  <si>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</si>
  <si>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</si>
  <si>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</si>
  <si>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</si>
  <si>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</si>
  <si>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</si>
  <si>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</si>
  <si>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</si>
  <si>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</si>
  <si>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</si>
  <si>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</si>
  <si>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</si>
  <si>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</si>
  <si>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</si>
  <si>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</si>
  <si>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</si>
  <si>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</si>
  <si>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</si>
  <si>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</si>
  <si>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</si>
  <si>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</si>
  <si>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</si>
  <si>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</si>
  <si>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</si>
  <si>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</si>
  <si>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</si>
  <si>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</si>
  <si>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</si>
  <si>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</si>
  <si>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</si>
  <si>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</si>
  <si>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</si>
  <si>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</si>
  <si>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</si>
  <si>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</si>
  <si>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</si>
  <si>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</si>
  <si>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</si>
  <si>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</si>
  <si>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</si>
  <si>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</si>
  <si>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</si>
  <si>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</si>
  <si>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</si>
  <si>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</si>
  <si>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</si>
  <si>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</si>
  <si>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</si>
  <si>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</si>
  <si>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</si>
  <si>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</si>
  <si>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</si>
  <si>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</si>
  <si>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</si>
  <si>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</si>
  <si>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</si>
  <si>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</si>
  <si>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</si>
  <si>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</si>
  <si>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</si>
  <si>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</si>
  <si>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</si>
  <si>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</si>
  <si>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</si>
  <si>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</si>
  <si>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</si>
  <si>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</si>
  <si>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</si>
  <si>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</si>
  <si>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</si>
  <si>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</si>
  <si>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</si>
  <si>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</si>
  <si>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</si>
  <si>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</si>
  <si>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</si>
  <si>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</si>
  <si>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</si>
  <si>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</si>
  <si>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</si>
  <si>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</si>
  <si>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</si>
  <si>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</si>
  <si>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</si>
  <si>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</si>
  <si>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</si>
  <si>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</si>
  <si>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</si>
  <si>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</si>
  <si>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</si>
  <si>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</si>
  <si>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</si>
  <si>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</si>
  <si>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</si>
  <si>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</si>
  <si>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</si>
  <si>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</si>
  <si>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</si>
  <si>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</si>
  <si>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</si>
  <si>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</si>
  <si>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</si>
  <si>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</si>
  <si>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</si>
  <si>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</si>
  <si>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</si>
  <si>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</si>
  <si>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</si>
  <si>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</si>
  <si>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</si>
  <si>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</si>
  <si>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</si>
  <si>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</si>
  <si>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</si>
  <si>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</si>
  <si>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</si>
  <si>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</si>
  <si>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</si>
  <si>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</si>
  <si>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</si>
  <si>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</si>
  <si>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</si>
  <si>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</si>
  <si>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</si>
  <si>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</si>
  <si>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</si>
  <si>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</si>
  <si>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</si>
  <si>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</si>
  <si>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</si>
  <si>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</si>
  <si>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</si>
  <si>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</si>
  <si>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</si>
  <si>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</si>
  <si>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</si>
  <si>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</si>
  <si>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</si>
  <si>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</si>
  <si>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</si>
  <si>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</si>
  <si>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</si>
  <si>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</si>
  <si>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</si>
  <si>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</si>
  <si>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</si>
  <si>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</si>
  <si>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</si>
  <si>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</si>
  <si>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</si>
  <si>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</si>
  <si>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</si>
  <si>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</si>
  <si>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</si>
  <si>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</si>
  <si>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</si>
  <si>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</si>
  <si>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</si>
  <si>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</si>
  <si>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</si>
  <si>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</si>
  <si>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</si>
  <si>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</si>
  <si>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</si>
  <si>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</si>
  <si>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</si>
  <si>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</si>
  <si>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</si>
  <si>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</si>
  <si>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</si>
  <si>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</si>
  <si>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</si>
  <si>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</si>
  <si>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</si>
  <si>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</si>
  <si>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</si>
  <si>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</si>
  <si>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</si>
  <si>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</si>
  <si>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</si>
  <si>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</si>
  <si>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</si>
  <si>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</si>
  <si>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</si>
  <si>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</si>
  <si>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</si>
  <si>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</si>
  <si>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</si>
  <si>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</si>
  <si>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</si>
  <si>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</si>
  <si>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</si>
  <si>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</si>
  <si>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</si>
  <si>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</si>
  <si>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</si>
  <si>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</si>
  <si>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</si>
  <si>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</si>
  <si>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</si>
  <si>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</si>
  <si>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</si>
  <si>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</si>
  <si>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</si>
  <si>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</si>
  <si>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</si>
  <si>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</si>
  <si>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</si>
  <si>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</si>
  <si>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</si>
  <si>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</si>
  <si>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</si>
  <si>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</si>
  <si>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</si>
  <si>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</si>
  <si>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</si>
  <si>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</si>
  <si>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</si>
  <si>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</si>
  <si>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</si>
  <si>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</si>
  <si>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</si>
  <si>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</si>
  <si>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</si>
  <si>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</si>
  <si>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</si>
  <si>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</si>
  <si>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</si>
  <si>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</si>
  <si>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</si>
  <si>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</si>
  <si>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</si>
  <si>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</si>
  <si>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</si>
  <si>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</si>
  <si>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</si>
  <si>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</si>
  <si>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</si>
  <si>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</si>
  <si>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</si>
  <si>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</si>
  <si>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</si>
  <si>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</si>
  <si>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</si>
  <si>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</si>
  <si>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</si>
  <si>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</si>
  <si>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</si>
  <si>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</si>
  <si>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</si>
  <si>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</si>
  <si>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</si>
  <si>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</si>
  <si>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</si>
  <si>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</si>
  <si>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</si>
  <si>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</si>
  <si>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</si>
  <si>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</si>
  <si>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</si>
  <si>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</si>
  <si>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</si>
  <si>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</si>
  <si>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</si>
  <si>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</si>
  <si>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</si>
  <si>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</si>
  <si>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</si>
  <si>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</si>
  <si>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</si>
  <si>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</si>
  <si>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</si>
  <si>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</si>
  <si>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</si>
  <si>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</si>
  <si>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</si>
  <si>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</si>
  <si>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</si>
  <si>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</si>
  <si>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</si>
  <si>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</si>
  <si>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</si>
  <si>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</si>
  <si>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</si>
  <si>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</si>
  <si>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</si>
  <si>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</si>
  <si>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</si>
  <si>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</si>
  <si>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</si>
  <si>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</si>
  <si>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</si>
  <si>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</si>
  <si>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</si>
  <si>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</si>
  <si>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</si>
  <si>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</si>
  <si>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</si>
  <si>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</si>
  <si>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</si>
  <si>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</si>
  <si>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</si>
  <si>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</si>
  <si>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</si>
  <si>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</si>
  <si>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</si>
  <si>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</si>
  <si>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</si>
  <si>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</si>
  <si>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</si>
  <si>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</si>
  <si>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</si>
  <si>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</si>
  <si>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</si>
  <si>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</si>
  <si>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</si>
  <si>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</si>
  <si>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</si>
  <si>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</si>
  <si>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</si>
  <si>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</si>
  <si>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</si>
  <si>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</si>
  <si>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</si>
  <si>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</si>
  <si>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</si>
  <si>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</si>
  <si>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</si>
  <si>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</si>
  <si>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</si>
  <si>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</si>
  <si>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</si>
  <si>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</si>
  <si>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</si>
  <si>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</si>
  <si>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</si>
  <si>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</si>
  <si>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</si>
  <si>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</si>
  <si>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</si>
  <si>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</si>
  <si>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</si>
  <si>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</si>
  <si>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</si>
  <si>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</si>
  <si>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</si>
  <si>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</si>
  <si>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</si>
  <si>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</si>
  <si>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</si>
  <si>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</si>
  <si>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</si>
  <si>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</si>
  <si>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</si>
  <si>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</si>
  <si>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</si>
  <si>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</si>
  <si>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</si>
  <si>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</si>
  <si>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</si>
  <si>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</si>
  <si>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</si>
  <si>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</si>
  <si>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</si>
  <si>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</si>
  <si>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</si>
  <si>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</si>
  <si>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</si>
  <si>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</si>
  <si>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</si>
  <si>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</si>
  <si>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</si>
  <si>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</si>
  <si>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</si>
  <si>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</si>
  <si>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</si>
  <si>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</si>
  <si>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</si>
  <si>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</si>
  <si>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</si>
  <si>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</si>
  <si>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</si>
  <si>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</si>
  <si>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</si>
  <si>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</si>
  <si>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</si>
  <si>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</si>
  <si>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</si>
  <si>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</si>
  <si>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</si>
  <si>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</si>
  <si>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</si>
  <si>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</si>
  <si>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</si>
  <si>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</si>
  <si>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</si>
  <si>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</si>
  <si>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</si>
  <si>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</si>
  <si>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</si>
  <si>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</si>
  <si>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</si>
  <si>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</si>
  <si>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</si>
  <si>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</si>
  <si>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</si>
  <si>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</si>
  <si>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</si>
  <si>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</si>
  <si>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</si>
  <si>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</si>
  <si>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</si>
  <si>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</si>
  <si>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</si>
  <si>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</si>
  <si>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</si>
  <si>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</si>
  <si>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</si>
  <si>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</si>
  <si>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</si>
  <si>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</si>
  <si>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</si>
  <si>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</si>
  <si>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</si>
  <si>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</si>
  <si>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</si>
  <si>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</si>
  <si>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</si>
  <si>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</si>
  <si>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</si>
  <si>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</si>
  <si>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</si>
  <si>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</si>
  <si>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</si>
  <si>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</si>
  <si>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</si>
  <si>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</si>
  <si>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</si>
  <si>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</si>
  <si>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</si>
  <si>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</si>
  <si>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</si>
  <si>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</si>
  <si>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</si>
  <si>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</si>
  <si>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</si>
  <si>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</si>
  <si>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</si>
  <si>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</si>
  <si>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</si>
  <si>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</si>
  <si>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</si>
  <si>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</si>
  <si>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</si>
  <si>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</si>
  <si>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</si>
  <si>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</si>
  <si>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</si>
  <si>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</si>
  <si>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</si>
  <si>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</si>
  <si>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</si>
  <si>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</si>
  <si>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</si>
  <si>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</si>
  <si>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</si>
  <si>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</si>
  <si>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</si>
  <si>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</si>
  <si>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</si>
  <si>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</si>
  <si>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</si>
  <si>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</si>
  <si>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</si>
  <si>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</si>
  <si>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</si>
  <si>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</si>
  <si>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</si>
  <si>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</si>
  <si>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</si>
  <si>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</si>
  <si>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</si>
  <si>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</si>
  <si>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</si>
  <si>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</si>
  <si>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</si>
  <si>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</si>
  <si>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</si>
  <si>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</si>
  <si>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</si>
  <si>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</si>
  <si>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</si>
  <si>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</si>
  <si>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</si>
  <si>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</si>
  <si>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</si>
  <si>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</si>
  <si>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</si>
  <si>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</si>
  <si>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</si>
  <si>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</si>
  <si>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</si>
  <si>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</si>
  <si>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</si>
  <si>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</si>
  <si>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</si>
  <si>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</si>
  <si>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</si>
  <si>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</si>
  <si>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</si>
  <si>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</si>
  <si>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</si>
  <si>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</si>
  <si>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</si>
  <si>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</si>
  <si>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</si>
  <si>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</si>
  <si>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</si>
  <si>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</si>
  <si>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</si>
  <si>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</si>
  <si>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</si>
  <si>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</si>
  <si>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</si>
  <si>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</si>
  <si>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</si>
  <si>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</si>
  <si>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</si>
  <si>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</si>
  <si>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</si>
  <si>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</si>
  <si>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</si>
  <si>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</si>
  <si>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</si>
  <si>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</si>
  <si>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</si>
  <si>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</si>
  <si>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</si>
  <si>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</si>
  <si>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</si>
  <si>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</si>
  <si>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</si>
  <si>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</si>
  <si>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</si>
  <si>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</si>
  <si>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</si>
  <si>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</si>
  <si>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</si>
  <si>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</si>
  <si>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</si>
  <si>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</si>
  <si>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</si>
  <si>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</si>
  <si>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</si>
  <si>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</si>
  <si>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</si>
  <si>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</si>
  <si>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</si>
  <si>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</si>
  <si>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</si>
  <si>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</si>
  <si>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</si>
  <si>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</si>
  <si>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</si>
  <si>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</si>
  <si>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</si>
  <si>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</si>
  <si>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</si>
  <si>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</si>
  <si>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</si>
  <si>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</si>
  <si>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</si>
  <si>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</si>
  <si>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</si>
  <si>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</si>
  <si>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</si>
  <si>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</si>
  <si>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</si>
  <si>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</si>
  <si>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</si>
  <si>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</si>
  <si>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</si>
  <si>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</si>
  <si>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</si>
  <si>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</si>
  <si>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</si>
  <si>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</si>
  <si>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</si>
  <si>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</si>
  <si>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</si>
  <si>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</si>
  <si>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</si>
  <si>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</si>
  <si>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</si>
  <si>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</si>
  <si>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</si>
  <si>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</si>
  <si>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</si>
  <si>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</si>
  <si>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</si>
  <si>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</si>
  <si>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</si>
  <si>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</si>
  <si>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</si>
  <si>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</si>
  <si>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</si>
  <si>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</si>
  <si>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</si>
  <si>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</si>
  <si>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</si>
  <si>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</si>
  <si>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</si>
  <si>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</si>
  <si>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</si>
  <si>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</si>
  <si>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</si>
  <si>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</si>
  <si>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</si>
  <si>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</si>
  <si>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</si>
  <si>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</si>
  <si>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</si>
  <si>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</si>
  <si>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</si>
  <si>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</si>
  <si>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</si>
  <si>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</si>
  <si>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</si>
  <si>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</si>
  <si>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</si>
  <si>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</si>
  <si>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</si>
  <si>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</si>
  <si>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</si>
  <si>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</si>
  <si>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</si>
  <si>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</si>
  <si>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</si>
  <si>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</si>
  <si>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</si>
  <si>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</si>
  <si>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</si>
  <si>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</si>
  <si>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</si>
  <si>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</si>
  <si>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</si>
  <si>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</si>
  <si>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</si>
  <si>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</si>
  <si>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</si>
  <si>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</si>
  <si>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</si>
  <si>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</si>
  <si>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</si>
  <si>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</si>
  <si>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</si>
  <si>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</si>
  <si>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</si>
  <si>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</si>
  <si>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</si>
  <si>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</si>
  <si>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</si>
  <si>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</si>
  <si>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</si>
  <si>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</si>
  <si>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</si>
  <si>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</si>
  <si>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</si>
  <si>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</si>
  <si>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</si>
  <si>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</si>
  <si>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</si>
  <si>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</si>
  <si>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</si>
  <si>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</si>
  <si>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</si>
  <si>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</si>
  <si>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</si>
  <si>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</si>
  <si>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</si>
  <si>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</si>
  <si>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</si>
  <si>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</si>
  <si>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</si>
  <si>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</si>
  <si>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</si>
  <si>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</si>
  <si>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</si>
  <si>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</si>
  <si>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</si>
  <si>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</si>
  <si>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</si>
  <si>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</si>
  <si>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</si>
  <si>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</si>
  <si>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</si>
  <si>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</si>
  <si>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</si>
  <si>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</si>
  <si>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</si>
  <si>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</si>
  <si>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</si>
  <si>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</si>
  <si>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</si>
  <si>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</si>
  <si>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</si>
  <si>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</si>
  <si>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</si>
  <si>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</si>
  <si>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</si>
  <si>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</si>
  <si>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</si>
  <si>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</si>
  <si>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</si>
  <si>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</si>
  <si>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</si>
  <si>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</si>
  <si>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</si>
  <si>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</si>
  <si>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</si>
  <si>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</si>
  <si>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</si>
  <si>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</si>
  <si>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</si>
  <si>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</si>
  <si>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</si>
  <si>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</si>
  <si>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</si>
  <si>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</si>
  <si>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</si>
  <si>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</si>
  <si>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</si>
  <si>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</si>
  <si>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</si>
  <si>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</si>
  <si>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</si>
  <si>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</si>
  <si>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</si>
  <si>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</si>
  <si>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</si>
  <si>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</si>
  <si>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</si>
  <si>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</si>
  <si>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</si>
  <si>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</si>
  <si>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</si>
  <si>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</si>
  <si>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</si>
  <si>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</si>
  <si>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</si>
  <si>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</si>
  <si>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</si>
  <si>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</si>
  <si>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</si>
  <si>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</si>
  <si>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</si>
  <si>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</si>
  <si>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</si>
  <si>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</si>
  <si>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</si>
  <si>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</si>
  <si>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</si>
  <si>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</si>
  <si>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</si>
  <si>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</si>
  <si>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</si>
  <si>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</si>
  <si>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</si>
  <si>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</si>
  <si>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</si>
  <si>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</si>
  <si>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</si>
  <si>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</si>
  <si>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</si>
  <si>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</si>
  <si>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</si>
  <si>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</si>
  <si>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</si>
  <si>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</si>
  <si>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</si>
  <si>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</si>
  <si>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</si>
  <si>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</si>
  <si>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</si>
  <si>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</si>
  <si>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</si>
  <si>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</si>
  <si>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</si>
  <si>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</si>
  <si>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</si>
  <si>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</si>
  <si>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</si>
  <si>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</si>
  <si>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</si>
  <si>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</si>
  <si>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</si>
  <si>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</si>
  <si>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</si>
  <si>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</si>
  <si>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</si>
  <si>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</si>
  <si>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</si>
  <si>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</si>
  <si>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</si>
  <si>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</si>
  <si>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</si>
  <si>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</si>
  <si>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</si>
  <si>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</si>
  <si>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</si>
  <si>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</si>
  <si>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</si>
  <si>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</si>
  <si>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</si>
  <si>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</si>
  <si>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</si>
  <si>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</si>
  <si>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</si>
  <si>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</si>
  <si>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</si>
  <si>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</si>
  <si>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</si>
  <si>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</si>
  <si>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</si>
  <si>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</si>
  <si>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</si>
  <si>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</si>
  <si>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</si>
  <si>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</si>
  <si>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</si>
  <si>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</si>
  <si>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</si>
  <si>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</si>
  <si>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</si>
  <si>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</si>
  <si>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</si>
  <si>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</si>
  <si>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</si>
  <si>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</si>
  <si>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</si>
  <si>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</si>
  <si>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</si>
  <si>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</si>
  <si>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</si>
  <si>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</si>
  <si>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</si>
  <si>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</si>
  <si>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</si>
  <si>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</si>
  <si>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</si>
  <si>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</si>
  <si>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</si>
  <si>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</si>
  <si>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</si>
  <si>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</si>
  <si>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</si>
  <si>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</si>
  <si>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</si>
  <si>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</si>
  <si>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</si>
  <si>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</si>
  <si>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</si>
  <si>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</si>
  <si>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</si>
  <si>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</si>
  <si>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</si>
  <si>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</si>
  <si>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</si>
  <si>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</si>
  <si>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</si>
  <si>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</si>
  <si>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</si>
  <si>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</si>
  <si>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</si>
  <si>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</si>
  <si>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</si>
  <si>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</si>
  <si>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</si>
  <si>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</si>
  <si>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</si>
  <si>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</si>
  <si>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</si>
  <si>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</si>
  <si>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</si>
  <si>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</si>
  <si>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</si>
  <si>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</si>
  <si>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</si>
  <si>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</si>
  <si>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</si>
  <si>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</si>
  <si>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</si>
  <si>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</si>
  <si>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</si>
  <si>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</si>
  <si>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</si>
  <si>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</si>
  <si>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</si>
  <si>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</si>
  <si>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</si>
  <si>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</si>
  <si>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</si>
  <si>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</si>
  <si>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</si>
  <si>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</si>
  <si>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</si>
  <si>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</si>
  <si>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</si>
  <si>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</si>
  <si>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</si>
  <si>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</si>
  <si>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</si>
  <si>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</si>
  <si>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</si>
  <si>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</si>
  <si>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</si>
  <si>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</si>
  <si>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</si>
  <si>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</si>
  <si>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</si>
  <si>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</si>
  <si>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</si>
  <si>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</si>
  <si>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</si>
  <si>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</si>
  <si>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</si>
  <si>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</si>
  <si>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</si>
  <si>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</si>
  <si>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</si>
  <si>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</si>
  <si>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</si>
  <si>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</si>
  <si>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</si>
  <si>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</si>
  <si>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</si>
  <si>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</si>
  <si>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</si>
  <si>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</si>
  <si>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</si>
  <si>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</si>
  <si>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</si>
  <si>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</si>
  <si>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</si>
  <si>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</si>
  <si>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</si>
  <si>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</si>
  <si>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</si>
  <si>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</si>
  <si>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</si>
  <si>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</si>
  <si>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</si>
  <si>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</si>
  <si>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</si>
  <si>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</si>
  <si>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</si>
  <si>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</si>
  <si>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</si>
  <si>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</si>
  <si>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</si>
  <si>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</si>
  <si>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</si>
  <si>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</si>
  <si>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</si>
  <si>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</si>
  <si>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</si>
  <si>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</si>
  <si>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</si>
  <si>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</si>
  <si>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</si>
  <si>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</si>
  <si>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</si>
  <si>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</si>
  <si>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</si>
  <si>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</si>
  <si>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</si>
  <si>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</si>
  <si>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</si>
  <si>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</si>
  <si>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</si>
  <si>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</si>
  <si>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</si>
  <si>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</si>
  <si>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</si>
  <si>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</si>
  <si>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</si>
  <si>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</si>
  <si>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</si>
  <si>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</si>
  <si>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</si>
  <si>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</si>
  <si>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</si>
  <si>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</si>
  <si>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</si>
  <si>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</si>
  <si>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</si>
  <si>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</si>
  <si>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</si>
  <si>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</si>
  <si>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</si>
  <si>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</si>
  <si>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</si>
  <si>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</si>
  <si>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</si>
  <si>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</si>
  <si>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</si>
  <si>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</si>
  <si>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</si>
  <si>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</si>
  <si>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</si>
  <si>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</si>
  <si>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</si>
  <si>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</si>
  <si>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</si>
  <si>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</si>
  <si>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</si>
  <si>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</si>
  <si>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</si>
  <si>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</si>
  <si>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</si>
  <si>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</si>
  <si>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</si>
  <si>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</si>
  <si>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</si>
  <si>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</si>
  <si>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</si>
  <si>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</si>
  <si>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</si>
  <si>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</si>
  <si>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</si>
  <si>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</si>
  <si>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</si>
  <si>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</si>
  <si>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</si>
  <si>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</si>
  <si>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</si>
  <si>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</si>
  <si>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</si>
  <si>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</si>
  <si>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</si>
  <si>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</si>
  <si>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</si>
  <si>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</si>
  <si>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</si>
  <si>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</si>
  <si>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</si>
  <si>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</si>
  <si>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</si>
  <si>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</si>
  <si>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</si>
  <si>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</si>
  <si>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</si>
  <si>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</si>
  <si>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</si>
  <si>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</si>
  <si>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</si>
  <si>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</si>
  <si>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</si>
  <si>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</si>
  <si>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</si>
  <si>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</si>
  <si>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</si>
  <si>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</si>
  <si>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</si>
  <si>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</si>
  <si>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</si>
  <si>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</si>
  <si>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</si>
  <si>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</si>
  <si>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</si>
  <si>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</si>
  <si>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</si>
  <si>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</si>
  <si>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</si>
  <si>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</si>
  <si>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</si>
  <si>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</si>
  <si>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</si>
  <si>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</si>
  <si>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</si>
  <si>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</si>
  <si>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</si>
  <si>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</si>
  <si>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</si>
  <si>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</si>
  <si>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</si>
  <si>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</si>
  <si>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</si>
  <si>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</si>
  <si>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</si>
  <si>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</si>
  <si>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</si>
  <si>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</si>
  <si>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</si>
  <si>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</si>
  <si>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</si>
  <si>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</si>
  <si>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</si>
  <si>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</si>
  <si>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</si>
  <si>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</si>
  <si>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</si>
  <si>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</si>
  <si>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</si>
  <si>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</si>
  <si>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</si>
  <si>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</si>
  <si>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</si>
  <si>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</si>
  <si>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</si>
  <si>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</si>
  <si>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</si>
  <si>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</si>
  <si>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</si>
  <si>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</si>
  <si>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</si>
  <si>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</si>
  <si>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</si>
  <si>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</si>
  <si>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</si>
  <si>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</si>
  <si>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</si>
  <si>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</si>
  <si>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</si>
  <si>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</si>
  <si>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</si>
  <si>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</si>
  <si>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</si>
  <si>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</si>
  <si>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</si>
  <si>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</si>
  <si>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</si>
  <si>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</si>
  <si>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</si>
  <si>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</si>
  <si>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</si>
  <si>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</si>
  <si>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</si>
  <si>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</si>
  <si>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</si>
  <si>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</si>
  <si>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</si>
  <si>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</si>
  <si>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</si>
  <si>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</si>
  <si>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</si>
  <si>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</si>
  <si>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</si>
  <si>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</si>
  <si>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</si>
  <si>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</si>
  <si>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</si>
  <si>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</si>
  <si>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</si>
  <si>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</si>
  <si>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</si>
  <si>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</si>
  <si>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</si>
  <si>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</si>
  <si>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</si>
  <si>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</si>
  <si>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</si>
  <si>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</si>
  <si>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</si>
  <si>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</si>
  <si>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</si>
  <si>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</si>
  <si>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</si>
  <si>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</si>
  <si>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</si>
  <si>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</si>
  <si>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</si>
  <si>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</si>
  <si>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</si>
  <si>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</si>
  <si>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</si>
  <si>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</si>
  <si>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</si>
  <si>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</si>
  <si>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</si>
  <si>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</si>
  <si>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</si>
  <si>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</si>
  <si>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</si>
  <si>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</si>
  <si>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</si>
  <si>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</si>
  <si>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</si>
  <si>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</si>
  <si>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</si>
  <si>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</si>
  <si>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</si>
  <si>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</si>
  <si>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</si>
  <si>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</si>
  <si>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</si>
  <si>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</si>
  <si>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</si>
  <si>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</si>
  <si>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</si>
  <si>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</si>
  <si>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</si>
  <si>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</si>
  <si>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</si>
  <si>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</si>
  <si>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</si>
  <si>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</si>
  <si>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</si>
  <si>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</si>
  <si>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</si>
  <si>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</si>
  <si>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</si>
  <si>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</si>
  <si>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</si>
  <si>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</si>
  <si>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</si>
  <si>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</si>
  <si>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</si>
  <si>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</si>
  <si>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</si>
  <si>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</si>
  <si>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</si>
  <si>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</si>
  <si>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</si>
  <si>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</si>
  <si>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</si>
  <si>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</si>
  <si>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</si>
  <si>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</si>
  <si>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</si>
  <si>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</si>
  <si>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</si>
  <si>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</si>
  <si>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</si>
  <si>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</si>
  <si>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</si>
  <si>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</si>
  <si>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</si>
  <si>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</si>
  <si>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</si>
  <si>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</si>
  <si>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</si>
  <si>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</si>
  <si>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</si>
  <si>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</si>
  <si>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</si>
  <si>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</si>
  <si>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</si>
  <si>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</si>
  <si>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</si>
  <si>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</si>
  <si>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</si>
  <si>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</si>
  <si>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</si>
  <si>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</si>
  <si>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</si>
  <si>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</si>
  <si>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</si>
  <si>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</si>
  <si>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</si>
  <si>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</si>
  <si>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</si>
  <si>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</si>
  <si>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</si>
  <si>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</si>
  <si>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</si>
  <si>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</si>
  <si>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</si>
  <si>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</si>
  <si>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</si>
  <si>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</si>
  <si>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</si>
  <si>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</si>
  <si>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</si>
  <si>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</si>
  <si>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</si>
  <si>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</si>
  <si>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</si>
  <si>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</si>
  <si>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</si>
  <si>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</si>
  <si>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</si>
  <si>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</si>
  <si>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</si>
  <si>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</si>
  <si>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</si>
  <si>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</si>
  <si>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</si>
  <si>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</si>
  <si>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</si>
  <si>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</si>
  <si>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</si>
  <si>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</si>
  <si>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</si>
  <si>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</si>
  <si>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</si>
  <si>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</si>
  <si>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</si>
  <si>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</si>
  <si>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</si>
  <si>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</si>
  <si>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</si>
  <si>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</si>
  <si>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</si>
  <si>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</si>
  <si>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</si>
  <si>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</si>
  <si>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</si>
  <si>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</si>
  <si>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</si>
  <si>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</si>
  <si>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</si>
  <si>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</si>
  <si>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</si>
  <si>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</si>
  <si>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</si>
  <si>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</si>
  <si>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</si>
  <si>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</si>
  <si>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</si>
  <si>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</si>
  <si>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</si>
  <si>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</si>
  <si>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</si>
  <si>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</si>
  <si>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</si>
  <si>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</si>
  <si>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</si>
  <si>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</si>
  <si>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</si>
  <si>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</si>
  <si>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</si>
  <si>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</si>
  <si>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</si>
  <si>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</si>
  <si>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</si>
  <si>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</si>
  <si>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</si>
  <si>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</si>
  <si>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</si>
  <si>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</si>
  <si>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</si>
  <si>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</si>
  <si>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</si>
  <si>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</si>
  <si>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</si>
  <si>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</si>
  <si>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</si>
  <si>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</si>
  <si>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</si>
  <si>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</si>
  <si>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</si>
  <si>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</si>
  <si>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</si>
  <si>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</si>
  <si>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</si>
  <si>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</si>
  <si>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</si>
  <si>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</si>
  <si>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</si>
  <si>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</si>
  <si>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</si>
  <si>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</si>
  <si>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</si>
  <si>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</si>
  <si>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</si>
  <si>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</si>
  <si>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</si>
  <si>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</si>
  <si>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</si>
  <si>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</si>
  <si>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</si>
  <si>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</si>
  <si>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</si>
  <si>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</si>
  <si>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</si>
  <si>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</si>
  <si>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</si>
  <si>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</si>
  <si>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</si>
  <si>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</si>
  <si>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</si>
  <si>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</si>
  <si>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</si>
  <si>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</si>
  <si>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</si>
  <si>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</si>
  <si>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</si>
  <si>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</si>
  <si>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</si>
  <si>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</si>
  <si>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</si>
  <si>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</si>
  <si>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</si>
  <si>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</si>
  <si>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</si>
  <si>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</si>
  <si>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</si>
  <si>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</si>
  <si>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</si>
  <si>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</si>
  <si>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</si>
  <si>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</si>
  <si>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</si>
  <si>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</si>
  <si>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</si>
  <si>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</si>
  <si>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</si>
  <si>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</si>
  <si>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</si>
  <si>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</si>
  <si>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</si>
  <si>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</si>
  <si>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</si>
  <si>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</si>
  <si>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</si>
  <si>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</si>
  <si>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</si>
  <si>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</si>
  <si>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</si>
  <si>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</si>
  <si>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</si>
  <si>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</si>
  <si>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</si>
  <si>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</si>
  <si>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</si>
  <si>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</si>
  <si>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</si>
  <si>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</si>
  <si>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</si>
  <si>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</si>
  <si>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</si>
  <si>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</si>
  <si>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</si>
  <si>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</si>
  <si>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</si>
  <si>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</si>
  <si>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</si>
  <si>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</si>
  <si>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</si>
  <si>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</si>
  <si>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</si>
  <si>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</si>
  <si>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</si>
  <si>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</si>
  <si>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</si>
  <si>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</si>
  <si>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</si>
  <si>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</si>
  <si>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</si>
  <si>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</si>
  <si>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</si>
  <si>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</si>
  <si>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</si>
  <si>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</si>
  <si>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</si>
  <si>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</si>
  <si>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</si>
  <si>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</si>
  <si>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</si>
  <si>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</si>
  <si>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</si>
  <si>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</si>
  <si>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</si>
  <si>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</si>
  <si>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</si>
  <si>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</si>
  <si>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</si>
  <si>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</si>
  <si>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</si>
  <si>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</si>
  <si>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</si>
  <si>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</si>
  <si>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</si>
  <si>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</si>
  <si>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</si>
  <si>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</si>
  <si>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</si>
  <si>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</si>
  <si>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</si>
  <si>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</si>
  <si>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</si>
  <si>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</si>
  <si>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</si>
  <si>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</si>
  <si>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</si>
  <si>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</si>
  <si>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</si>
  <si>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</si>
  <si>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</si>
  <si>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</si>
  <si>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</si>
  <si>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</si>
  <si>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</si>
  <si>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</si>
  <si>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</si>
  <si>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</si>
  <si>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</si>
  <si>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</si>
  <si>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</si>
  <si>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</si>
  <si>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</si>
  <si>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</si>
  <si>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</si>
  <si>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</si>
  <si>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</si>
  <si>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</si>
  <si>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</si>
  <si>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</si>
  <si>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</si>
  <si>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</si>
  <si>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</si>
  <si>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</si>
  <si>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</si>
  <si>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</si>
  <si>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</si>
  <si>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</si>
  <si>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</si>
  <si>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</si>
  <si>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</si>
  <si>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</si>
  <si>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</si>
  <si>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</si>
  <si>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</si>
  <si>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</si>
  <si>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</si>
  <si>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</si>
  <si>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</si>
  <si>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</si>
  <si>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</si>
  <si>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</si>
  <si>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</si>
  <si>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</si>
  <si>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</si>
  <si>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</si>
  <si>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</si>
  <si>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</si>
  <si>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</si>
  <si>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</si>
  <si>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</si>
  <si>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</si>
  <si>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</si>
  <si>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</si>
  <si>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</si>
  <si>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</si>
  <si>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</si>
  <si>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</si>
  <si>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</si>
  <si>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</si>
  <si>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</si>
  <si>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</si>
  <si>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</si>
  <si>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</si>
  <si>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</si>
  <si>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</si>
  <si>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</si>
  <si>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</si>
  <si>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</si>
  <si>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</si>
  <si>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</si>
  <si>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</si>
  <si>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</si>
  <si>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</si>
  <si>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</si>
  <si>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</si>
  <si>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</si>
  <si>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</si>
  <si>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</si>
  <si>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</si>
  <si>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</si>
  <si>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</si>
  <si>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</si>
  <si>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</si>
  <si>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</si>
  <si>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</si>
  <si>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</si>
  <si>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</si>
  <si>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</si>
  <si>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</si>
  <si>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</si>
  <si>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</si>
  <si>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</si>
  <si>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</si>
  <si>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</si>
  <si>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</si>
  <si>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</si>
  <si>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</si>
  <si>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</si>
  <si>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</si>
  <si>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</si>
  <si>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</si>
  <si>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</si>
  <si>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</si>
  <si>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</si>
  <si>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</si>
  <si>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</si>
  <si>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</si>
  <si>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</si>
  <si>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</si>
  <si>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</si>
  <si>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</si>
  <si>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</si>
  <si>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</si>
  <si>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</si>
  <si>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</si>
  <si>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</si>
  <si>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</si>
  <si>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</si>
  <si>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</si>
  <si>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</si>
  <si>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</si>
  <si>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</si>
  <si>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</si>
  <si>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</si>
  <si>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</si>
  <si>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</si>
  <si>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</si>
  <si>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</si>
  <si>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</si>
  <si>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</si>
  <si>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</si>
  <si>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</si>
  <si>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</si>
  <si>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</si>
  <si>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</si>
  <si>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</si>
  <si>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</si>
  <si>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</si>
  <si>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</si>
  <si>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</si>
  <si>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</si>
  <si>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</si>
  <si>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</si>
  <si>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</si>
  <si>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</si>
  <si>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</si>
  <si>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</si>
  <si>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</si>
  <si>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</si>
  <si>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</si>
  <si>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</si>
  <si>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</si>
  <si>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</si>
  <si>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</si>
  <si>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</si>
  <si>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</si>
  <si>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</si>
  <si>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</si>
  <si>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</si>
  <si>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</si>
  <si>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</si>
  <si>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</si>
  <si>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</si>
  <si>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</si>
  <si>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</si>
  <si>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</si>
  <si>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</si>
  <si>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</si>
  <si>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</si>
  <si>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</si>
  <si>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</si>
  <si>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</si>
  <si>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</si>
  <si>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</si>
  <si>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</si>
  <si>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</si>
  <si>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</si>
  <si>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</si>
  <si>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</si>
  <si>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</si>
  <si>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</si>
  <si>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</si>
  <si>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</si>
  <si>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</si>
  <si>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</si>
  <si>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</si>
  <si>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</si>
  <si>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</si>
  <si>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</si>
  <si>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</si>
  <si>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</si>
  <si>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</si>
  <si>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</si>
  <si>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</si>
  <si>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</si>
  <si>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</si>
  <si>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</si>
  <si>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</si>
  <si>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</si>
  <si>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</si>
  <si>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</si>
  <si>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</si>
  <si>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</si>
  <si>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</si>
  <si>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</si>
  <si>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</si>
  <si>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</si>
  <si>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</si>
  <si>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</si>
  <si>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</si>
  <si>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</si>
  <si>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</si>
  <si>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</si>
  <si>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</si>
  <si>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</si>
  <si>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</si>
  <si>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</si>
  <si>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</si>
  <si>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</si>
  <si>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</si>
  <si>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</si>
  <si>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</si>
  <si>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</si>
  <si>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</si>
  <si>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</si>
  <si>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</si>
  <si>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</si>
  <si>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</si>
  <si>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</si>
  <si>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</si>
  <si>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</si>
  <si>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</si>
  <si>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</si>
  <si>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</si>
  <si>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</si>
  <si>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</si>
  <si>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</si>
  <si>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</si>
  <si>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</si>
  <si>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</si>
  <si>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</si>
  <si>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</si>
  <si>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</si>
  <si>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</si>
  <si>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</si>
  <si>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</si>
  <si>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</si>
  <si>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</si>
  <si>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</si>
  <si>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</si>
  <si>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</si>
  <si>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</si>
  <si>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</si>
  <si>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</si>
  <si>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</si>
  <si>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</si>
  <si>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</si>
  <si>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</si>
  <si>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</si>
  <si>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</si>
  <si>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</si>
  <si>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</si>
  <si>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</si>
  <si>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</si>
  <si>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</si>
  <si>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</si>
  <si>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</si>
  <si>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</si>
  <si>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</si>
  <si>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</si>
  <si>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</si>
  <si>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</si>
  <si>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</si>
  <si>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</si>
  <si>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</si>
  <si>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</si>
  <si>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</si>
  <si>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</si>
  <si>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</si>
  <si>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</si>
  <si>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</si>
  <si>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</si>
  <si>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</si>
  <si>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</si>
  <si>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</si>
  <si>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</si>
  <si>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</si>
  <si>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</si>
  <si>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</si>
  <si>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</si>
  <si>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</si>
  <si>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</si>
  <si>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</si>
  <si>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</si>
  <si>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</si>
  <si>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</si>
  <si>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</si>
  <si>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</si>
  <si>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</si>
  <si>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</si>
  <si>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</si>
  <si>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</si>
  <si>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</si>
  <si>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</si>
  <si>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</si>
  <si>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</si>
  <si>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</si>
  <si>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</si>
  <si>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</si>
  <si>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</si>
  <si>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</si>
  <si>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</si>
  <si>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</si>
  <si>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</si>
  <si>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</si>
  <si>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</si>
  <si>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</si>
  <si>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</si>
  <si>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</si>
  <si>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</si>
  <si>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</si>
  <si>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</si>
  <si>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</si>
  <si>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</si>
  <si>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</si>
  <si>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</si>
  <si>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</si>
  <si>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</si>
  <si>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</si>
  <si>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</si>
  <si>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</si>
  <si>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</si>
  <si>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</si>
  <si>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</si>
  <si>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</si>
  <si>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</si>
  <si>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</si>
  <si>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</si>
  <si>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</si>
  <si>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</si>
  <si>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</si>
  <si>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</si>
  <si>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</si>
  <si>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</si>
  <si>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</si>
  <si>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</si>
  <si>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</si>
  <si>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</si>
  <si>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</si>
  <si>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</si>
  <si>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</si>
  <si>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</si>
  <si>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</si>
  <si>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</si>
  <si>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</si>
  <si>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</si>
  <si>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</si>
  <si>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</si>
  <si>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</si>
  <si>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</si>
  <si>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</si>
  <si>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</si>
  <si>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</si>
  <si>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</si>
  <si>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</si>
  <si>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</si>
  <si>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</si>
  <si>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</si>
  <si>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</si>
  <si>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</si>
  <si>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</si>
  <si>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</si>
  <si>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</si>
  <si>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</si>
  <si>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</si>
  <si>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</si>
  <si>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</si>
  <si>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</si>
  <si>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</si>
  <si>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</si>
  <si>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</si>
  <si>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</si>
  <si>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</si>
  <si>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</si>
  <si>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</si>
  <si>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</si>
  <si>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</si>
  <si>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</si>
  <si>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</si>
  <si>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</si>
  <si>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</si>
  <si>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</si>
  <si>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</si>
  <si>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</si>
  <si>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</si>
  <si>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</si>
  <si>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</si>
  <si>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</si>
  <si>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</si>
  <si>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</si>
  <si>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</si>
  <si>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</si>
  <si>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</si>
  <si>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</si>
  <si>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</si>
  <si>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</si>
  <si>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</si>
  <si>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</si>
  <si>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</si>
  <si>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</si>
  <si>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</si>
  <si>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</si>
  <si>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</si>
  <si>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</si>
  <si>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</si>
  <si>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</si>
  <si>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</si>
  <si>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</si>
  <si>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</si>
  <si>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</si>
  <si>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</si>
  <si>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</si>
  <si>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</si>
  <si>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</si>
  <si>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</si>
  <si>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</si>
  <si>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</si>
  <si>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</si>
  <si>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</si>
  <si>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</si>
  <si>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</si>
  <si>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</si>
  <si>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</si>
  <si>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</si>
  <si>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</si>
  <si>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</si>
  <si>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</si>
  <si>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</si>
  <si>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</si>
  <si>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</si>
  <si>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</si>
  <si>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</si>
  <si>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</si>
  <si>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</si>
  <si>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</si>
  <si>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</si>
  <si>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</si>
  <si>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</si>
  <si>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</si>
  <si>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</si>
  <si>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</si>
  <si>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</si>
  <si>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</si>
  <si>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</si>
  <si>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</si>
  <si>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</si>
  <si>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</si>
  <si>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</si>
  <si>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</si>
  <si>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</si>
  <si>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</si>
  <si>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</si>
  <si>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</si>
  <si>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</si>
  <si>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</si>
  <si>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</si>
  <si>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</si>
  <si>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</si>
  <si>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</si>
  <si>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</si>
  <si>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</si>
  <si>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</si>
  <si>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</si>
  <si>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</si>
  <si>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</si>
  <si>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</si>
  <si>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</si>
  <si>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</si>
  <si>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</si>
  <si>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</si>
  <si>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</si>
  <si>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</si>
  <si>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</si>
  <si>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</si>
  <si>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</si>
  <si>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</si>
  <si>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</si>
  <si>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</si>
  <si>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</si>
  <si>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</si>
  <si>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</si>
  <si>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</si>
  <si>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</si>
  <si>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</si>
  <si>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</si>
  <si>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</si>
  <si>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</si>
  <si>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</si>
  <si>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</si>
  <si>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</si>
  <si>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</si>
  <si>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</si>
  <si>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</si>
  <si>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</si>
  <si>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</si>
  <si>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</si>
  <si>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</si>
  <si>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</si>
  <si>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</si>
  <si>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</si>
  <si>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</si>
  <si>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</si>
  <si>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</si>
  <si>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</si>
  <si>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</si>
  <si>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</si>
  <si>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</si>
  <si>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</si>
  <si>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</si>
  <si>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</si>
  <si>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</si>
  <si>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</si>
  <si>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</si>
  <si>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</si>
  <si>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</si>
  <si>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</si>
  <si>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</si>
  <si>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</si>
  <si>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</si>
  <si>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</si>
  <si>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</si>
  <si>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</si>
  <si>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</si>
  <si>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</si>
  <si>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</si>
  <si>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</si>
  <si>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</si>
  <si>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</si>
  <si>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</si>
  <si>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</si>
  <si>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</si>
  <si>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</si>
  <si>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</si>
  <si>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</si>
  <si>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</si>
  <si>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</si>
  <si>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</si>
  <si>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</si>
  <si>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</si>
  <si>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</si>
  <si>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</si>
  <si>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</si>
  <si>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</si>
  <si>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</si>
  <si>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</si>
  <si>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</si>
  <si>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</si>
  <si>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</si>
  <si>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</si>
  <si>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</si>
  <si>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</si>
  <si>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</si>
  <si>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</si>
  <si>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</si>
  <si>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</si>
  <si>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</si>
  <si>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</si>
  <si>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</si>
  <si>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</si>
  <si>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</si>
  <si>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</si>
  <si>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</si>
  <si>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</si>
  <si>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</si>
  <si>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</si>
  <si>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</si>
  <si>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</si>
  <si>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</si>
  <si>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</si>
  <si>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</si>
  <si>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</si>
  <si>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</si>
  <si>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</si>
  <si>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</si>
  <si>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</si>
  <si>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</si>
  <si>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</si>
  <si>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</si>
  <si>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</si>
  <si>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</si>
  <si>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</si>
  <si>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</si>
  <si>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</si>
  <si>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</si>
  <si>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</si>
  <si>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</si>
  <si>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</si>
  <si>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</si>
  <si>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</si>
  <si>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</si>
  <si>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</si>
  <si>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</si>
  <si>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</si>
  <si>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</si>
  <si>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</si>
  <si>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</si>
  <si>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</si>
  <si>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</si>
  <si>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</si>
  <si>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</si>
  <si>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</si>
  <si>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</si>
  <si>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</si>
  <si>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</si>
  <si>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</si>
  <si>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</si>
  <si>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</si>
  <si>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</si>
  <si>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</si>
  <si>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</si>
  <si>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</si>
  <si>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</si>
  <si>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</si>
  <si>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</si>
  <si>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</si>
  <si>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</si>
  <si>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</si>
  <si>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</si>
  <si>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</si>
  <si>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</si>
  <si>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</si>
  <si>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</si>
  <si>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</si>
  <si>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</si>
  <si>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</si>
  <si>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</si>
  <si>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</si>
  <si>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</si>
  <si>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</si>
  <si>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</si>
  <si>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</si>
  <si>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</si>
  <si>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</si>
  <si>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</si>
  <si>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</si>
  <si>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</si>
  <si>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</si>
  <si>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</si>
  <si>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</si>
  <si>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</si>
  <si>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</si>
  <si>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</si>
  <si>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</si>
  <si>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</si>
  <si>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</si>
  <si>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</si>
  <si>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</si>
  <si>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</si>
  <si>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</si>
  <si>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</si>
  <si>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</si>
  <si>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</si>
  <si>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</si>
  <si>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</si>
  <si>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</si>
  <si>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</si>
  <si>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</si>
  <si>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</si>
  <si>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</si>
  <si>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</si>
  <si>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</si>
  <si>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</si>
  <si>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</si>
  <si>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</si>
  <si>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</si>
  <si>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</si>
  <si>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</si>
  <si>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</si>
  <si>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</si>
  <si>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</si>
  <si>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</si>
  <si>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</si>
  <si>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</si>
  <si>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</si>
  <si>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</si>
  <si>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</si>
  <si>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</si>
  <si>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</si>
  <si>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</si>
  <si>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</si>
  <si>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</si>
  <si>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</si>
  <si>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</si>
  <si>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</si>
  <si>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</si>
  <si>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</si>
  <si>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</si>
  <si>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</si>
  <si>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</si>
  <si>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</si>
  <si>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</si>
  <si>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</si>
  <si>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</si>
  <si>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</si>
  <si>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</si>
  <si>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</si>
  <si>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</si>
  <si>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</si>
  <si>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</si>
  <si>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</si>
  <si>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</si>
  <si>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</si>
  <si>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</si>
  <si>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</si>
  <si>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</si>
  <si>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</si>
  <si>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</si>
  <si>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</si>
  <si>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</si>
  <si>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</si>
  <si>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</si>
  <si>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</si>
  <si>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</si>
  <si>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</si>
  <si>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</si>
  <si>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</si>
  <si>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</si>
  <si>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</si>
  <si>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</si>
  <si>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</si>
  <si>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</si>
  <si>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</si>
  <si>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</si>
  <si>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</si>
  <si>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</si>
  <si>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</si>
  <si>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</si>
  <si>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</si>
  <si>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</si>
  <si>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</si>
  <si>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</si>
  <si>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</si>
  <si>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</si>
  <si>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</si>
  <si>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</si>
  <si>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</si>
  <si>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</si>
  <si>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</si>
  <si>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</si>
  <si>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</si>
  <si>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</si>
  <si>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</si>
  <si>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</si>
  <si>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</si>
  <si>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</si>
  <si>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</si>
  <si>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</si>
  <si>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</si>
  <si>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</si>
  <si>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</si>
  <si>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</si>
  <si>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</si>
  <si>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</si>
  <si>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</si>
  <si>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</si>
  <si>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</si>
  <si>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</si>
  <si>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</si>
  <si>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</si>
  <si>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</si>
  <si>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</si>
  <si>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</si>
  <si>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</si>
  <si>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</si>
  <si>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</si>
  <si>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</si>
  <si>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</si>
  <si>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</si>
  <si>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</si>
  <si>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</si>
  <si>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</si>
  <si>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</si>
  <si>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</si>
  <si>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</si>
  <si>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</si>
  <si>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</si>
  <si>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</si>
  <si>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</si>
  <si>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</si>
  <si>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</si>
  <si>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</si>
  <si>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</si>
  <si>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</si>
  <si>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</si>
  <si>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</si>
  <si>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</si>
  <si>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</si>
  <si>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</si>
  <si>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</si>
  <si>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</si>
  <si>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</si>
  <si>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</si>
  <si>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</si>
  <si>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</si>
  <si>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</si>
  <si>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</si>
  <si>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</si>
  <si>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</si>
  <si>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</si>
  <si>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</si>
  <si>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</si>
  <si>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</si>
  <si>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</si>
  <si>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</si>
  <si>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</si>
  <si>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</si>
  <si>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</si>
  <si>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</si>
  <si>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</si>
  <si>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</si>
  <si>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</si>
  <si>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</si>
  <si>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</si>
  <si>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</si>
  <si>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</si>
  <si>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</si>
  <si>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</si>
  <si>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</si>
  <si>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</si>
  <si>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</si>
  <si>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</si>
  <si>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</si>
  <si>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</si>
  <si>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</si>
  <si>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</si>
  <si>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</si>
  <si>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</si>
  <si>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</si>
  <si>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</si>
  <si>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</si>
  <si>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</si>
  <si>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</si>
  <si>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</si>
  <si>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</si>
  <si>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</si>
  <si>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</si>
  <si>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</si>
  <si>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</si>
  <si>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</si>
  <si>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</si>
  <si>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</si>
  <si>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</si>
  <si>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</si>
  <si>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</si>
  <si>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</si>
  <si>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</si>
  <si>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</si>
  <si>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</si>
  <si>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</si>
  <si>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</si>
  <si>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</si>
  <si>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</si>
  <si>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</si>
  <si>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</si>
  <si>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</si>
  <si>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</si>
  <si>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</si>
  <si>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</si>
  <si>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</si>
  <si>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</si>
  <si>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</si>
  <si>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</si>
  <si>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</si>
  <si>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</si>
  <si>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</si>
  <si>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</si>
  <si>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</si>
  <si>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</si>
  <si>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</si>
  <si>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</si>
  <si>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</si>
  <si>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</si>
  <si>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</si>
  <si>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</si>
  <si>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</si>
  <si>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</si>
  <si>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</si>
  <si>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</si>
  <si>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</si>
  <si>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</si>
  <si>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</si>
  <si>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</si>
  <si>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</si>
  <si>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</si>
  <si>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</si>
  <si>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</si>
  <si>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</si>
  <si>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</si>
  <si>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</si>
  <si>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</si>
  <si>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</si>
  <si>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</si>
  <si>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</si>
  <si>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</si>
  <si>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</si>
  <si>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</si>
  <si>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</si>
  <si>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</si>
  <si>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</si>
  <si>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</si>
  <si>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</si>
  <si>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</si>
  <si>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</si>
  <si>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</si>
  <si>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</si>
  <si>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</si>
  <si>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</si>
  <si>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</si>
  <si>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</si>
  <si>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</si>
  <si>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</si>
  <si>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</si>
  <si>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</si>
  <si>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</si>
  <si>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</si>
  <si>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</si>
  <si>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</si>
  <si>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</si>
  <si>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</si>
  <si>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</si>
  <si>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</si>
  <si>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</si>
  <si>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</si>
  <si>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</si>
  <si>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</si>
  <si>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</si>
  <si>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</si>
  <si>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</si>
  <si>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</si>
  <si>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</si>
  <si>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</si>
  <si>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</si>
  <si>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</si>
  <si>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</si>
  <si>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</si>
  <si>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</si>
  <si>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</si>
  <si>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</si>
  <si>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</si>
  <si>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</si>
  <si>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</si>
  <si>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</si>
  <si>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</si>
  <si>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</si>
  <si>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</si>
  <si>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</si>
  <si>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</si>
  <si>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</si>
  <si>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</si>
  <si>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</si>
  <si>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</si>
  <si>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</si>
  <si>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</si>
  <si>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</si>
  <si>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</si>
  <si>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</si>
  <si>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</si>
  <si>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</si>
  <si>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</si>
  <si>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</si>
  <si>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</si>
  <si>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</si>
  <si>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</si>
  <si>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</si>
  <si>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</si>
  <si>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</si>
  <si>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</si>
  <si>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</si>
  <si>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</si>
  <si>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</si>
  <si>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</si>
  <si>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</si>
  <si>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</si>
  <si>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</si>
  <si>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</si>
  <si>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</si>
  <si>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</si>
  <si>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</si>
  <si>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</si>
  <si>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</si>
  <si>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</si>
  <si>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</si>
  <si>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</si>
  <si>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</si>
  <si>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</si>
  <si>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</si>
  <si>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</si>
  <si>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</si>
  <si>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</si>
  <si>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</si>
  <si>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</si>
  <si>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</si>
  <si>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</si>
  <si>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</si>
  <si>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</si>
  <si>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</si>
  <si>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</si>
  <si>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</si>
  <si>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</si>
  <si>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</si>
  <si>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</si>
  <si>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</si>
  <si>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</si>
  <si>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</si>
  <si>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</si>
  <si>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</si>
  <si>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</si>
  <si>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</si>
  <si>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</si>
  <si>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</si>
  <si>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</si>
  <si>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</si>
  <si>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</si>
  <si>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</si>
  <si>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</si>
  <si>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</si>
  <si>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</si>
  <si>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</si>
  <si>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</si>
  <si>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</si>
  <si>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</si>
  <si>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</si>
  <si>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</si>
  <si>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</si>
  <si>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</si>
  <si>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</si>
  <si>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</si>
  <si>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</si>
  <si>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</si>
  <si>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</si>
  <si>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</si>
  <si>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</si>
  <si>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</si>
  <si>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</si>
  <si>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</si>
  <si>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</si>
  <si>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</si>
  <si>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</si>
  <si>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</si>
  <si>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</si>
  <si>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</si>
  <si>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</si>
  <si>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</si>
  <si>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</si>
  <si>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</si>
  <si>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</si>
  <si>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</si>
  <si>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</si>
  <si>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</si>
  <si>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</si>
  <si>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</si>
  <si>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</si>
  <si>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</si>
  <si>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</si>
  <si>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</si>
  <si>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</si>
  <si>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</si>
  <si>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</si>
  <si>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</si>
  <si>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</si>
  <si>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</si>
  <si>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</si>
  <si>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</si>
  <si>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</si>
  <si>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</si>
  <si>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</si>
  <si>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</si>
  <si>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</si>
  <si>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</si>
  <si>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</si>
  <si>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</si>
  <si>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</si>
  <si>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</si>
  <si>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</si>
  <si>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</si>
  <si>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</si>
  <si>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</si>
  <si>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</si>
  <si>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</si>
  <si>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</si>
  <si>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</si>
  <si>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</si>
  <si>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</si>
  <si>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</si>
  <si>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</si>
  <si>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</si>
  <si>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</si>
  <si>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</si>
  <si>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</si>
  <si>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</si>
  <si>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</si>
  <si>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</si>
  <si>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</si>
  <si>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</si>
  <si>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</si>
  <si>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</si>
  <si>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</si>
  <si>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</si>
  <si>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</si>
  <si>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</si>
  <si>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</si>
  <si>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</si>
  <si>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</si>
  <si>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</si>
  <si>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</si>
  <si>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</si>
  <si>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</si>
  <si>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</si>
  <si>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</si>
  <si>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</si>
  <si>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</si>
  <si>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</si>
  <si>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</si>
  <si>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</si>
  <si>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</si>
  <si>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</si>
  <si>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</si>
  <si>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</si>
  <si>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</si>
  <si>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</si>
  <si>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</si>
  <si>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</si>
  <si>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</si>
  <si>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</si>
  <si>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</si>
  <si>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</si>
  <si>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</si>
  <si>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</si>
  <si>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</si>
  <si>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</si>
  <si>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</si>
  <si>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</si>
  <si>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</si>
  <si>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</si>
  <si>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</si>
  <si>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</si>
  <si>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</si>
  <si>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</si>
  <si>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</si>
  <si>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</si>
  <si>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</si>
  <si>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</si>
  <si>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</si>
  <si>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</si>
  <si>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</si>
  <si>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</si>
  <si>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</si>
  <si>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</si>
  <si>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</si>
  <si>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</si>
  <si>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</si>
  <si>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</si>
  <si>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</si>
  <si>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</si>
  <si>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</si>
  <si>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</si>
  <si>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</si>
  <si>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</si>
  <si>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</si>
  <si>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</si>
  <si>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</si>
  <si>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</si>
  <si>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</si>
  <si>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</si>
  <si>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</si>
  <si>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</si>
  <si>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</si>
  <si>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</si>
  <si>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</si>
  <si>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</si>
  <si>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</si>
  <si>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</si>
  <si>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</si>
  <si>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</si>
  <si>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</si>
  <si>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</si>
  <si>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</si>
  <si>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</si>
  <si>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</si>
  <si>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</si>
  <si>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</si>
  <si>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</si>
  <si>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</si>
  <si>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</si>
  <si>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</si>
  <si>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</si>
  <si>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</si>
  <si>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</si>
  <si>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</si>
  <si>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</si>
  <si>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</si>
  <si>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</si>
  <si>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</si>
  <si>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</si>
  <si>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</si>
  <si>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</si>
  <si>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</si>
  <si>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</si>
  <si>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</si>
  <si>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</si>
  <si>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</si>
  <si>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</si>
  <si>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</si>
  <si>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</si>
  <si>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</si>
  <si>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</si>
  <si>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</si>
  <si>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</si>
  <si>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</si>
  <si>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</si>
  <si>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</si>
  <si>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</si>
  <si>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</si>
  <si>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</si>
  <si>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</si>
  <si>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</si>
  <si>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</si>
  <si>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</si>
  <si>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</si>
  <si>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</si>
  <si>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</si>
  <si>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</si>
  <si>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</si>
  <si>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</si>
  <si>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</si>
  <si>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</si>
  <si>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</si>
  <si>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</si>
  <si>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</si>
  <si>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</si>
  <si>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</si>
  <si>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</si>
  <si>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</si>
  <si>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</si>
  <si>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</si>
  <si>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</si>
  <si>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</si>
  <si>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</si>
  <si>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</si>
  <si>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</si>
  <si>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</si>
  <si>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</si>
  <si>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</si>
  <si>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</si>
  <si>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</si>
  <si>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</si>
  <si>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</si>
  <si>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</si>
  <si>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</si>
  <si>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</si>
  <si>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</si>
  <si>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</si>
  <si>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</si>
  <si>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</si>
  <si>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</si>
  <si>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</si>
  <si>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</si>
  <si>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</si>
  <si>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</si>
  <si>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</si>
  <si>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</si>
  <si>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</si>
  <si>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</si>
  <si>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</si>
  <si>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</si>
  <si>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</si>
  <si>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</si>
  <si>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</si>
  <si>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</si>
  <si>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</si>
  <si>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</si>
  <si>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</si>
  <si>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</si>
  <si>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</si>
  <si>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</si>
  <si>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</si>
  <si>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</si>
  <si>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</si>
  <si>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</si>
  <si>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</si>
  <si>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</si>
  <si>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</si>
  <si>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</si>
  <si>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</si>
  <si>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</si>
  <si>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</si>
  <si>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</si>
  <si>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</si>
  <si>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</si>
  <si>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</si>
  <si>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</si>
  <si>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</si>
  <si>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</si>
  <si>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</si>
  <si>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</si>
  <si>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</si>
  <si>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</si>
  <si>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</si>
  <si>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</si>
  <si>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</si>
  <si>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</si>
  <si>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</si>
  <si>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</si>
  <si>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</si>
  <si>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</si>
  <si>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</si>
  <si>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</si>
  <si>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</si>
  <si>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</si>
  <si>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</si>
  <si>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</si>
  <si>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</si>
  <si>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</si>
  <si>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</si>
  <si>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</si>
  <si>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</si>
  <si>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</si>
  <si>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</si>
  <si>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</si>
  <si>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</si>
  <si>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</si>
  <si>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</si>
  <si>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</si>
  <si>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</si>
  <si>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</si>
  <si>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</si>
  <si>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</si>
  <si>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</si>
  <si>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</si>
  <si>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</si>
  <si>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</si>
  <si>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</si>
  <si>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</si>
  <si>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</si>
  <si>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</si>
  <si>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</si>
  <si>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</si>
  <si>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</si>
  <si>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</si>
  <si>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</si>
  <si>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</si>
  <si>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</si>
  <si>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</si>
  <si>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</si>
  <si>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</si>
  <si>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</si>
  <si>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</si>
  <si>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</si>
  <si>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</si>
  <si>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</si>
  <si>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</si>
  <si>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</si>
  <si>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</si>
  <si>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</si>
  <si>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</si>
  <si>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</si>
  <si>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</si>
  <si>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</si>
  <si>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</si>
  <si>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</si>
  <si>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</si>
  <si>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</si>
  <si>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</si>
  <si>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</si>
  <si>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</si>
  <si>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</si>
  <si>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</si>
  <si>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</si>
  <si>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</si>
  <si>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</si>
  <si>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</si>
  <si>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</si>
  <si>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</si>
  <si>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</si>
  <si>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</si>
  <si>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</si>
  <si>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</si>
  <si>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</si>
  <si>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</si>
  <si>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</si>
  <si>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</si>
  <si>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</si>
  <si>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</si>
  <si>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</si>
  <si>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</si>
  <si>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</si>
  <si>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</si>
  <si>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</si>
  <si>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</si>
  <si>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</si>
  <si>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</si>
  <si>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</si>
  <si>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</si>
  <si>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</si>
  <si>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</si>
  <si>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</si>
  <si>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</si>
  <si>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</si>
  <si>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</si>
  <si>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</si>
  <si>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</si>
  <si>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</si>
  <si>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</si>
  <si>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</si>
  <si>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</si>
  <si>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</si>
  <si>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</si>
  <si>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</si>
  <si>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</si>
  <si>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</si>
  <si>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</si>
  <si>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</si>
  <si>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</si>
  <si>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</si>
  <si>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</si>
  <si>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</si>
  <si>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</si>
  <si>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</si>
  <si>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</si>
  <si>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</si>
  <si>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</si>
  <si>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</si>
  <si>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</si>
  <si>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</si>
  <si>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</si>
  <si>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</si>
  <si>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</si>
  <si>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</si>
  <si>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</si>
  <si>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</si>
  <si>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</si>
  <si>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</si>
  <si>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</si>
  <si>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</si>
  <si>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</si>
  <si>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</si>
  <si>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</si>
  <si>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</si>
  <si>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</si>
  <si>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</si>
  <si>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</si>
  <si>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</si>
  <si>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</si>
  <si>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</si>
  <si>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</si>
  <si>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</si>
  <si>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</si>
  <si>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</si>
  <si>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</si>
  <si>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</si>
  <si>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</si>
  <si>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</si>
  <si>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</si>
  <si>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</si>
  <si>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</si>
  <si>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</si>
  <si>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</si>
  <si>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</si>
  <si>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</si>
  <si>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</si>
  <si>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</si>
  <si>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</si>
  <si>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</si>
  <si>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</si>
  <si>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</si>
  <si>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</si>
  <si>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</si>
  <si>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</si>
  <si>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</si>
  <si>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</si>
  <si>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</si>
  <si>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</si>
  <si>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</si>
  <si>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</si>
  <si>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</si>
  <si>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</si>
  <si>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</si>
  <si>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</si>
  <si>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</si>
  <si>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</si>
  <si>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</si>
  <si>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</si>
  <si>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</si>
  <si>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</si>
  <si>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</si>
  <si>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</si>
  <si>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</si>
  <si>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</si>
  <si>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</si>
  <si>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</si>
  <si>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</si>
  <si>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</si>
  <si>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</si>
  <si>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</si>
  <si>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</si>
  <si>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</si>
  <si>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</si>
  <si>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</si>
  <si>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</si>
  <si>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</si>
  <si>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</si>
  <si>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</si>
  <si>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</si>
  <si>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</si>
  <si>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</si>
  <si>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</si>
  <si>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</si>
  <si>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</si>
  <si>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</si>
  <si>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</si>
  <si>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</si>
  <si>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</si>
  <si>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</si>
  <si>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</si>
  <si>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</si>
  <si>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</si>
  <si>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</si>
  <si>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</si>
  <si>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</si>
  <si>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</si>
  <si>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</si>
  <si>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</si>
  <si>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</si>
  <si>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</si>
  <si>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</si>
  <si>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</si>
  <si>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</si>
  <si>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</si>
  <si>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</si>
  <si>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</si>
  <si>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</si>
  <si>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</si>
  <si>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</si>
  <si>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</si>
  <si>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</si>
  <si>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</si>
  <si>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</si>
  <si>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</si>
  <si>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</si>
  <si>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</si>
  <si>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</si>
  <si>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</si>
  <si>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</si>
  <si>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</si>
  <si>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</si>
  <si>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</si>
  <si>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</si>
  <si>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</si>
  <si>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</si>
  <si>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</si>
  <si>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</si>
  <si>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</si>
  <si>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</si>
  <si>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</si>
  <si>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</si>
  <si>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</si>
  <si>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</si>
  <si>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</si>
  <si>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</si>
  <si>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</si>
  <si>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</si>
  <si>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</si>
  <si>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</si>
  <si>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</si>
  <si>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</si>
  <si>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</si>
  <si>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</si>
  <si>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</si>
  <si>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</si>
  <si>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</si>
  <si>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</si>
  <si>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</si>
  <si>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</si>
  <si>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</si>
  <si>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</si>
  <si>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</si>
  <si>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</si>
  <si>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</si>
  <si>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</si>
  <si>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</si>
  <si>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</si>
  <si>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</si>
  <si>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</si>
  <si>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</si>
  <si>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</si>
  <si>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</si>
  <si>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</si>
  <si>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</si>
  <si>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</si>
  <si>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</si>
  <si>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</si>
  <si>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</si>
  <si>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</si>
  <si>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</si>
  <si>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</si>
  <si>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</si>
  <si>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</si>
  <si>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</si>
  <si>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</si>
  <si>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</si>
  <si>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</si>
  <si>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</si>
  <si>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</si>
  <si>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</si>
  <si>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</si>
  <si>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</si>
  <si>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</si>
  <si>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</si>
  <si>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</si>
  <si>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</si>
  <si>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</si>
  <si>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</si>
  <si>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</si>
  <si>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</si>
  <si>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</si>
  <si>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</si>
  <si>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</si>
  <si>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</si>
  <si>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</si>
  <si>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</si>
  <si>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</si>
  <si>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</si>
  <si>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</si>
  <si>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</si>
  <si>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</si>
  <si>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</si>
  <si>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</si>
  <si>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</si>
  <si>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</si>
  <si>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</si>
  <si>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</si>
  <si>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</si>
  <si>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</si>
  <si>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</si>
  <si>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</si>
  <si>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</si>
  <si>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</si>
  <si>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</si>
  <si>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</si>
  <si>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</si>
  <si>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</si>
  <si>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</si>
  <si>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</si>
  <si>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</si>
  <si>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</si>
  <si>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</si>
  <si>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</si>
  <si>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</si>
  <si>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</si>
  <si>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</si>
  <si>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</si>
  <si>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</si>
  <si>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</si>
  <si>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</si>
  <si>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</si>
  <si>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</si>
  <si>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</si>
  <si>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</si>
  <si>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</si>
  <si>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</si>
  <si>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</si>
  <si>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</si>
  <si>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</si>
  <si>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</si>
  <si>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</si>
  <si>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</si>
  <si>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</si>
  <si>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</si>
  <si>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</si>
  <si>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</si>
  <si>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</si>
  <si>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</si>
  <si>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</si>
  <si>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</si>
  <si>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</si>
  <si>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</si>
  <si>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</si>
  <si>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</si>
  <si>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</si>
  <si>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</si>
  <si>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</si>
  <si>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</si>
  <si>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</si>
  <si>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</si>
  <si>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</si>
  <si>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</si>
  <si>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</si>
  <si>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</si>
  <si>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</si>
  <si>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</si>
  <si>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</si>
  <si>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</si>
  <si>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</si>
  <si>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</si>
  <si>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</si>
  <si>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</si>
  <si>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</si>
  <si>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</si>
  <si>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</si>
  <si>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</si>
  <si>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</si>
  <si>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</si>
  <si>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</si>
  <si>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</si>
  <si>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</si>
  <si>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</si>
  <si>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</si>
  <si>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</si>
  <si>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</si>
  <si>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</si>
  <si>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</si>
  <si>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</si>
  <si>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</si>
  <si>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</si>
  <si>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</si>
  <si>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</si>
  <si>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</si>
  <si>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</si>
  <si>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</si>
  <si>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</si>
  <si>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</si>
  <si>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</si>
  <si>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</si>
  <si>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</si>
  <si>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</si>
  <si>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</si>
  <si>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</si>
  <si>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</si>
  <si>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</si>
  <si>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</si>
  <si>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</si>
  <si>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</si>
  <si>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</si>
  <si>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</si>
  <si>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</si>
  <si>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</si>
  <si>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</si>
  <si>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</si>
  <si>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</si>
  <si>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</si>
  <si>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</si>
  <si>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</si>
  <si>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</si>
  <si>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</si>
  <si>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</si>
  <si>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</si>
  <si>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</si>
  <si>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</si>
  <si>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</si>
  <si>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</si>
  <si>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</si>
  <si>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</si>
  <si>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</si>
  <si>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</si>
  <si>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</si>
  <si>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</si>
  <si>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</si>
  <si>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</si>
  <si>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</si>
  <si>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</si>
  <si>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</si>
  <si>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</si>
  <si>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</si>
  <si>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</si>
  <si>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</si>
  <si>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</si>
  <si>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</si>
  <si>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</si>
  <si>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</si>
  <si>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</si>
  <si>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</si>
  <si>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</si>
  <si>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</si>
  <si>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</si>
  <si>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</si>
  <si>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</si>
  <si>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</si>
  <si>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</si>
  <si>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</si>
  <si>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</si>
  <si>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</si>
  <si>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</si>
  <si>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</si>
  <si>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</si>
  <si>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</si>
  <si>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</si>
  <si>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</si>
  <si>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</si>
  <si>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</si>
  <si>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</si>
  <si>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</si>
  <si>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</si>
  <si>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</si>
  <si>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</si>
  <si>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</si>
  <si>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</si>
  <si>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</si>
  <si>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</si>
  <si>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</si>
  <si>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</si>
  <si>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</si>
  <si>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</si>
  <si>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</si>
  <si>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</si>
  <si>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</si>
  <si>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</si>
  <si>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</si>
  <si>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</si>
  <si>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</si>
  <si>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</si>
  <si>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</si>
  <si>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</si>
  <si>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</si>
  <si>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</si>
  <si>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</si>
  <si>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</si>
  <si>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</si>
  <si>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</si>
  <si>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</si>
  <si>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</si>
  <si>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</si>
  <si>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</si>
  <si>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</si>
  <si>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</si>
  <si>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</si>
  <si>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</si>
  <si>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</si>
  <si>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</si>
  <si>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</si>
  <si>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</si>
  <si>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</si>
  <si>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</si>
  <si>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</si>
  <si>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</si>
  <si>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</si>
  <si>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</si>
  <si>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</si>
  <si>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</si>
  <si>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</si>
  <si>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</si>
  <si>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</si>
  <si>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</si>
  <si>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</si>
  <si>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</si>
  <si>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</si>
  <si>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</si>
  <si>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</si>
  <si>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</si>
  <si>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</si>
  <si>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</si>
  <si>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</si>
  <si>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</si>
  <si>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</si>
  <si>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</si>
  <si>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</si>
  <si>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</si>
  <si>
    <t>INVcost (2015 R/kW)</t>
  </si>
  <si>
    <t>USD2017-&gt;ZAR2015</t>
  </si>
  <si>
    <t>ZAR 2019 R/kW</t>
  </si>
  <si>
    <t>IDUM</t>
  </si>
  <si>
    <t>Dummy commodity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</si>
</sst>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40">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2" fontId="0" fillId="26" borderId="0" xfId="0" applyNumberFormat="1" applyFill="1" applyAlignment="1">
      <alignment horizontal="center"/>
    </xf>
    <xf numFmtId="1" fontId="0" fillId="0" borderId="0" xfId="0" applyNumberFormat="1" applyFill="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7" Type="http://schemas.openxmlformats.org/officeDocument/2006/relationships/image" Target="../media/image17.png"/><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33.emf"/><Relationship Id="rId7" Type="http://schemas.openxmlformats.org/officeDocument/2006/relationships/image" Target="../media/image37.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 Id="rId9" Type="http://schemas.openxmlformats.org/officeDocument/2006/relationships/image" Target="../media/image39.emf"/></Relationships>
</file>

<file path=xl/drawings/_rels/drawing14.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chart" Target="../charts/chart12.xml"/><Relationship Id="rId1" Type="http://schemas.openxmlformats.org/officeDocument/2006/relationships/image" Target="../media/image74.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2.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10" Type="http://schemas.openxmlformats.org/officeDocument/2006/relationships/image" Target="../media/image90.png"/><Relationship Id="rId4" Type="http://schemas.openxmlformats.org/officeDocument/2006/relationships/image" Target="../media/image86.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5.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emf"/><Relationship Id="rId7" Type="http://schemas.openxmlformats.org/officeDocument/2006/relationships/image" Target="../media/image28.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5" Type="http://schemas.openxmlformats.org/officeDocument/2006/relationships/image" Target="../media/image26.emf"/><Relationship Id="rId4" Type="http://schemas.openxmlformats.org/officeDocument/2006/relationships/image" Target="../media/image25.emf"/><Relationship Id="rId9" Type="http://schemas.openxmlformats.org/officeDocument/2006/relationships/image" Target="../media/image30.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7.emf"/><Relationship Id="rId3" Type="http://schemas.openxmlformats.org/officeDocument/2006/relationships/image" Target="../media/image42.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40.emf"/><Relationship Id="rId6" Type="http://schemas.openxmlformats.org/officeDocument/2006/relationships/image" Target="../media/image45.emf"/><Relationship Id="rId5" Type="http://schemas.openxmlformats.org/officeDocument/2006/relationships/image" Target="../media/image44.emf"/><Relationship Id="rId4"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4" Type="http://schemas.openxmlformats.org/officeDocument/2006/relationships/image" Target="../media/image51.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59.emf"/><Relationship Id="rId3" Type="http://schemas.openxmlformats.org/officeDocument/2006/relationships/image" Target="../media/image54.emf"/><Relationship Id="rId7" Type="http://schemas.openxmlformats.org/officeDocument/2006/relationships/image" Target="../media/image58.emf"/><Relationship Id="rId2" Type="http://schemas.openxmlformats.org/officeDocument/2006/relationships/image" Target="../media/image53.emf"/><Relationship Id="rId1" Type="http://schemas.openxmlformats.org/officeDocument/2006/relationships/image" Target="../media/image52.emf"/><Relationship Id="rId6" Type="http://schemas.openxmlformats.org/officeDocument/2006/relationships/image" Target="../media/image57.emf"/><Relationship Id="rId5" Type="http://schemas.openxmlformats.org/officeDocument/2006/relationships/image" Target="../media/image56.emf"/><Relationship Id="rId4" Type="http://schemas.openxmlformats.org/officeDocument/2006/relationships/image" Target="../media/image55.emf"/><Relationship Id="rId9" Type="http://schemas.openxmlformats.org/officeDocument/2006/relationships/image" Target="../media/image60.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92.emf"/><Relationship Id="rId1" Type="http://schemas.openxmlformats.org/officeDocument/2006/relationships/image" Target="../media/image91.emf"/><Relationship Id="rId4" Type="http://schemas.openxmlformats.org/officeDocument/2006/relationships/image" Target="../media/image94.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98.emf"/><Relationship Id="rId3" Type="http://schemas.openxmlformats.org/officeDocument/2006/relationships/image" Target="../media/image103.emf"/><Relationship Id="rId7" Type="http://schemas.openxmlformats.org/officeDocument/2006/relationships/image" Target="../media/image99.emf"/><Relationship Id="rId2" Type="http://schemas.openxmlformats.org/officeDocument/2006/relationships/image" Target="../media/image104.emf"/><Relationship Id="rId1" Type="http://schemas.openxmlformats.org/officeDocument/2006/relationships/image" Target="../media/image105.emf"/><Relationship Id="rId6" Type="http://schemas.openxmlformats.org/officeDocument/2006/relationships/image" Target="../media/image100.emf"/><Relationship Id="rId5" Type="http://schemas.openxmlformats.org/officeDocument/2006/relationships/image" Target="../media/image101.emf"/><Relationship Id="rId4" Type="http://schemas.openxmlformats.org/officeDocument/2006/relationships/image" Target="../media/image102.emf"/><Relationship Id="rId9" Type="http://schemas.openxmlformats.org/officeDocument/2006/relationships/image" Target="../media/image97.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07.emf"/><Relationship Id="rId3" Type="http://schemas.openxmlformats.org/officeDocument/2006/relationships/image" Target="../media/image112.emf"/><Relationship Id="rId7" Type="http://schemas.openxmlformats.org/officeDocument/2006/relationships/image" Target="../media/image108.emf"/><Relationship Id="rId2" Type="http://schemas.openxmlformats.org/officeDocument/2006/relationships/image" Target="../media/image113.emf"/><Relationship Id="rId1" Type="http://schemas.openxmlformats.org/officeDocument/2006/relationships/image" Target="../media/image114.emf"/><Relationship Id="rId6" Type="http://schemas.openxmlformats.org/officeDocument/2006/relationships/image" Target="../media/image109.emf"/><Relationship Id="rId5" Type="http://schemas.openxmlformats.org/officeDocument/2006/relationships/image" Target="../media/image110.emf"/><Relationship Id="rId4" Type="http://schemas.openxmlformats.org/officeDocument/2006/relationships/image" Target="../media/image111.emf"/><Relationship Id="rId9" Type="http://schemas.openxmlformats.org/officeDocument/2006/relationships/image" Target="../media/image106.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96</xdr:col>
      <xdr:colOff>85725</xdr:colOff>
      <xdr:row>72</xdr:row>
      <xdr:rowOff>109537</xdr:rowOff>
    </xdr:from>
    <xdr:to>
      <xdr:col>102</xdr:col>
      <xdr:colOff>85725</xdr:colOff>
      <xdr:row>84</xdr:row>
      <xdr:rowOff>100012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73</xdr:row>
      <xdr:rowOff>122959</xdr:rowOff>
    </xdr:from>
    <xdr:to>
      <xdr:col>5</xdr:col>
      <xdr:colOff>301156</xdr:colOff>
      <xdr:row>97</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0.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6.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control" Target="../activeX/activeX9.xml"/><Relationship Id="rId17" Type="http://schemas.openxmlformats.org/officeDocument/2006/relationships/image" Target="../media/image28.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5.emf"/><Relationship Id="rId5" Type="http://schemas.openxmlformats.org/officeDocument/2006/relationships/image" Target="../media/image22.emf"/><Relationship Id="rId15" Type="http://schemas.openxmlformats.org/officeDocument/2006/relationships/image" Target="../media/image27.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29.emf"/><Relationship Id="rId4" Type="http://schemas.openxmlformats.org/officeDocument/2006/relationships/control" Target="../activeX/activeX5.xml"/><Relationship Id="rId9" Type="http://schemas.openxmlformats.org/officeDocument/2006/relationships/image" Target="../media/image24.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4.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1.emf"/><Relationship Id="rId12" Type="http://schemas.openxmlformats.org/officeDocument/2006/relationships/control" Target="../activeX/activeX18.xml"/><Relationship Id="rId17" Type="http://schemas.openxmlformats.org/officeDocument/2006/relationships/image" Target="../media/image46.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3.emf"/><Relationship Id="rId5" Type="http://schemas.openxmlformats.org/officeDocument/2006/relationships/image" Target="../media/image40.emf"/><Relationship Id="rId15" Type="http://schemas.openxmlformats.org/officeDocument/2006/relationships/image" Target="../media/image45.emf"/><Relationship Id="rId10" Type="http://schemas.openxmlformats.org/officeDocument/2006/relationships/control" Target="../activeX/activeX17.xml"/><Relationship Id="rId19" Type="http://schemas.openxmlformats.org/officeDocument/2006/relationships/image" Target="../media/image47.emf"/><Relationship Id="rId4" Type="http://schemas.openxmlformats.org/officeDocument/2006/relationships/control" Target="../activeX/activeX14.xml"/><Relationship Id="rId9" Type="http://schemas.openxmlformats.org/officeDocument/2006/relationships/image" Target="../media/image42.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49.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0.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4.emf"/><Relationship Id="rId13" Type="http://schemas.openxmlformats.org/officeDocument/2006/relationships/control" Target="../activeX/activeX31.xml"/><Relationship Id="rId18" Type="http://schemas.openxmlformats.org/officeDocument/2006/relationships/image" Target="../media/image59.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6.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8.emf"/><Relationship Id="rId20" Type="http://schemas.openxmlformats.org/officeDocument/2006/relationships/image" Target="../media/image60.emf"/><Relationship Id="rId1" Type="http://schemas.openxmlformats.org/officeDocument/2006/relationships/drawing" Target="../drawings/drawing12.xml"/><Relationship Id="rId6" Type="http://schemas.openxmlformats.org/officeDocument/2006/relationships/image" Target="../media/image53.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5.emf"/><Relationship Id="rId19" Type="http://schemas.openxmlformats.org/officeDocument/2006/relationships/control" Target="../activeX/activeX34.xml"/><Relationship Id="rId4" Type="http://schemas.openxmlformats.org/officeDocument/2006/relationships/image" Target="../media/image52.emf"/><Relationship Id="rId9" Type="http://schemas.openxmlformats.org/officeDocument/2006/relationships/control" Target="../activeX/activeX29.xml"/><Relationship Id="rId14" Type="http://schemas.openxmlformats.org/officeDocument/2006/relationships/image" Target="../media/image57.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5.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control" Target="../activeX/activeX39.xml"/><Relationship Id="rId17" Type="http://schemas.openxmlformats.org/officeDocument/2006/relationships/image" Target="../media/image67.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control" Target="../activeX/activeX38.xml"/><Relationship Id="rId19" Type="http://schemas.openxmlformats.org/officeDocument/2006/relationships/image" Target="../media/image68.emf"/><Relationship Id="rId4" Type="http://schemas.openxmlformats.org/officeDocument/2006/relationships/control" Target="../activeX/activeX35.xml"/><Relationship Id="rId9" Type="http://schemas.openxmlformats.org/officeDocument/2006/relationships/image" Target="../media/image63.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2.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4.emf"/><Relationship Id="rId5" Type="http://schemas.openxmlformats.org/officeDocument/2006/relationships/image" Target="../media/image91.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3.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1.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5.emf"/><Relationship Id="rId7" Type="http://schemas.openxmlformats.org/officeDocument/2006/relationships/image" Target="../media/image98.emf"/><Relationship Id="rId12" Type="http://schemas.openxmlformats.org/officeDocument/2006/relationships/control" Target="../activeX/activeX51.xml"/><Relationship Id="rId17" Type="http://schemas.openxmlformats.org/officeDocument/2006/relationships/image" Target="../media/image103.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0.emf"/><Relationship Id="rId5" Type="http://schemas.openxmlformats.org/officeDocument/2006/relationships/image" Target="../media/image97.emf"/><Relationship Id="rId15" Type="http://schemas.openxmlformats.org/officeDocument/2006/relationships/image" Target="../media/image102.emf"/><Relationship Id="rId10" Type="http://schemas.openxmlformats.org/officeDocument/2006/relationships/control" Target="../activeX/activeX50.xml"/><Relationship Id="rId19" Type="http://schemas.openxmlformats.org/officeDocument/2006/relationships/image" Target="../media/image104.emf"/><Relationship Id="rId4" Type="http://schemas.openxmlformats.org/officeDocument/2006/relationships/control" Target="../activeX/activeX47.xml"/><Relationship Id="rId9" Type="http://schemas.openxmlformats.org/officeDocument/2006/relationships/image" Target="../media/image99.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0.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4.emf"/><Relationship Id="rId7" Type="http://schemas.openxmlformats.org/officeDocument/2006/relationships/image" Target="../media/image107.emf"/><Relationship Id="rId12" Type="http://schemas.openxmlformats.org/officeDocument/2006/relationships/control" Target="../activeX/activeX60.xml"/><Relationship Id="rId17" Type="http://schemas.openxmlformats.org/officeDocument/2006/relationships/image" Target="../media/image112.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09.emf"/><Relationship Id="rId5" Type="http://schemas.openxmlformats.org/officeDocument/2006/relationships/image" Target="../media/image106.emf"/><Relationship Id="rId15" Type="http://schemas.openxmlformats.org/officeDocument/2006/relationships/image" Target="../media/image111.emf"/><Relationship Id="rId10" Type="http://schemas.openxmlformats.org/officeDocument/2006/relationships/control" Target="../activeX/activeX59.xml"/><Relationship Id="rId19" Type="http://schemas.openxmlformats.org/officeDocument/2006/relationships/image" Target="../media/image113.emf"/><Relationship Id="rId4" Type="http://schemas.openxmlformats.org/officeDocument/2006/relationships/control" Target="../activeX/activeX56.xml"/><Relationship Id="rId9" Type="http://schemas.openxmlformats.org/officeDocument/2006/relationships/image" Target="../media/image108.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A109" sqref="A109"/>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44615.58238240741</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44615.58238240741</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T130"/>
  <sheetViews>
    <sheetView workbookViewId="0"/>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3" s="430" customFormat="1"/>
    <row r="50" spans="3:93" s="430" customFormat="1"/>
    <row r="51" spans="3:93" s="430" customFormat="1"/>
    <row r="52" spans="3:93" s="430" customFormat="1"/>
    <row r="53" spans="3:93"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3"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3"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3"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3"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3"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3"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3" s="430" customFormat="1">
      <c r="BI60"/>
      <c r="BJ60"/>
      <c r="BK60" t="s">
        <v>14371</v>
      </c>
      <c r="BL60"/>
      <c r="BM60"/>
      <c r="BN60"/>
      <c r="BO60"/>
      <c r="BP60"/>
      <c r="BX60" s="430" t="s">
        <v>14372</v>
      </c>
      <c r="CJ60" s="430" t="s">
        <v>14380</v>
      </c>
    </row>
    <row r="61" spans="3:93" s="430" customFormat="1">
      <c r="BI61"/>
      <c r="BJ61"/>
      <c r="BK61"/>
      <c r="BL61"/>
      <c r="BM61"/>
      <c r="BN61"/>
      <c r="BO61"/>
      <c r="BP61"/>
    </row>
    <row r="62" spans="3:93" s="430" customFormat="1">
      <c r="F62" s="406">
        <f>U25</f>
        <v>104.73927357360537</v>
      </c>
      <c r="BI62"/>
      <c r="BJ62"/>
      <c r="BK62"/>
      <c r="BL62"/>
      <c r="BM62"/>
      <c r="BN62"/>
      <c r="BO62"/>
      <c r="BP62"/>
    </row>
    <row r="63" spans="3:93" s="430" customFormat="1">
      <c r="BI63"/>
      <c r="BJ63"/>
      <c r="BK63"/>
      <c r="BL63"/>
      <c r="BM63"/>
      <c r="BN63"/>
      <c r="BO63"/>
      <c r="BP63"/>
    </row>
    <row r="64" spans="3:93"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801">
        <v>2010</v>
      </c>
      <c r="N22" s="1801"/>
      <c r="O22" s="1801"/>
      <c r="P22" s="1801"/>
      <c r="R22" s="1801">
        <v>2010</v>
      </c>
      <c r="S22" s="1801"/>
      <c r="T22" s="1801"/>
      <c r="U22" s="1801"/>
      <c r="X22" s="430" t="s">
        <v>1007</v>
      </c>
    </row>
    <row r="23" spans="2:27" s="430" customFormat="1">
      <c r="C23" s="6"/>
      <c r="D23" s="6"/>
      <c r="E23" s="6"/>
      <c r="F23" s="6"/>
      <c r="G23" s="6"/>
      <c r="H23" s="6"/>
      <c r="I23" s="6"/>
      <c r="J23" s="430">
        <v>1</v>
      </c>
      <c r="K23" s="430">
        <f>J23+1</f>
        <v>2</v>
      </c>
      <c r="M23" s="1799" t="s">
        <v>978</v>
      </c>
      <c r="N23" s="1800"/>
      <c r="O23" s="1799" t="s">
        <v>965</v>
      </c>
      <c r="P23" s="1800"/>
      <c r="R23" s="1799" t="s">
        <v>978</v>
      </c>
      <c r="S23" s="1800"/>
      <c r="T23" s="1799" t="s">
        <v>965</v>
      </c>
      <c r="U23" s="1800"/>
    </row>
    <row r="24" spans="2:27" s="430" customFormat="1" ht="15.75" thickBot="1">
      <c r="C24" s="6"/>
      <c r="D24" s="6"/>
      <c r="E24" s="6"/>
      <c r="F24" s="6"/>
      <c r="G24" s="6"/>
      <c r="H24" s="6"/>
      <c r="I24" s="6"/>
      <c r="K24" s="6">
        <v>2012</v>
      </c>
      <c r="L24" s="6"/>
      <c r="M24" s="1799" t="s">
        <v>345</v>
      </c>
      <c r="N24" s="1800"/>
      <c r="O24" s="1799" t="s">
        <v>345</v>
      </c>
      <c r="P24" s="1800"/>
      <c r="R24" s="1799" t="s">
        <v>979</v>
      </c>
      <c r="S24" s="1800"/>
      <c r="T24" s="1799" t="s">
        <v>979</v>
      </c>
      <c r="U24" s="180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30" t="s">
        <v>1905</v>
      </c>
      <c r="AD1" s="1830"/>
      <c r="AE1" s="1830"/>
    </row>
    <row r="2" spans="1:31" ht="15.75" customHeight="1">
      <c r="A2" s="1816" t="s">
        <v>1723</v>
      </c>
      <c r="B2" s="1818" t="s">
        <v>1724</v>
      </c>
      <c r="C2" s="1820" t="s">
        <v>1725</v>
      </c>
      <c r="D2" s="1821"/>
      <c r="E2" s="1822"/>
      <c r="F2" s="1825" t="s">
        <v>1726</v>
      </c>
      <c r="G2" s="1155"/>
      <c r="H2" s="1155"/>
      <c r="I2" s="1155"/>
      <c r="J2" s="1155"/>
      <c r="U2" s="1149" t="s">
        <v>1930</v>
      </c>
      <c r="V2" s="1133">
        <v>18.235131074122162</v>
      </c>
      <c r="W2" s="1164" t="s">
        <v>1931</v>
      </c>
      <c r="AC2" s="1141" t="s">
        <v>1906</v>
      </c>
      <c r="AD2" s="1142">
        <f>AD3*AD4/10^3</f>
        <v>5.4839199999999998E-2</v>
      </c>
      <c r="AE2" s="1048" t="s">
        <v>248</v>
      </c>
    </row>
    <row r="3" spans="1:31">
      <c r="A3" s="1817"/>
      <c r="B3" s="1819"/>
      <c r="C3" s="1823"/>
      <c r="D3" s="1824"/>
      <c r="E3" s="1824"/>
      <c r="F3" s="1826"/>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31" t="s">
        <v>251</v>
      </c>
      <c r="AD20" s="1831"/>
      <c r="AE20" s="1831"/>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28"/>
      <c r="I26" s="1828"/>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10" t="s">
        <v>1897</v>
      </c>
      <c r="M27" s="1807" t="s">
        <v>1401</v>
      </c>
      <c r="N27" s="1129" t="s">
        <v>1898</v>
      </c>
      <c r="O27" s="1135" t="s">
        <v>1899</v>
      </c>
      <c r="P27" s="1127" t="s">
        <v>1898</v>
      </c>
      <c r="Q27" s="1140" t="s">
        <v>1899</v>
      </c>
      <c r="R27" s="1810" t="s">
        <v>1937</v>
      </c>
      <c r="S27" s="1810" t="s">
        <v>1947</v>
      </c>
      <c r="T27" s="1810" t="s">
        <v>1981</v>
      </c>
      <c r="U27" s="1810" t="s">
        <v>1937</v>
      </c>
      <c r="V27" s="1810" t="s">
        <v>1947</v>
      </c>
      <c r="W27" s="1810" t="s">
        <v>1981</v>
      </c>
      <c r="X27" s="1153"/>
      <c r="Y27" s="1153"/>
      <c r="Z27" s="1153"/>
      <c r="AA27" s="1153"/>
    </row>
    <row r="28" spans="1:31">
      <c r="A28" s="430" t="s">
        <v>1748</v>
      </c>
      <c r="C28" s="430" t="s">
        <v>1900</v>
      </c>
      <c r="D28" s="430" t="s">
        <v>1900</v>
      </c>
      <c r="E28" s="430" t="s">
        <v>1900</v>
      </c>
      <c r="F28" s="6" t="s">
        <v>1901</v>
      </c>
      <c r="G28" s="6" t="s">
        <v>1938</v>
      </c>
      <c r="H28" s="1829" t="s">
        <v>1940</v>
      </c>
      <c r="I28" s="1829"/>
      <c r="J28" s="6" t="s">
        <v>1901</v>
      </c>
      <c r="K28" s="430" t="s">
        <v>1938</v>
      </c>
      <c r="L28" s="1811"/>
      <c r="M28" s="1808"/>
      <c r="N28" s="877"/>
      <c r="O28" s="1136"/>
      <c r="P28" s="1136"/>
      <c r="Q28" s="1131"/>
      <c r="R28" s="1811"/>
      <c r="S28" s="1811"/>
      <c r="T28" s="1811"/>
      <c r="U28" s="1811"/>
      <c r="V28" s="1811"/>
      <c r="W28" s="1811"/>
      <c r="X28" s="532"/>
      <c r="Y28" s="532"/>
      <c r="Z28" s="532"/>
      <c r="AA28" s="532"/>
    </row>
    <row r="29" spans="1:31" ht="15.75" thickBot="1">
      <c r="A29" s="392" t="s">
        <v>1902</v>
      </c>
      <c r="F29" s="6" t="s">
        <v>1903</v>
      </c>
      <c r="G29" s="6" t="s">
        <v>1939</v>
      </c>
      <c r="H29" s="612"/>
      <c r="I29" s="612"/>
      <c r="J29" s="6" t="s">
        <v>1903</v>
      </c>
      <c r="K29" s="430" t="s">
        <v>1903</v>
      </c>
      <c r="L29" s="1812"/>
      <c r="M29" s="1809"/>
      <c r="N29" s="1130" t="s">
        <v>1100</v>
      </c>
      <c r="O29" s="1137" t="s">
        <v>1100</v>
      </c>
      <c r="P29" s="548" t="s">
        <v>1100</v>
      </c>
      <c r="Q29" s="687" t="s">
        <v>1100</v>
      </c>
      <c r="R29" s="1812"/>
      <c r="S29" s="1812"/>
      <c r="T29" s="1812"/>
      <c r="U29" s="1812"/>
      <c r="V29" s="1812"/>
      <c r="W29" s="1812"/>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13"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14"/>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14"/>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14"/>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14"/>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15"/>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13"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14"/>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14"/>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15"/>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13"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14"/>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15"/>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7" t="s">
        <v>1843</v>
      </c>
      <c r="E74" s="1827"/>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02" t="s">
        <v>1957</v>
      </c>
      <c r="B98" s="1170" t="s">
        <v>42</v>
      </c>
      <c r="C98" s="1804" t="s">
        <v>1966</v>
      </c>
      <c r="D98" s="1170">
        <v>0.77</v>
      </c>
      <c r="E98" s="1170">
        <v>18</v>
      </c>
    </row>
    <row r="99" spans="1:18" ht="23.25" thickBot="1">
      <c r="A99" s="1803"/>
      <c r="B99" s="1170" t="s">
        <v>1958</v>
      </c>
      <c r="C99" s="1805"/>
      <c r="D99" s="1170">
        <v>0.18</v>
      </c>
      <c r="E99" s="1170">
        <v>2.5</v>
      </c>
      <c r="K99" s="430">
        <f>0.77/0.0243</f>
        <v>31.68724279835391</v>
      </c>
    </row>
    <row r="100" spans="1:18" ht="15.75" thickBot="1">
      <c r="A100" s="1802" t="s">
        <v>1959</v>
      </c>
      <c r="B100" s="1170" t="s">
        <v>1960</v>
      </c>
      <c r="C100" s="1805"/>
      <c r="D100" s="1170">
        <v>0</v>
      </c>
      <c r="E100" s="1170">
        <v>1.2</v>
      </c>
    </row>
    <row r="101" spans="1:18" ht="15.75" thickBot="1">
      <c r="A101" s="1803"/>
      <c r="B101" s="1170" t="s">
        <v>1961</v>
      </c>
      <c r="C101" s="1806"/>
      <c r="D101" s="1170">
        <v>0</v>
      </c>
      <c r="E101" s="1170">
        <v>0.1</v>
      </c>
    </row>
    <row r="102" spans="1:18" ht="15.75" thickBot="1">
      <c r="A102" s="1802" t="s">
        <v>1957</v>
      </c>
      <c r="B102" s="1170" t="s">
        <v>1960</v>
      </c>
      <c r="C102" s="1804" t="s">
        <v>1967</v>
      </c>
      <c r="D102" s="1170">
        <v>7.6999999999999999E-2</v>
      </c>
      <c r="E102" s="1170" t="s">
        <v>1962</v>
      </c>
    </row>
    <row r="103" spans="1:18" ht="15.75" thickBot="1">
      <c r="A103" s="1803"/>
      <c r="B103" s="1170" t="s">
        <v>1961</v>
      </c>
      <c r="C103" s="1805"/>
      <c r="D103" s="1170">
        <v>1.7999999999999999E-2</v>
      </c>
      <c r="E103" s="1170" t="s">
        <v>1962</v>
      </c>
    </row>
    <row r="104" spans="1:18" ht="15.75" thickBot="1">
      <c r="A104" s="1802" t="s">
        <v>1959</v>
      </c>
      <c r="B104" s="1170" t="s">
        <v>1960</v>
      </c>
      <c r="C104" s="1805"/>
      <c r="D104" s="1170">
        <v>0</v>
      </c>
      <c r="E104" s="1170" t="s">
        <v>1962</v>
      </c>
    </row>
    <row r="105" spans="1:18" ht="15.75" thickBot="1">
      <c r="A105" s="1803"/>
      <c r="B105" s="1170" t="s">
        <v>1961</v>
      </c>
      <c r="C105" s="1806"/>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2" t="s">
        <v>1013</v>
      </c>
      <c r="E29" s="1832"/>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3">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3"/>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4">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5"/>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4">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5"/>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81" workbookViewId="0">
      <selection activeCell="Q96" sqref="Q96"/>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6" t="s">
        <v>240</v>
      </c>
      <c r="C1" s="1836"/>
      <c r="D1" s="183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7"/>
      <c r="AU54" s="1837"/>
      <c r="AV54" s="1837"/>
      <c r="AW54" s="1837"/>
      <c r="AX54" s="1837"/>
      <c r="AY54" s="1837"/>
      <c r="AZ54" s="183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8"/>
      <c r="AV55" s="1837"/>
      <c r="AW55" s="1837"/>
      <c r="AX55" s="1837"/>
      <c r="AY55" s="1837"/>
      <c r="AZ55" s="183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1000</v>
      </c>
      <c r="Q96" s="992">
        <v>500</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abSelected="1" topLeftCell="A61" workbookViewId="0">
      <selection activeCell="O94" sqref="O94"/>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35"/>
      <c r="S64" s="1651" t="str">
        <f ca="1">IF(IFERROR(VLOOKUP($C64,SUP!$B$54:$Q$104,MATCH($B64&amp;"-"&amp;S$7,SUP!$B$54:$Q$54,0),FALSE),"")="","",IFERROR(VLOOKUP($C64,SUP!$B$54:$Q$104,MATCH($B64&amp;"-"&amp;S$7,SUP!$B$54:$Q$54,0),FALSE),""))</f>
        <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V64" s="1651">
        <f>25838/1000</f>
        <v>25.838000000000001</v>
      </c>
      <c r="W64" s="1635">
        <v>0</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v>151.28700000000001</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1000</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1000</v>
      </c>
      <c r="AM98" s="1651"/>
      <c r="AN98" s="441">
        <f ca="1">IF(IFERROR(VLOOKUP($C98,SUP!$B$54:$Q$104,MATCH($B98&amp;"-"&amp;AN$7,SUP!$B$54:$Q$54,0),FALSE),"")="","",IFERROR(VLOOKUP($C98,SUP!$B$54:$Q$104,MATCH($B98&amp;"-"&amp;AN$7,SUP!$B$54:$Q$54,0),FALSE),""))</f>
        <v>500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1000</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46" t="s">
        <v>410</v>
      </c>
      <c r="D2" s="1847"/>
      <c r="E2" s="1847"/>
      <c r="F2" s="1848" t="s">
        <v>411</v>
      </c>
      <c r="G2" s="1849"/>
      <c r="H2" s="1850"/>
      <c r="I2" s="1848" t="s">
        <v>412</v>
      </c>
      <c r="J2" s="1849"/>
      <c r="K2" s="1850"/>
      <c r="L2" s="1848" t="s">
        <v>413</v>
      </c>
      <c r="M2" s="1849"/>
      <c r="N2" s="1850"/>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51" t="s">
        <v>424</v>
      </c>
      <c r="B9" s="1852"/>
      <c r="C9" s="273"/>
      <c r="D9" s="493">
        <f>D5/$O$5</f>
        <v>0.24081111414274101</v>
      </c>
      <c r="E9" s="258"/>
      <c r="F9" s="273"/>
      <c r="G9" s="493">
        <f>G5/$O$5</f>
        <v>0.4641206601202213</v>
      </c>
      <c r="H9" s="272"/>
      <c r="I9" s="273"/>
      <c r="J9" s="493">
        <f>J5/$O$5</f>
        <v>0.29506822573703767</v>
      </c>
      <c r="K9" s="272"/>
      <c r="L9" s="273"/>
      <c r="M9" s="259"/>
      <c r="N9" s="267"/>
      <c r="O9" s="261">
        <v>788</v>
      </c>
      <c r="Q9" s="1840" t="s">
        <v>425</v>
      </c>
      <c r="S9" s="1844" t="s">
        <v>426</v>
      </c>
      <c r="V9" s="1842" t="s">
        <v>427</v>
      </c>
      <c r="W9" s="1842" t="s">
        <v>428</v>
      </c>
      <c r="X9" s="1842" t="s">
        <v>429</v>
      </c>
      <c r="Y9" s="1842" t="s">
        <v>430</v>
      </c>
      <c r="Z9" s="1842" t="s">
        <v>431</v>
      </c>
      <c r="AA9" s="1842" t="s">
        <v>576</v>
      </c>
      <c r="AB9" s="1842" t="s">
        <v>432</v>
      </c>
    </row>
    <row r="10" spans="1:30" ht="12" customHeight="1">
      <c r="A10" s="1853"/>
      <c r="B10" s="1854"/>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41"/>
      <c r="R10" s="277" t="s">
        <v>414</v>
      </c>
      <c r="S10" s="1845"/>
      <c r="U10" s="277" t="s">
        <v>414</v>
      </c>
      <c r="V10" s="1843"/>
      <c r="W10" s="1843"/>
      <c r="X10" s="1843"/>
      <c r="Y10" s="1843"/>
      <c r="Z10" s="1843"/>
      <c r="AA10" s="1843"/>
      <c r="AB10" s="1843"/>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39" t="s">
        <v>14057</v>
      </c>
      <c r="L62" s="1839"/>
      <c r="M62" s="1839"/>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9" t="s">
        <v>463</v>
      </c>
      <c r="D2" s="1860"/>
      <c r="E2" s="1861"/>
      <c r="F2" s="1862" t="s">
        <v>464</v>
      </c>
      <c r="G2" s="1863"/>
      <c r="H2" s="1850"/>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4" t="s">
        <v>425</v>
      </c>
      <c r="K13" s="351"/>
      <c r="L13" s="1865" t="s">
        <v>426</v>
      </c>
      <c r="M13" s="279"/>
      <c r="N13" s="351"/>
      <c r="O13" s="352" t="s">
        <v>474</v>
      </c>
      <c r="P13" s="353" t="s">
        <v>388</v>
      </c>
      <c r="Q13" s="352" t="s">
        <v>474</v>
      </c>
      <c r="R13" s="353" t="s">
        <v>388</v>
      </c>
      <c r="S13" s="352" t="s">
        <v>474</v>
      </c>
      <c r="T13" s="353" t="s">
        <v>388</v>
      </c>
    </row>
    <row r="14" spans="1:20" ht="14.25">
      <c r="A14" s="1855" t="s">
        <v>424</v>
      </c>
      <c r="B14" s="1856"/>
      <c r="C14" s="354"/>
      <c r="D14" s="275"/>
      <c r="E14" s="355"/>
      <c r="F14" s="356"/>
      <c r="G14" s="275"/>
      <c r="H14" s="347"/>
      <c r="I14" s="357"/>
      <c r="J14" s="1845"/>
      <c r="K14" s="358" t="s">
        <v>414</v>
      </c>
      <c r="L14" s="1866"/>
      <c r="M14" s="308"/>
      <c r="N14" s="358" t="s">
        <v>414</v>
      </c>
      <c r="O14" s="1857" t="s">
        <v>475</v>
      </c>
      <c r="P14" s="1858"/>
      <c r="Q14" s="1857" t="s">
        <v>476</v>
      </c>
      <c r="R14" s="1858"/>
      <c r="S14" s="1857" t="s">
        <v>477</v>
      </c>
      <c r="T14" s="185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71" t="s">
        <v>386</v>
      </c>
      <c r="C2" s="1872"/>
      <c r="D2" s="1873" t="s">
        <v>387</v>
      </c>
      <c r="E2" s="1874"/>
      <c r="F2" s="1875" t="s">
        <v>388</v>
      </c>
      <c r="G2" s="1876"/>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7" t="s">
        <v>386</v>
      </c>
      <c r="C15" s="1878"/>
      <c r="D15" s="1879" t="s">
        <v>387</v>
      </c>
      <c r="E15" s="1880"/>
      <c r="F15" s="1881" t="s">
        <v>388</v>
      </c>
      <c r="G15" s="1882"/>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7" t="s">
        <v>400</v>
      </c>
      <c r="C28" s="1868"/>
      <c r="D28" s="1867" t="s">
        <v>401</v>
      </c>
      <c r="E28" s="1868"/>
      <c r="F28" s="1869" t="s">
        <v>387</v>
      </c>
      <c r="G28" s="1870"/>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7" t="s">
        <v>400</v>
      </c>
      <c r="C44" s="1868"/>
      <c r="D44" s="1867" t="s">
        <v>401</v>
      </c>
      <c r="E44" s="1868"/>
      <c r="F44" s="1869" t="s">
        <v>387</v>
      </c>
      <c r="G44" s="1870"/>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3" t="s">
        <v>14114</v>
      </c>
      <c r="C3" s="1884"/>
      <c r="D3" s="1884"/>
      <c r="E3" s="1884"/>
      <c r="F3" s="1884"/>
      <c r="G3" s="1884"/>
      <c r="H3" s="1884"/>
      <c r="I3" s="1884"/>
      <c r="J3" s="1884"/>
      <c r="K3" s="1884"/>
      <c r="L3" s="1884"/>
      <c r="M3" s="1884"/>
      <c r="N3" s="1885"/>
      <c r="O3" s="1886" t="s">
        <v>14115</v>
      </c>
      <c r="P3" s="1887"/>
      <c r="Q3" s="1887"/>
      <c r="R3" s="1887"/>
      <c r="S3" s="1887"/>
      <c r="T3" s="1887"/>
      <c r="U3" s="1887"/>
      <c r="V3" s="1887"/>
      <c r="W3" s="1887"/>
      <c r="X3" s="1887"/>
      <c r="Y3" s="1887"/>
      <c r="Z3" s="1887"/>
      <c r="AA3" s="1887"/>
      <c r="AB3" s="1887"/>
      <c r="AC3" s="1887"/>
      <c r="AD3" s="1887"/>
      <c r="AE3" s="1887"/>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95" t="s">
        <v>14217</v>
      </c>
      <c r="B1" s="1891"/>
      <c r="C1" s="1891"/>
      <c r="D1" s="1891"/>
      <c r="E1" s="1891"/>
      <c r="F1" s="1891"/>
      <c r="G1" s="1891"/>
      <c r="H1" s="1891"/>
      <c r="I1" s="1891"/>
      <c r="J1" s="1541" t="s">
        <v>14218</v>
      </c>
    </row>
    <row r="2" spans="1:22" ht="31.5" customHeight="1">
      <c r="A2" s="1896" t="s">
        <v>14219</v>
      </c>
      <c r="B2" s="1896"/>
      <c r="C2" s="1896"/>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7" t="s">
        <v>14221</v>
      </c>
      <c r="B3" s="1897"/>
      <c r="C3" s="1547"/>
      <c r="D3" s="1548"/>
      <c r="E3" s="1547"/>
      <c r="F3" s="1547"/>
      <c r="G3" s="1549"/>
      <c r="H3" s="1898" t="s">
        <v>14222</v>
      </c>
      <c r="Q3" s="503"/>
      <c r="R3" s="503"/>
      <c r="S3" s="503"/>
      <c r="T3" s="427"/>
      <c r="U3" s="427"/>
    </row>
    <row r="4" spans="1:22" ht="11.25" customHeight="1">
      <c r="A4" s="1901" t="s">
        <v>14223</v>
      </c>
      <c r="B4" s="1901"/>
      <c r="C4" s="1550">
        <v>1</v>
      </c>
      <c r="D4" s="1551">
        <v>18446</v>
      </c>
      <c r="E4" s="1552">
        <v>17836</v>
      </c>
      <c r="F4" s="1552">
        <v>18472</v>
      </c>
      <c r="G4" s="1553">
        <v>18806</v>
      </c>
      <c r="H4" s="1899"/>
      <c r="J4" s="1541">
        <f>D4/F4</f>
        <v>0.99859246427024684</v>
      </c>
      <c r="K4" s="1541">
        <f>E4/F4</f>
        <v>0.96556951061065399</v>
      </c>
      <c r="L4" s="1541">
        <f>F4/F4</f>
        <v>1</v>
      </c>
      <c r="Q4" s="503"/>
      <c r="S4" s="503"/>
      <c r="T4" s="427"/>
    </row>
    <row r="5" spans="1:22" ht="11.25" customHeight="1">
      <c r="A5" s="1888" t="s">
        <v>14110</v>
      </c>
      <c r="B5" s="1888"/>
      <c r="C5" s="1554"/>
      <c r="D5" s="1551">
        <v>6736</v>
      </c>
      <c r="E5" s="1552">
        <v>6720</v>
      </c>
      <c r="F5" s="1552">
        <v>6974</v>
      </c>
      <c r="G5" s="1553">
        <v>7019</v>
      </c>
      <c r="H5" s="1899"/>
    </row>
    <row r="6" spans="1:22" ht="11.25" customHeight="1">
      <c r="A6" s="1888" t="s">
        <v>14111</v>
      </c>
      <c r="B6" s="1888"/>
      <c r="C6" s="1554"/>
      <c r="D6" s="1551">
        <v>1467</v>
      </c>
      <c r="E6" s="1552">
        <v>1585</v>
      </c>
      <c r="F6" s="1552">
        <v>1561</v>
      </c>
      <c r="G6" s="1553">
        <v>1461</v>
      </c>
      <c r="H6" s="1899"/>
    </row>
    <row r="7" spans="1:22" ht="11.25" customHeight="1">
      <c r="A7" s="1888" t="s">
        <v>14224</v>
      </c>
      <c r="B7" s="1888"/>
      <c r="C7" s="1554"/>
      <c r="D7" s="1551">
        <v>3209</v>
      </c>
      <c r="E7" s="1552">
        <v>3192</v>
      </c>
      <c r="F7" s="1552">
        <v>2976</v>
      </c>
      <c r="G7" s="1553">
        <v>3331</v>
      </c>
      <c r="H7" s="1899"/>
    </row>
    <row r="8" spans="1:22" ht="11.25" customHeight="1">
      <c r="A8" s="1888" t="s">
        <v>14225</v>
      </c>
      <c r="B8" s="1888"/>
      <c r="C8" s="1554"/>
      <c r="D8" s="1551">
        <v>4271</v>
      </c>
      <c r="E8" s="1552">
        <v>3578</v>
      </c>
      <c r="F8" s="1552">
        <v>3964</v>
      </c>
      <c r="G8" s="1553">
        <v>4067</v>
      </c>
      <c r="H8" s="1899"/>
    </row>
    <row r="9" spans="1:22" ht="11.25" customHeight="1">
      <c r="A9" s="1888" t="s">
        <v>14226</v>
      </c>
      <c r="B9" s="1888"/>
      <c r="C9" s="1554"/>
      <c r="D9" s="1551">
        <v>1277</v>
      </c>
      <c r="E9" s="1552">
        <v>1341</v>
      </c>
      <c r="F9" s="1552">
        <v>1345</v>
      </c>
      <c r="G9" s="1553">
        <v>1309</v>
      </c>
      <c r="H9" s="1899"/>
    </row>
    <row r="10" spans="1:22" ht="11.25" customHeight="1">
      <c r="A10" s="1888" t="s">
        <v>14227</v>
      </c>
      <c r="B10" s="1888"/>
      <c r="C10" s="1554"/>
      <c r="D10" s="1555">
        <v>688</v>
      </c>
      <c r="E10" s="1556">
        <v>707</v>
      </c>
      <c r="F10" s="1556">
        <v>811</v>
      </c>
      <c r="G10" s="1557">
        <v>793</v>
      </c>
      <c r="H10" s="1899"/>
    </row>
    <row r="11" spans="1:22" ht="11.25" customHeight="1">
      <c r="A11" s="1888" t="s">
        <v>14228</v>
      </c>
      <c r="B11" s="1888"/>
      <c r="C11" s="1554"/>
      <c r="D11" s="1555">
        <v>53</v>
      </c>
      <c r="E11" s="1556">
        <v>54</v>
      </c>
      <c r="F11" s="1556">
        <v>64</v>
      </c>
      <c r="G11" s="1557">
        <v>62</v>
      </c>
      <c r="H11" s="1899"/>
    </row>
    <row r="12" spans="1:22" ht="12" customHeight="1">
      <c r="A12" s="1889" t="s">
        <v>14229</v>
      </c>
      <c r="B12" s="1889"/>
      <c r="C12" s="1889"/>
      <c r="D12" s="1558">
        <v>745</v>
      </c>
      <c r="E12" s="1559">
        <v>659</v>
      </c>
      <c r="F12" s="1559">
        <v>776</v>
      </c>
      <c r="G12" s="1560">
        <v>763</v>
      </c>
      <c r="H12" s="1900"/>
      <c r="V12" s="1561"/>
    </row>
    <row r="13" spans="1:22" ht="11.45" customHeight="1">
      <c r="A13" s="1902" t="s">
        <v>14230</v>
      </c>
      <c r="B13" s="1902"/>
      <c r="C13" s="1562">
        <v>2</v>
      </c>
      <c r="D13" s="1563"/>
      <c r="E13" s="1564"/>
      <c r="F13" s="1564"/>
      <c r="G13" s="1565"/>
      <c r="H13" s="1566"/>
      <c r="V13" s="1561"/>
    </row>
    <row r="14" spans="1:22" ht="11.25" customHeight="1">
      <c r="A14" s="1891" t="s">
        <v>14231</v>
      </c>
      <c r="B14" s="1891"/>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8" t="s">
        <v>14110</v>
      </c>
      <c r="B15" s="1888"/>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8" t="s">
        <v>14111</v>
      </c>
      <c r="B16" s="1888"/>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8" t="s">
        <v>14224</v>
      </c>
      <c r="B17" s="1888"/>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8" t="s">
        <v>14225</v>
      </c>
      <c r="B18" s="1888"/>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8" t="s">
        <v>14226</v>
      </c>
      <c r="B19" s="1888"/>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8" t="s">
        <v>14227</v>
      </c>
      <c r="B20" s="1888"/>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8" t="s">
        <v>14228</v>
      </c>
      <c r="B21" s="1888"/>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8" t="s">
        <v>14229</v>
      </c>
      <c r="B22" s="1888"/>
      <c r="C22" s="1888"/>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91" t="s">
        <v>14232</v>
      </c>
      <c r="B23" s="1891"/>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8" t="s">
        <v>14110</v>
      </c>
      <c r="B24" s="1888"/>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8" t="s">
        <v>14111</v>
      </c>
      <c r="B25" s="1888"/>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8" t="s">
        <v>14224</v>
      </c>
      <c r="B26" s="1888"/>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8" t="s">
        <v>14225</v>
      </c>
      <c r="B27" s="1888"/>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8" t="s">
        <v>14226</v>
      </c>
      <c r="B28" s="1888"/>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8" t="s">
        <v>14227</v>
      </c>
      <c r="B29" s="1888"/>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8" t="s">
        <v>14228</v>
      </c>
      <c r="B30" s="1888"/>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8" t="s">
        <v>14229</v>
      </c>
      <c r="B31" s="1888"/>
      <c r="C31" s="1888"/>
      <c r="D31" s="1551">
        <v>0</v>
      </c>
      <c r="E31" s="1552">
        <v>0</v>
      </c>
      <c r="F31" s="1552">
        <v>0</v>
      </c>
      <c r="G31" s="1553">
        <v>0</v>
      </c>
      <c r="H31" s="1568"/>
      <c r="J31" s="1541">
        <f t="shared" si="4"/>
        <v>0</v>
      </c>
      <c r="K31" s="1541">
        <f t="shared" si="5"/>
        <v>0</v>
      </c>
      <c r="L31" s="1541">
        <f t="shared" si="6"/>
        <v>0</v>
      </c>
      <c r="M31" s="1541">
        <f t="shared" si="7"/>
        <v>0</v>
      </c>
    </row>
    <row r="32" spans="1:13" ht="12" customHeight="1">
      <c r="A32" s="1891" t="s">
        <v>14233</v>
      </c>
      <c r="B32" s="1891"/>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8" t="s">
        <v>14110</v>
      </c>
      <c r="B33" s="1888"/>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8" t="s">
        <v>14111</v>
      </c>
      <c r="B34" s="1888"/>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8" t="s">
        <v>14224</v>
      </c>
      <c r="B35" s="1888"/>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8" t="s">
        <v>14225</v>
      </c>
      <c r="B36" s="1888"/>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8" t="s">
        <v>14226</v>
      </c>
      <c r="B37" s="1888"/>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8" t="s">
        <v>14227</v>
      </c>
      <c r="B38" s="1888"/>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8" t="s">
        <v>14228</v>
      </c>
      <c r="B39" s="1888"/>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8" t="s">
        <v>14229</v>
      </c>
      <c r="B40" s="1888"/>
      <c r="C40" s="1888"/>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91" t="s">
        <v>14234</v>
      </c>
      <c r="B41" s="1891"/>
      <c r="C41" s="1550">
        <v>3</v>
      </c>
      <c r="D41" s="1551">
        <v>7653</v>
      </c>
      <c r="E41" s="1552">
        <v>7756</v>
      </c>
      <c r="F41" s="1552">
        <v>7659</v>
      </c>
      <c r="G41" s="1553">
        <v>8046</v>
      </c>
      <c r="H41" s="1567" t="s">
        <v>14222</v>
      </c>
    </row>
    <row r="42" spans="1:16" ht="11.25" customHeight="1">
      <c r="A42" s="1888" t="s">
        <v>14110</v>
      </c>
      <c r="B42" s="1888"/>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8" t="s">
        <v>14111</v>
      </c>
      <c r="B43" s="1888"/>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8" t="s">
        <v>14224</v>
      </c>
      <c r="B44" s="1888"/>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8" t="s">
        <v>14225</v>
      </c>
      <c r="B45" s="1888"/>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8" t="s">
        <v>14226</v>
      </c>
      <c r="B46" s="1888"/>
      <c r="C46" s="1554"/>
      <c r="D46" s="1555">
        <v>108</v>
      </c>
      <c r="E46" s="1556">
        <v>125</v>
      </c>
      <c r="F46" s="1556">
        <v>170</v>
      </c>
      <c r="G46" s="1557">
        <v>162</v>
      </c>
      <c r="H46" s="1568"/>
    </row>
    <row r="47" spans="1:16" ht="11.25" customHeight="1">
      <c r="A47" s="1888" t="s">
        <v>14227</v>
      </c>
      <c r="B47" s="1888"/>
      <c r="C47" s="1554"/>
      <c r="D47" s="1555">
        <v>498</v>
      </c>
      <c r="E47" s="1556">
        <v>349</v>
      </c>
      <c r="F47" s="1556">
        <v>360</v>
      </c>
      <c r="G47" s="1557">
        <v>289</v>
      </c>
      <c r="H47" s="1568"/>
    </row>
    <row r="48" spans="1:16" ht="11.25" customHeight="1">
      <c r="A48" s="1888" t="s">
        <v>14228</v>
      </c>
      <c r="B48" s="1888"/>
      <c r="C48" s="1554"/>
      <c r="D48" s="1551">
        <v>0</v>
      </c>
      <c r="E48" s="1552">
        <v>0</v>
      </c>
      <c r="F48" s="1552">
        <v>0</v>
      </c>
      <c r="G48" s="1553">
        <v>0</v>
      </c>
      <c r="H48" s="1568"/>
    </row>
    <row r="49" spans="1:9" ht="11.85" customHeight="1">
      <c r="A49" s="1888" t="s">
        <v>14229</v>
      </c>
      <c r="B49" s="1888"/>
      <c r="C49" s="1888"/>
      <c r="D49" s="1555">
        <v>36</v>
      </c>
      <c r="E49" s="1556">
        <v>37</v>
      </c>
      <c r="F49" s="1556">
        <v>37</v>
      </c>
      <c r="G49" s="1557">
        <v>39</v>
      </c>
      <c r="H49" s="1568"/>
    </row>
    <row r="50" spans="1:9" ht="12" customHeight="1">
      <c r="A50" s="1891" t="s">
        <v>14235</v>
      </c>
      <c r="B50" s="1891"/>
      <c r="C50" s="1550">
        <v>4</v>
      </c>
      <c r="D50" s="1551">
        <v>0.05</v>
      </c>
      <c r="E50" s="1552">
        <v>0.59</v>
      </c>
      <c r="F50" s="1552">
        <v>0.78</v>
      </c>
      <c r="G50" s="1553">
        <v>0.52</v>
      </c>
      <c r="H50" s="1567" t="s">
        <v>14236</v>
      </c>
    </row>
    <row r="51" spans="1:9" ht="11.25" customHeight="1">
      <c r="A51" s="1888" t="s">
        <v>14110</v>
      </c>
      <c r="B51" s="1888"/>
      <c r="C51" s="1554"/>
      <c r="D51" s="1551">
        <v>0</v>
      </c>
      <c r="E51" s="1552">
        <v>0</v>
      </c>
      <c r="F51" s="1552">
        <v>0</v>
      </c>
      <c r="G51" s="1553">
        <v>0</v>
      </c>
      <c r="H51" s="1568"/>
    </row>
    <row r="52" spans="1:9" ht="11.25" customHeight="1">
      <c r="A52" s="1888" t="s">
        <v>14111</v>
      </c>
      <c r="B52" s="1888"/>
      <c r="C52" s="1554"/>
      <c r="D52" s="1551">
        <v>0</v>
      </c>
      <c r="E52" s="1552">
        <v>0</v>
      </c>
      <c r="F52" s="1552">
        <v>0</v>
      </c>
      <c r="G52" s="1553">
        <v>0</v>
      </c>
      <c r="H52" s="1568"/>
    </row>
    <row r="53" spans="1:9" ht="11.25" customHeight="1">
      <c r="A53" s="1888" t="s">
        <v>14224</v>
      </c>
      <c r="B53" s="1888"/>
      <c r="C53" s="1554"/>
      <c r="D53" s="1551">
        <v>0</v>
      </c>
      <c r="E53" s="1552">
        <v>0</v>
      </c>
      <c r="F53" s="1552">
        <v>0</v>
      </c>
      <c r="G53" s="1553">
        <v>0</v>
      </c>
      <c r="H53" s="1568"/>
    </row>
    <row r="54" spans="1:9" ht="11.25" customHeight="1">
      <c r="A54" s="1888" t="s">
        <v>14225</v>
      </c>
      <c r="B54" s="1888"/>
      <c r="C54" s="1554"/>
      <c r="D54" s="1551">
        <v>0</v>
      </c>
      <c r="E54" s="1552">
        <v>0</v>
      </c>
      <c r="F54" s="1552">
        <v>0</v>
      </c>
      <c r="G54" s="1553">
        <v>0</v>
      </c>
      <c r="H54" s="1568"/>
    </row>
    <row r="55" spans="1:9" ht="11.25" customHeight="1">
      <c r="A55" s="1888" t="s">
        <v>14226</v>
      </c>
      <c r="B55" s="1888"/>
      <c r="C55" s="1554"/>
      <c r="D55" s="1551">
        <v>0</v>
      </c>
      <c r="E55" s="1552">
        <v>0</v>
      </c>
      <c r="F55" s="1552">
        <v>0</v>
      </c>
      <c r="G55" s="1553">
        <v>0</v>
      </c>
      <c r="H55" s="1568"/>
    </row>
    <row r="56" spans="1:9" ht="11.25" customHeight="1">
      <c r="A56" s="1888" t="s">
        <v>14227</v>
      </c>
      <c r="B56" s="1888"/>
      <c r="C56" s="1554"/>
      <c r="D56" s="1551">
        <v>0</v>
      </c>
      <c r="E56" s="1552">
        <v>0</v>
      </c>
      <c r="F56" s="1552">
        <v>0</v>
      </c>
      <c r="G56" s="1553">
        <v>0</v>
      </c>
      <c r="H56" s="1568"/>
    </row>
    <row r="57" spans="1:9" ht="11.25" customHeight="1">
      <c r="A57" s="1888" t="s">
        <v>14228</v>
      </c>
      <c r="B57" s="1888"/>
      <c r="C57" s="1554"/>
      <c r="D57" s="1551">
        <v>0.05</v>
      </c>
      <c r="E57" s="1552">
        <v>0.59</v>
      </c>
      <c r="F57" s="1552">
        <v>0.78</v>
      </c>
      <c r="G57" s="1553">
        <v>0.52</v>
      </c>
      <c r="H57" s="1568"/>
    </row>
    <row r="58" spans="1:9" ht="13.5" customHeight="1">
      <c r="A58" s="1889" t="s">
        <v>14229</v>
      </c>
      <c r="B58" s="1889"/>
      <c r="C58" s="1889"/>
      <c r="D58" s="1571">
        <v>0</v>
      </c>
      <c r="E58" s="1572">
        <v>0</v>
      </c>
      <c r="F58" s="1572">
        <v>0</v>
      </c>
      <c r="G58" s="1573">
        <v>0</v>
      </c>
      <c r="H58" s="1574"/>
    </row>
    <row r="59" spans="1:9" ht="0.95" customHeight="1">
      <c r="A59" s="1891"/>
      <c r="B59" s="1891"/>
      <c r="C59" s="1891"/>
      <c r="D59" s="1891"/>
      <c r="E59" s="1891"/>
      <c r="F59" s="1891"/>
      <c r="G59" s="1891"/>
      <c r="H59" s="1891"/>
      <c r="I59" s="1891"/>
    </row>
    <row r="60" spans="1:9" ht="0.95" customHeight="1">
      <c r="A60" s="1891"/>
      <c r="B60" s="1891"/>
      <c r="C60" s="1891"/>
      <c r="D60" s="1891"/>
      <c r="E60" s="1891"/>
      <c r="F60" s="1891"/>
      <c r="G60" s="1891"/>
      <c r="H60" s="1891"/>
      <c r="I60" s="1891"/>
    </row>
    <row r="61" spans="1:9" ht="12.75" customHeight="1">
      <c r="A61" s="1894" t="s">
        <v>14237</v>
      </c>
      <c r="B61" s="1894"/>
      <c r="C61" s="1894"/>
      <c r="D61" s="1894"/>
      <c r="E61" s="1894"/>
      <c r="F61" s="1894"/>
      <c r="G61" s="1894"/>
      <c r="H61" s="1894"/>
      <c r="I61" s="1894"/>
    </row>
    <row r="62" spans="1:9" ht="39" customHeight="1">
      <c r="A62" s="1892" t="s">
        <v>14219</v>
      </c>
      <c r="B62" s="1892"/>
      <c r="C62" s="1892"/>
      <c r="D62" s="1575">
        <v>2019</v>
      </c>
      <c r="E62" s="1576">
        <v>2018</v>
      </c>
      <c r="F62" s="1576">
        <v>2017</v>
      </c>
      <c r="G62" s="1577">
        <v>2016</v>
      </c>
      <c r="H62" s="1578" t="s">
        <v>14238</v>
      </c>
    </row>
    <row r="63" spans="1:9" ht="12.75" customHeight="1">
      <c r="A63" s="1893" t="s">
        <v>14239</v>
      </c>
      <c r="B63" s="1893"/>
      <c r="C63" s="1893"/>
      <c r="D63" s="1579" t="s">
        <v>14240</v>
      </c>
      <c r="E63" s="1580" t="s">
        <v>14241</v>
      </c>
      <c r="F63" s="1580" t="s">
        <v>14242</v>
      </c>
      <c r="G63" s="1581" t="s">
        <v>14243</v>
      </c>
      <c r="H63" s="1582" t="s">
        <v>14222</v>
      </c>
    </row>
    <row r="64" spans="1:9" ht="11.25" customHeight="1">
      <c r="A64" s="1888" t="s">
        <v>14110</v>
      </c>
      <c r="B64" s="1888"/>
      <c r="C64" s="1888"/>
      <c r="D64" s="1551" t="s">
        <v>14244</v>
      </c>
      <c r="E64" s="1552" t="s">
        <v>14245</v>
      </c>
      <c r="F64" s="1552" t="s">
        <v>14246</v>
      </c>
      <c r="G64" s="1553" t="s">
        <v>14247</v>
      </c>
      <c r="H64" s="1568"/>
    </row>
    <row r="65" spans="1:8" ht="11.25" customHeight="1">
      <c r="A65" s="1888" t="s">
        <v>14111</v>
      </c>
      <c r="B65" s="1888"/>
      <c r="C65" s="1888"/>
      <c r="D65" s="1551" t="s">
        <v>14248</v>
      </c>
      <c r="E65" s="1552" t="s">
        <v>14249</v>
      </c>
      <c r="F65" s="1552" t="s">
        <v>14250</v>
      </c>
      <c r="G65" s="1553" t="s">
        <v>14251</v>
      </c>
      <c r="H65" s="1568"/>
    </row>
    <row r="66" spans="1:8" ht="11.25" customHeight="1">
      <c r="A66" s="1888" t="s">
        <v>14224</v>
      </c>
      <c r="B66" s="1888"/>
      <c r="C66" s="1888"/>
      <c r="D66" s="1555">
        <v>822</v>
      </c>
      <c r="E66" s="1556">
        <v>797</v>
      </c>
      <c r="F66" s="1556">
        <v>807</v>
      </c>
      <c r="G66" s="1557">
        <v>847</v>
      </c>
      <c r="H66" s="1568"/>
    </row>
    <row r="67" spans="1:8" ht="11.25" customHeight="1">
      <c r="A67" s="1888" t="s">
        <v>14225</v>
      </c>
      <c r="B67" s="1888"/>
      <c r="C67" s="1888"/>
      <c r="D67" s="1551" t="s">
        <v>14252</v>
      </c>
      <c r="E67" s="1552" t="s">
        <v>14253</v>
      </c>
      <c r="F67" s="1552" t="s">
        <v>14254</v>
      </c>
      <c r="G67" s="1553" t="s">
        <v>14255</v>
      </c>
      <c r="H67" s="1568"/>
    </row>
    <row r="68" spans="1:8" ht="11.25" customHeight="1">
      <c r="A68" s="1888" t="s">
        <v>14226</v>
      </c>
      <c r="B68" s="1888"/>
      <c r="C68" s="1888"/>
      <c r="D68" s="1555">
        <v>717</v>
      </c>
      <c r="E68" s="1556">
        <v>823</v>
      </c>
      <c r="F68" s="1556">
        <v>943</v>
      </c>
      <c r="G68" s="1557">
        <v>910</v>
      </c>
      <c r="H68" s="1568"/>
    </row>
    <row r="69" spans="1:8" ht="11.25" customHeight="1">
      <c r="A69" s="1888" t="s">
        <v>14227</v>
      </c>
      <c r="B69" s="1888"/>
      <c r="C69" s="1888"/>
      <c r="D69" s="1551" t="s">
        <v>14256</v>
      </c>
      <c r="E69" s="1552" t="s">
        <v>14257</v>
      </c>
      <c r="F69" s="1552" t="s">
        <v>14258</v>
      </c>
      <c r="G69" s="1553" t="s">
        <v>14259</v>
      </c>
      <c r="H69" s="1568"/>
    </row>
    <row r="70" spans="1:8" ht="11.25" customHeight="1">
      <c r="A70" s="1888" t="s">
        <v>14228</v>
      </c>
      <c r="B70" s="1888"/>
      <c r="C70" s="1888"/>
      <c r="D70" s="1555">
        <v>261</v>
      </c>
      <c r="E70" s="1556">
        <v>258</v>
      </c>
      <c r="F70" s="1556">
        <v>260</v>
      </c>
      <c r="G70" s="1557">
        <v>274</v>
      </c>
      <c r="H70" s="1568"/>
    </row>
    <row r="71" spans="1:8" ht="11.85" customHeight="1">
      <c r="A71" s="1888" t="s">
        <v>14229</v>
      </c>
      <c r="B71" s="1888"/>
      <c r="C71" s="1888"/>
      <c r="D71" s="1555">
        <v>83</v>
      </c>
      <c r="E71" s="1556">
        <v>88</v>
      </c>
      <c r="F71" s="1556">
        <v>89</v>
      </c>
      <c r="G71" s="1557">
        <v>198</v>
      </c>
      <c r="H71" s="1568"/>
    </row>
    <row r="72" spans="1:8" ht="12" customHeight="1">
      <c r="A72" s="1891" t="s">
        <v>14260</v>
      </c>
      <c r="B72" s="1891"/>
      <c r="C72" s="1891"/>
      <c r="D72" s="1551" t="s">
        <v>14261</v>
      </c>
      <c r="E72" s="1552" t="s">
        <v>14262</v>
      </c>
      <c r="F72" s="1552" t="s">
        <v>14263</v>
      </c>
      <c r="G72" s="1553" t="s">
        <v>14264</v>
      </c>
      <c r="H72" s="1583" t="s">
        <v>14222</v>
      </c>
    </row>
    <row r="73" spans="1:8" ht="11.25" customHeight="1">
      <c r="A73" s="1888" t="s">
        <v>14110</v>
      </c>
      <c r="B73" s="1888"/>
      <c r="C73" s="1888"/>
      <c r="D73" s="1551" t="s">
        <v>14265</v>
      </c>
      <c r="E73" s="1552" t="s">
        <v>14266</v>
      </c>
      <c r="F73" s="1552" t="s">
        <v>14267</v>
      </c>
      <c r="G73" s="1553" t="s">
        <v>14268</v>
      </c>
      <c r="H73" s="1568"/>
    </row>
    <row r="74" spans="1:8" ht="11.25" customHeight="1">
      <c r="A74" s="1888" t="s">
        <v>14111</v>
      </c>
      <c r="B74" s="1888"/>
      <c r="C74" s="1888"/>
      <c r="D74" s="1551" t="s">
        <v>14261</v>
      </c>
      <c r="E74" s="1552" t="s">
        <v>14269</v>
      </c>
      <c r="F74" s="1552" t="s">
        <v>14270</v>
      </c>
      <c r="G74" s="1553" t="s">
        <v>14271</v>
      </c>
      <c r="H74" s="1568"/>
    </row>
    <row r="75" spans="1:8" ht="11.25" customHeight="1">
      <c r="A75" s="1888" t="s">
        <v>14224</v>
      </c>
      <c r="B75" s="1888"/>
      <c r="C75" s="1888"/>
      <c r="D75" s="1551" t="s">
        <v>14272</v>
      </c>
      <c r="E75" s="1552" t="s">
        <v>14273</v>
      </c>
      <c r="F75" s="1552" t="s">
        <v>14274</v>
      </c>
      <c r="G75" s="1553" t="s">
        <v>14273</v>
      </c>
      <c r="H75" s="1568"/>
    </row>
    <row r="76" spans="1:8" ht="11.25" customHeight="1">
      <c r="A76" s="1888" t="s">
        <v>14225</v>
      </c>
      <c r="B76" s="1888"/>
      <c r="C76" s="1888"/>
      <c r="D76" s="1551" t="s">
        <v>14275</v>
      </c>
      <c r="E76" s="1552" t="s">
        <v>14275</v>
      </c>
      <c r="F76" s="1552" t="s">
        <v>14275</v>
      </c>
      <c r="G76" s="1553" t="s">
        <v>14275</v>
      </c>
      <c r="H76" s="1568"/>
    </row>
    <row r="77" spans="1:8" ht="11.25" customHeight="1">
      <c r="A77" s="1888" t="s">
        <v>14226</v>
      </c>
      <c r="B77" s="1888"/>
      <c r="C77" s="1888"/>
      <c r="D77" s="1551" t="s">
        <v>14276</v>
      </c>
      <c r="E77" s="1552" t="s">
        <v>14277</v>
      </c>
      <c r="F77" s="1552" t="s">
        <v>14278</v>
      </c>
      <c r="G77" s="1553" t="s">
        <v>14278</v>
      </c>
      <c r="H77" s="1568"/>
    </row>
    <row r="78" spans="1:8" ht="11.25" customHeight="1">
      <c r="A78" s="1888" t="s">
        <v>14227</v>
      </c>
      <c r="B78" s="1888"/>
      <c r="C78" s="1888"/>
      <c r="D78" s="1551" t="s">
        <v>14279</v>
      </c>
      <c r="E78" s="1552" t="s">
        <v>14280</v>
      </c>
      <c r="F78" s="1552" t="s">
        <v>14281</v>
      </c>
      <c r="G78" s="1553" t="s">
        <v>14282</v>
      </c>
      <c r="H78" s="1568"/>
    </row>
    <row r="79" spans="1:8" ht="11.25" customHeight="1">
      <c r="A79" s="1888" t="s">
        <v>14228</v>
      </c>
      <c r="B79" s="1888"/>
      <c r="C79" s="1888"/>
      <c r="D79" s="1551" t="s">
        <v>14283</v>
      </c>
      <c r="E79" s="1552" t="s">
        <v>14284</v>
      </c>
      <c r="F79" s="1552" t="s">
        <v>14285</v>
      </c>
      <c r="G79" s="1553" t="s">
        <v>14286</v>
      </c>
      <c r="H79" s="1568"/>
    </row>
    <row r="80" spans="1:8" ht="13.7" customHeight="1">
      <c r="A80" s="1889" t="s">
        <v>14229</v>
      </c>
      <c r="B80" s="1889"/>
      <c r="C80" s="1889"/>
      <c r="D80" s="1571" t="s">
        <v>14287</v>
      </c>
      <c r="E80" s="1572" t="s">
        <v>14288</v>
      </c>
      <c r="F80" s="1572" t="s">
        <v>14287</v>
      </c>
      <c r="G80" s="1573" t="s">
        <v>14272</v>
      </c>
      <c r="H80" s="1584"/>
    </row>
    <row r="81" spans="1:13" ht="113.25" customHeight="1">
      <c r="A81" s="1890" t="s">
        <v>14306</v>
      </c>
      <c r="B81" s="1891"/>
      <c r="C81" s="1891"/>
      <c r="D81" s="1891"/>
      <c r="E81" s="1891"/>
      <c r="F81" s="1891"/>
      <c r="G81" s="1891"/>
      <c r="H81" s="1891"/>
      <c r="I81" s="1891"/>
    </row>
    <row r="82" spans="1:13" ht="12.75" customHeight="1">
      <c r="A82" s="1891" t="s">
        <v>14289</v>
      </c>
      <c r="B82" s="1891"/>
      <c r="C82" s="1891"/>
      <c r="D82" s="1891"/>
      <c r="E82" s="1891"/>
      <c r="F82" s="1891"/>
      <c r="G82" s="1891"/>
      <c r="H82" s="1891"/>
      <c r="I82" s="1891"/>
    </row>
    <row r="83" spans="1:13">
      <c r="D83" s="1541" t="str">
        <f>D63</f>
        <v>66 558</v>
      </c>
      <c r="E83" s="1541" t="str">
        <f>E63</f>
        <v>67 412</v>
      </c>
      <c r="F83" s="1541" t="str">
        <f>F63</f>
        <v>67 632</v>
      </c>
      <c r="G83" s="1541" t="str">
        <f>G63</f>
        <v>69 250</v>
      </c>
    </row>
    <row r="85" spans="1:13">
      <c r="A85" s="1892" t="s">
        <v>14219</v>
      </c>
      <c r="B85" s="1892"/>
      <c r="C85" s="1892"/>
      <c r="D85" s="1575">
        <v>2019</v>
      </c>
      <c r="E85" s="1576">
        <v>2018</v>
      </c>
      <c r="F85" s="1576">
        <v>2017</v>
      </c>
      <c r="G85" s="1577">
        <v>2016</v>
      </c>
      <c r="J85" s="1541">
        <v>2019</v>
      </c>
      <c r="K85" s="1541">
        <v>2018</v>
      </c>
      <c r="L85" s="1541">
        <v>2017</v>
      </c>
      <c r="M85" s="1541">
        <v>2016</v>
      </c>
    </row>
    <row r="86" spans="1:13">
      <c r="A86" s="1893" t="s">
        <v>14239</v>
      </c>
      <c r="B86" s="1893"/>
      <c r="C86" s="1893"/>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8" t="s">
        <v>14110</v>
      </c>
      <c r="B87" s="1888"/>
      <c r="C87" s="1888"/>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8" t="s">
        <v>14111</v>
      </c>
      <c r="B88" s="1888"/>
      <c r="C88" s="1888"/>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8" t="s">
        <v>14224</v>
      </c>
      <c r="B89" s="1888"/>
      <c r="C89" s="1888"/>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8" t="s">
        <v>14225</v>
      </c>
      <c r="B90" s="1888"/>
      <c r="C90" s="1888"/>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8" t="s">
        <v>14226</v>
      </c>
      <c r="B91" s="1888"/>
      <c r="C91" s="1888"/>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8" t="s">
        <v>14227</v>
      </c>
      <c r="B92" s="1888"/>
      <c r="C92" s="1888"/>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8" t="s">
        <v>14228</v>
      </c>
      <c r="B93" s="1888"/>
      <c r="C93" s="1888"/>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8" t="s">
        <v>14229</v>
      </c>
      <c r="B94" s="1888"/>
      <c r="C94" s="1888"/>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5" sqref="D5"/>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9"/>
  <sheetViews>
    <sheetView workbookViewId="0">
      <selection activeCell="E8" sqref="E8:F9"/>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248</v>
      </c>
      <c r="F8" s="1409" t="s">
        <v>353</v>
      </c>
    </row>
    <row r="9" spans="1:6">
      <c r="B9" s="1409" t="s">
        <v>352</v>
      </c>
      <c r="C9" s="1409" t="s">
        <v>14815</v>
      </c>
      <c r="D9" s="1409" t="s">
        <v>14816</v>
      </c>
      <c r="E9" s="1409" t="s">
        <v>248</v>
      </c>
      <c r="F9"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C19" sqref="C19"/>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2"/>
  <sheetViews>
    <sheetView workbookViewId="0">
      <selection activeCell="E22" sqref="E22"/>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344</v>
      </c>
      <c r="C19" s="1409" t="str">
        <f>C20</f>
        <v>PEXOKG</v>
      </c>
      <c r="D19" s="1409" t="s">
        <v>14815</v>
      </c>
      <c r="E19" s="1409" t="s">
        <v>334</v>
      </c>
      <c r="F19" s="1409" t="s">
        <v>334</v>
      </c>
      <c r="G19" s="1409" t="s">
        <v>334</v>
      </c>
      <c r="H19" s="1409" t="s">
        <v>334</v>
      </c>
      <c r="I19" s="1409">
        <v>1</v>
      </c>
    </row>
    <row r="20" spans="2:9">
      <c r="B20" s="1409" t="s">
        <v>361</v>
      </c>
      <c r="C20" s="1409" t="str">
        <f>'Aviation Synfuel-Items'!C7</f>
        <v>PEXOKG</v>
      </c>
      <c r="D20" s="1409" t="str">
        <f>D17</f>
        <v>OKG</v>
      </c>
      <c r="E20" s="1409" t="s">
        <v>334</v>
      </c>
      <c r="F20" s="1409" t="s">
        <v>334</v>
      </c>
      <c r="G20" s="1409" t="s">
        <v>334</v>
      </c>
      <c r="H20" s="1409" t="s">
        <v>334</v>
      </c>
      <c r="I20" s="1409">
        <v>1</v>
      </c>
    </row>
    <row r="21" spans="2:9">
      <c r="B21" s="1409" t="s">
        <v>340</v>
      </c>
      <c r="C21" s="1409" t="str">
        <f>C20</f>
        <v>PEXOKG</v>
      </c>
      <c r="D21" s="1409" t="s">
        <v>334</v>
      </c>
      <c r="E21" s="1409" t="str">
        <f>D19</f>
        <v>IDUM</v>
      </c>
      <c r="F21" s="1409" t="s">
        <v>334</v>
      </c>
      <c r="G21" s="1409" t="s">
        <v>334</v>
      </c>
      <c r="H21" s="1409" t="s">
        <v>334</v>
      </c>
      <c r="I21" s="1409">
        <v>1</v>
      </c>
    </row>
    <row r="22" spans="2:9">
      <c r="B22" s="1409" t="s">
        <v>342</v>
      </c>
      <c r="C22" s="1409" t="str">
        <f>C21</f>
        <v>PEXOKG</v>
      </c>
      <c r="D22" s="1409" t="s">
        <v>334</v>
      </c>
      <c r="E22" s="1409" t="s">
        <v>334</v>
      </c>
      <c r="F22" s="1409" t="s">
        <v>334</v>
      </c>
      <c r="G22" s="1409" t="s">
        <v>334</v>
      </c>
      <c r="H22" s="1409" t="s">
        <v>334</v>
      </c>
      <c r="I22"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20" t="s">
        <v>1313</v>
      </c>
      <c r="M6" s="1921"/>
      <c r="N6" s="1922"/>
      <c r="O6" s="1920" t="s">
        <v>1290</v>
      </c>
      <c r="P6" s="1921"/>
      <c r="Q6" s="1922"/>
      <c r="R6" s="779"/>
      <c r="W6" s="812"/>
      <c r="X6" s="610" t="s">
        <v>1373</v>
      </c>
      <c r="Y6" s="581">
        <v>-252.8</v>
      </c>
      <c r="Z6" s="610" t="s">
        <v>1374</v>
      </c>
    </row>
    <row r="7" spans="1:28" s="430" customFormat="1" ht="30">
      <c r="H7" s="805"/>
      <c r="I7" s="1927"/>
      <c r="J7" s="1927"/>
      <c r="K7" s="1927"/>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3" t="s">
        <v>1256</v>
      </c>
      <c r="B9" s="1913"/>
      <c r="C9" s="1913"/>
      <c r="D9" s="1913"/>
      <c r="E9" s="1913"/>
      <c r="F9" s="1913"/>
      <c r="G9" s="1913"/>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7" t="s">
        <v>1355</v>
      </c>
      <c r="M26" s="1907"/>
      <c r="N26" s="1907"/>
      <c r="O26" s="1907" t="s">
        <v>1290</v>
      </c>
      <c r="P26" s="1907"/>
      <c r="Q26" s="1907"/>
      <c r="R26" s="1907" t="s">
        <v>1356</v>
      </c>
      <c r="S26" s="1907"/>
      <c r="T26" s="1907"/>
      <c r="U26" s="1910" t="s">
        <v>1361</v>
      </c>
      <c r="V26" s="1910"/>
    </row>
    <row r="27" spans="1:35" s="430" customFormat="1">
      <c r="F27" s="430" t="s">
        <v>1254</v>
      </c>
      <c r="H27" s="805"/>
      <c r="I27" s="1917"/>
      <c r="J27" s="1917"/>
      <c r="K27" s="1917"/>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8" t="s">
        <v>1232</v>
      </c>
      <c r="E31" s="1918"/>
      <c r="F31" s="1918"/>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3" t="s">
        <v>1235</v>
      </c>
      <c r="E32" s="1833"/>
      <c r="F32" s="183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9" t="s">
        <v>1233</v>
      </c>
      <c r="E33" s="1919"/>
      <c r="F33" s="1919"/>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9" t="s">
        <v>1234</v>
      </c>
      <c r="E34" s="1919"/>
      <c r="F34" s="1919"/>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23" t="s">
        <v>1316</v>
      </c>
      <c r="J46" s="1923" t="s">
        <v>1310</v>
      </c>
      <c r="K46" s="1925" t="s">
        <v>1317</v>
      </c>
      <c r="L46" s="1914" t="s">
        <v>1318</v>
      </c>
      <c r="M46" s="1915"/>
      <c r="N46" s="1916"/>
      <c r="Q46" s="1399"/>
      <c r="R46" s="779" t="s">
        <v>14010</v>
      </c>
    </row>
    <row r="47" spans="1:35">
      <c r="A47" s="758" t="s">
        <v>1214</v>
      </c>
      <c r="I47" s="1924"/>
      <c r="J47" s="1924"/>
      <c r="K47" s="1926"/>
      <c r="L47" s="797">
        <v>2000</v>
      </c>
      <c r="M47" s="797">
        <v>2025</v>
      </c>
      <c r="N47" s="797">
        <v>2050</v>
      </c>
      <c r="R47" s="779">
        <v>1.2</v>
      </c>
    </row>
    <row r="48" spans="1:35">
      <c r="I48" s="793" t="s">
        <v>1291</v>
      </c>
      <c r="J48" s="793" t="s">
        <v>1292</v>
      </c>
      <c r="K48" s="798" t="s">
        <v>1319</v>
      </c>
      <c r="L48" s="799">
        <v>0.9</v>
      </c>
      <c r="M48" s="799">
        <v>0.8</v>
      </c>
      <c r="N48" s="799">
        <v>0.7</v>
      </c>
    </row>
    <row r="49" spans="1:23">
      <c r="A49" s="1913" t="s">
        <v>1215</v>
      </c>
      <c r="B49" s="1913"/>
      <c r="C49" s="1913"/>
      <c r="D49" s="1913"/>
      <c r="E49" s="1913"/>
      <c r="F49" s="1913"/>
      <c r="G49" s="1913"/>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11" t="s">
        <v>1316</v>
      </c>
      <c r="J67" s="1911" t="s">
        <v>1310</v>
      </c>
      <c r="K67" s="1912" t="s">
        <v>1317</v>
      </c>
      <c r="L67" s="1908" t="s">
        <v>1359</v>
      </c>
      <c r="M67" s="1907"/>
      <c r="N67" s="1907"/>
      <c r="O67" s="1908" t="s">
        <v>1360</v>
      </c>
      <c r="P67" s="1907"/>
      <c r="Q67" s="1907"/>
      <c r="R67" s="1910" t="s">
        <v>1361</v>
      </c>
      <c r="S67" s="1910"/>
    </row>
    <row r="68" spans="1:19">
      <c r="I68" s="1911"/>
      <c r="J68" s="1911"/>
      <c r="K68" s="1912"/>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09" t="s">
        <v>1331</v>
      </c>
      <c r="K87" s="1909"/>
      <c r="L87" s="1909" t="s">
        <v>1332</v>
      </c>
      <c r="M87" s="1909"/>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03" t="s">
        <v>1425</v>
      </c>
      <c r="L123" s="1904"/>
      <c r="M123" s="1905"/>
      <c r="N123" s="1903" t="s">
        <v>1426</v>
      </c>
      <c r="O123" s="1904"/>
      <c r="P123" s="1905"/>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06" t="s">
        <v>1444</v>
      </c>
      <c r="J128" s="1906"/>
      <c r="K128" s="1906"/>
      <c r="L128" s="1906"/>
      <c r="M128" s="1906"/>
      <c r="N128" s="1906"/>
      <c r="O128" s="1906"/>
      <c r="P128" s="1906"/>
      <c r="Q128" s="1906"/>
    </row>
    <row r="129" spans="9:17">
      <c r="I129" s="1906"/>
      <c r="J129" s="1906"/>
      <c r="K129" s="1906"/>
      <c r="L129" s="1906"/>
      <c r="M129" s="1906"/>
      <c r="N129" s="1906"/>
      <c r="O129" s="1906"/>
      <c r="P129" s="1906"/>
      <c r="Q129" s="1906"/>
    </row>
    <row r="130" spans="9:17">
      <c r="I130" s="1906"/>
      <c r="J130" s="1906"/>
      <c r="K130" s="1906"/>
      <c r="L130" s="1906"/>
      <c r="M130" s="1906"/>
      <c r="N130" s="1906"/>
      <c r="O130" s="1906"/>
      <c r="P130" s="1906"/>
      <c r="Q130" s="1906"/>
    </row>
    <row r="131" spans="9:17">
      <c r="I131" s="1906"/>
      <c r="J131" s="1906"/>
      <c r="K131" s="1906"/>
      <c r="L131" s="1906"/>
      <c r="M131" s="1906"/>
      <c r="N131" s="1906"/>
      <c r="O131" s="1906"/>
      <c r="P131" s="1906"/>
      <c r="Q131" s="1906"/>
    </row>
    <row r="132" spans="9:17">
      <c r="I132" s="1906"/>
      <c r="J132" s="1906"/>
      <c r="K132" s="1906"/>
      <c r="L132" s="1906"/>
      <c r="M132" s="1906"/>
      <c r="N132" s="1906"/>
      <c r="O132" s="1906"/>
      <c r="P132" s="1906"/>
      <c r="Q132" s="1906"/>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62"/>
  <sheetViews>
    <sheetView topLeftCell="A37" workbookViewId="0">
      <selection activeCell="F66" sqref="F66"/>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14812</v>
      </c>
      <c r="F6" s="1451">
        <f>F51*$D$20</f>
        <v>19642.016806722688</v>
      </c>
      <c r="G6" s="1451">
        <f>AVERAGE(F6,H6)</f>
        <v>13546.218487394957</v>
      </c>
      <c r="H6" s="1451">
        <f>H51*$D$20</f>
        <v>7450.4201680672268</v>
      </c>
      <c r="I6" s="1682">
        <f>I51*$D$20</f>
        <v>6271.0466004583659</v>
      </c>
      <c r="J6" s="1682">
        <f>J51*$D$20</f>
        <v>5091.6730328495041</v>
      </c>
    </row>
    <row r="7" spans="1:13">
      <c r="A7" s="435" t="s">
        <v>14578</v>
      </c>
      <c r="B7" s="1409" t="s">
        <v>839</v>
      </c>
      <c r="C7" s="1409" t="s">
        <v>14812</v>
      </c>
      <c r="F7" s="1451">
        <f>F52*$D$20</f>
        <v>12868.90756302521</v>
      </c>
      <c r="G7" s="1451">
        <f>AVERAGE(F7,H7)</f>
        <v>9482.3529411764703</v>
      </c>
      <c r="H7" s="1451">
        <f t="shared" ref="H7:I7" si="0">H52*$D$20</f>
        <v>6095.7983193277314</v>
      </c>
      <c r="I7" s="1682">
        <f t="shared" si="0"/>
        <v>4856.9561157796461</v>
      </c>
      <c r="J7" s="1682">
        <f>J52*$D$20</f>
        <v>3618.1139122315594</v>
      </c>
    </row>
    <row r="8" spans="1:13">
      <c r="A8" s="435" t="s">
        <v>14577</v>
      </c>
      <c r="B8" s="1409" t="s">
        <v>849</v>
      </c>
      <c r="C8" t="s">
        <v>1655</v>
      </c>
      <c r="D8" s="1719">
        <v>1.4999999999999999E-2</v>
      </c>
      <c r="F8" s="1451">
        <f>$D$8*F6</f>
        <v>294.63025210084032</v>
      </c>
      <c r="G8" s="1451">
        <f t="shared" ref="F8:J9" si="1">$D$8*G6</f>
        <v>203.19327731092434</v>
      </c>
      <c r="H8" s="1451">
        <f t="shared" si="1"/>
        <v>111.75630252100839</v>
      </c>
      <c r="I8" s="1682">
        <f t="shared" si="1"/>
        <v>94.065699006875491</v>
      </c>
      <c r="J8" s="1682">
        <f>$D$8*J6</f>
        <v>76.37509549274256</v>
      </c>
    </row>
    <row r="9" spans="1:13">
      <c r="A9" s="435" t="s">
        <v>14578</v>
      </c>
      <c r="B9" s="1409" t="s">
        <v>849</v>
      </c>
      <c r="C9" s="1409" t="s">
        <v>1655</v>
      </c>
      <c r="D9" s="1719">
        <f>D8</f>
        <v>1.4999999999999999E-2</v>
      </c>
      <c r="F9" s="1451">
        <f t="shared" si="1"/>
        <v>193.03361344537814</v>
      </c>
      <c r="G9" s="1451">
        <f t="shared" si="1"/>
        <v>142.23529411764704</v>
      </c>
      <c r="H9" s="1451">
        <f t="shared" si="1"/>
        <v>91.436974789915965</v>
      </c>
      <c r="I9" s="1682">
        <f t="shared" si="1"/>
        <v>72.854341736694693</v>
      </c>
      <c r="J9" s="1682">
        <f t="shared" si="1"/>
        <v>54.271708683473392</v>
      </c>
    </row>
    <row r="10" spans="1:13">
      <c r="A10" s="435" t="s">
        <v>14577</v>
      </c>
      <c r="B10" s="1409" t="s">
        <v>861</v>
      </c>
      <c r="C10" t="s">
        <v>14083</v>
      </c>
      <c r="F10" s="1451">
        <f t="shared" ref="F10:H11" si="2">F60/8760</f>
        <v>7.6103500761035017</v>
      </c>
      <c r="G10" s="1451">
        <f t="shared" si="2"/>
        <v>9.512937595129376</v>
      </c>
      <c r="H10" s="1451">
        <f t="shared" si="2"/>
        <v>15.854895991882291</v>
      </c>
      <c r="I10" s="1682">
        <f>H10</f>
        <v>15.854895991882291</v>
      </c>
      <c r="J10" s="1682">
        <f>I10</f>
        <v>15.854895991882291</v>
      </c>
    </row>
    <row r="11" spans="1:13">
      <c r="A11" s="435" t="s">
        <v>14578</v>
      </c>
      <c r="B11" s="1409" t="s">
        <v>861</v>
      </c>
      <c r="C11" s="1409" t="s">
        <v>14083</v>
      </c>
      <c r="F11" s="1451">
        <f t="shared" si="2"/>
        <v>9.512937595129376</v>
      </c>
      <c r="G11" s="1451">
        <f t="shared" si="2"/>
        <v>12.049720953830542</v>
      </c>
      <c r="H11" s="1451">
        <f t="shared" si="2"/>
        <v>15.854895991882291</v>
      </c>
      <c r="I11" s="1682">
        <f t="shared" ref="I11" si="3">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$R$59*I$5 +$S$59</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4">G16</f>
        <v>-2</v>
      </c>
      <c r="H17" s="1448">
        <f t="shared" si="4"/>
        <v>-2</v>
      </c>
      <c r="I17" s="1681">
        <f t="shared" si="4"/>
        <v>-2</v>
      </c>
      <c r="J17" s="1681">
        <f t="shared" si="4"/>
        <v>-2</v>
      </c>
    </row>
    <row r="19" spans="1:22">
      <c r="C19" s="1409" t="s">
        <v>14813</v>
      </c>
      <c r="D19" s="1797">
        <f>D23*D21*D20</f>
        <v>13.54621848739496</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v>19642.016806722688</v>
      </c>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5">G5</f>
        <v>2030</v>
      </c>
      <c r="H40" s="1674">
        <f t="shared" si="5"/>
        <v>2035</v>
      </c>
      <c r="I40" s="6">
        <f t="shared" si="5"/>
        <v>2040</v>
      </c>
      <c r="J40" s="6">
        <f t="shared" si="5"/>
        <v>2050</v>
      </c>
      <c r="K40" s="1928"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8"/>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8"/>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6">1000*8760*3600</f>
        <v>31536000000</v>
      </c>
      <c r="J46" s="6">
        <f t="shared" si="6"/>
        <v>31536000000</v>
      </c>
    </row>
    <row r="47" spans="1:19">
      <c r="C47" s="1409" t="s">
        <v>14579</v>
      </c>
      <c r="D47" s="1409" t="s">
        <v>1123</v>
      </c>
      <c r="E47" s="1121" t="s">
        <v>14078</v>
      </c>
      <c r="F47" s="1722">
        <f t="shared" ref="F47:J48" si="7">F41/F$46</f>
        <v>4.7818366311516996E-8</v>
      </c>
      <c r="G47" s="1722">
        <f t="shared" si="7"/>
        <v>3.545154743784881E-8</v>
      </c>
      <c r="H47" s="1722">
        <f t="shared" si="7"/>
        <v>1.8138001014713343E-8</v>
      </c>
      <c r="I47" s="1722">
        <f t="shared" si="7"/>
        <v>1.5266823486001568E-8</v>
      </c>
      <c r="J47" s="1722">
        <f t="shared" si="7"/>
        <v>1.2395645957289793E-8</v>
      </c>
    </row>
    <row r="48" spans="1:19">
      <c r="C48" s="1409" t="s">
        <v>14580</v>
      </c>
      <c r="D48" s="1409" t="s">
        <v>1123</v>
      </c>
      <c r="E48" s="1121" t="s">
        <v>14078</v>
      </c>
      <c r="F48" s="1722">
        <f t="shared" si="7"/>
        <v>3.1329274479959411E-8</v>
      </c>
      <c r="G48" s="1722">
        <f t="shared" si="7"/>
        <v>2.0611364789446981E-8</v>
      </c>
      <c r="H48" s="1722">
        <f t="shared" si="7"/>
        <v>1.4840182648401826E-8</v>
      </c>
      <c r="I48" s="1722">
        <f t="shared" si="7"/>
        <v>1.1824229099723774E-8</v>
      </c>
      <c r="J48" s="1722">
        <f t="shared" si="7"/>
        <v>8.8082755510457179E-9</v>
      </c>
    </row>
    <row r="49" spans="3:19">
      <c r="C49" s="1409" t="s">
        <v>14579</v>
      </c>
      <c r="D49" s="1409" t="s">
        <v>1123</v>
      </c>
      <c r="E49" s="1121" t="s">
        <v>14077</v>
      </c>
      <c r="F49" s="897">
        <f t="shared" ref="F49:J50" si="8">F47*$D$45</f>
        <v>47.818366311516996</v>
      </c>
      <c r="G49" s="897">
        <f t="shared" si="8"/>
        <v>35.451547437848809</v>
      </c>
      <c r="H49" s="897">
        <f t="shared" si="8"/>
        <v>18.138001014713343</v>
      </c>
      <c r="I49" s="897">
        <f t="shared" si="8"/>
        <v>15.266823486001568</v>
      </c>
      <c r="J49" s="897">
        <f t="shared" si="8"/>
        <v>12.395645957289794</v>
      </c>
    </row>
    <row r="50" spans="3:19">
      <c r="C50" s="1409" t="s">
        <v>14580</v>
      </c>
      <c r="D50" s="1409" t="s">
        <v>1123</v>
      </c>
      <c r="E50" s="1121" t="s">
        <v>14077</v>
      </c>
      <c r="F50" s="897">
        <f t="shared" si="8"/>
        <v>31.329274479959413</v>
      </c>
      <c r="G50" s="897">
        <f t="shared" si="8"/>
        <v>20.611364789446981</v>
      </c>
      <c r="H50" s="897">
        <f t="shared" si="8"/>
        <v>14.840182648401827</v>
      </c>
      <c r="I50" s="897">
        <f t="shared" si="8"/>
        <v>11.824229099723773</v>
      </c>
      <c r="J50" s="897">
        <f t="shared" si="8"/>
        <v>8.8082755510457176</v>
      </c>
    </row>
    <row r="51" spans="3:19">
      <c r="C51" s="1409" t="s">
        <v>14579</v>
      </c>
      <c r="D51" s="1409" t="s">
        <v>1123</v>
      </c>
      <c r="E51" s="1302" t="s">
        <v>14814</v>
      </c>
      <c r="F51" s="1798">
        <f>F41*$D$21</f>
        <v>23374</v>
      </c>
      <c r="G51" s="1798">
        <f t="shared" ref="G51:J51" si="9">G41*$D$21</f>
        <v>17329</v>
      </c>
      <c r="H51" s="1798">
        <f t="shared" si="9"/>
        <v>8866</v>
      </c>
      <c r="I51" s="1798">
        <f t="shared" si="9"/>
        <v>7462.545454545455</v>
      </c>
      <c r="J51" s="1798">
        <f t="shared" si="9"/>
        <v>6059.0909090909099</v>
      </c>
    </row>
    <row r="52" spans="3:19">
      <c r="C52" s="1409" t="s">
        <v>14580</v>
      </c>
      <c r="D52" s="1409" t="s">
        <v>1123</v>
      </c>
      <c r="E52" s="1302" t="s">
        <v>14814</v>
      </c>
      <c r="F52" s="1798">
        <f>F42*$D$21</f>
        <v>15314</v>
      </c>
      <c r="G52" s="1798">
        <f t="shared" ref="G52:J52" si="10">G42*$D$21</f>
        <v>10075</v>
      </c>
      <c r="H52" s="1798">
        <f t="shared" si="10"/>
        <v>7254</v>
      </c>
      <c r="I52" s="1798">
        <f t="shared" si="10"/>
        <v>5779.7777777777783</v>
      </c>
      <c r="J52" s="1798">
        <f t="shared" si="10"/>
        <v>4305.5555555555557</v>
      </c>
    </row>
    <row r="53" spans="3:19">
      <c r="C53" s="1409" t="s">
        <v>14579</v>
      </c>
      <c r="D53" s="1409" t="s">
        <v>1123</v>
      </c>
      <c r="E53" s="1302" t="s">
        <v>14720</v>
      </c>
      <c r="F53" s="1447">
        <f>F49*$D$21</f>
        <v>741.18467782851349</v>
      </c>
      <c r="G53" s="1447">
        <f t="shared" ref="G53:J53" si="11">G49*$D$21</f>
        <v>549.49898528665653</v>
      </c>
      <c r="H53" s="1447">
        <f t="shared" si="11"/>
        <v>281.13901572805679</v>
      </c>
      <c r="I53" s="1447">
        <f t="shared" si="11"/>
        <v>236.63576403302432</v>
      </c>
      <c r="J53" s="1447">
        <f t="shared" si="11"/>
        <v>192.13251233799181</v>
      </c>
    </row>
    <row r="54" spans="3:19">
      <c r="C54" s="1409" t="s">
        <v>14580</v>
      </c>
      <c r="D54" s="1409" t="s">
        <v>1123</v>
      </c>
      <c r="E54" s="1302" t="s">
        <v>14720</v>
      </c>
      <c r="F54" s="1447">
        <f>F50*$D$21</f>
        <v>485.6037544393709</v>
      </c>
      <c r="G54" s="1447">
        <f t="shared" ref="G54:J54" si="12">G50*$D$21</f>
        <v>319.47615423642821</v>
      </c>
      <c r="H54" s="1447">
        <f t="shared" si="12"/>
        <v>230.02283105022832</v>
      </c>
      <c r="I54" s="1447">
        <f t="shared" si="12"/>
        <v>183.27555104571849</v>
      </c>
      <c r="J54" s="1447">
        <f t="shared" si="12"/>
        <v>136.52827104120863</v>
      </c>
    </row>
    <row r="55" spans="3:19">
      <c r="E55" s="1302"/>
      <c r="F55" s="1447"/>
      <c r="G55" s="1447"/>
      <c r="H55" s="1447"/>
      <c r="I55" s="1447"/>
      <c r="J55" s="1447"/>
    </row>
    <row r="56" spans="3:19">
      <c r="E56" s="1302"/>
      <c r="F56" s="1447"/>
      <c r="G56" s="1447"/>
      <c r="H56" s="1447"/>
      <c r="I56" s="6"/>
      <c r="J56" s="6"/>
    </row>
    <row r="57" spans="3:19">
      <c r="C57" s="1409" t="s">
        <v>14732</v>
      </c>
      <c r="F57" s="6">
        <f>F40</f>
        <v>2020</v>
      </c>
      <c r="G57" s="6">
        <f t="shared" ref="G57:H57" si="13">G40</f>
        <v>2030</v>
      </c>
      <c r="H57" s="6">
        <f t="shared" si="13"/>
        <v>2035</v>
      </c>
      <c r="I57" s="6"/>
      <c r="J57" s="6"/>
    </row>
    <row r="58" spans="3:19">
      <c r="C58" s="1409" t="s">
        <v>14579</v>
      </c>
      <c r="E58" s="1409" t="s">
        <v>14080</v>
      </c>
      <c r="F58" s="1723">
        <f>AVERAGE(30000,90000)</f>
        <v>60000</v>
      </c>
      <c r="G58" s="1723">
        <f>AVERAGE(60000,90000)</f>
        <v>75000</v>
      </c>
      <c r="H58" s="1723">
        <f>AVERAGE(100000,150000)</f>
        <v>125000</v>
      </c>
      <c r="I58" s="6"/>
      <c r="J58" s="6"/>
    </row>
    <row r="59" spans="3:19">
      <c r="C59" s="1409" t="s">
        <v>14580</v>
      </c>
      <c r="E59" s="1409" t="s">
        <v>14080</v>
      </c>
      <c r="F59" s="1723">
        <f>AVERAGE(60000,90000)</f>
        <v>75000</v>
      </c>
      <c r="G59" s="1723">
        <f>AVERAGE(90000,100000)</f>
        <v>95000</v>
      </c>
      <c r="H59" s="1723">
        <f>AVERAGE(100000,150000)</f>
        <v>125000</v>
      </c>
      <c r="I59" s="6"/>
      <c r="J59" s="6"/>
      <c r="M59" s="1680"/>
      <c r="R59" s="1409">
        <v>5.1000000000000004E-3</v>
      </c>
      <c r="S59" s="1409">
        <v>-9.5882000000000005</v>
      </c>
    </row>
    <row r="60" spans="3:19">
      <c r="C60" s="1409" t="s">
        <v>14579</v>
      </c>
      <c r="E60" s="1409" t="s">
        <v>14081</v>
      </c>
      <c r="F60" s="1022">
        <f t="shared" ref="F60:H61" si="14">F58/F12</f>
        <v>66666.666666666672</v>
      </c>
      <c r="G60" s="1022">
        <f t="shared" si="14"/>
        <v>83333.333333333328</v>
      </c>
      <c r="H60" s="1022">
        <f t="shared" si="14"/>
        <v>138888.88888888888</v>
      </c>
      <c r="I60" s="6"/>
      <c r="J60" s="6"/>
    </row>
    <row r="61" spans="3:19">
      <c r="C61" s="1409" t="s">
        <v>14580</v>
      </c>
      <c r="E61" s="1409" t="s">
        <v>14081</v>
      </c>
      <c r="F61" s="1022">
        <f t="shared" si="14"/>
        <v>83333.333333333328</v>
      </c>
      <c r="G61" s="1022">
        <f t="shared" si="14"/>
        <v>105555.55555555555</v>
      </c>
      <c r="H61" s="1022">
        <f t="shared" si="14"/>
        <v>138888.88888888888</v>
      </c>
      <c r="I61" s="6"/>
      <c r="J61" s="6"/>
    </row>
    <row r="62" spans="3:19">
      <c r="I62" s="6"/>
      <c r="J62"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6" t="s">
        <v>240</v>
      </c>
      <c r="C1" s="1836"/>
      <c r="D1" s="1836"/>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19642.016806722688</v>
      </c>
      <c r="N165" s="143"/>
      <c r="O165" s="143">
        <f>zar.2015*'Hydrogen-ELT'!F8</f>
        <v>294.63025210084032</v>
      </c>
      <c r="P165" s="143"/>
      <c r="Q165" s="494">
        <f>'Hydrogen-ELT'!F16</f>
        <v>-2</v>
      </c>
      <c r="R165" s="143" t="str">
        <f>""</f>
        <v/>
      </c>
      <c r="S165" s="1275">
        <v>0</v>
      </c>
      <c r="T165" s="1275">
        <v>0</v>
      </c>
      <c r="U165" s="751"/>
      <c r="V165" s="752"/>
      <c r="W165" s="752" t="s">
        <v>1453</v>
      </c>
      <c r="X165" s="752">
        <f>-PMT(8%,F165,M165*(1+$X$145),0,1)/H165</f>
        <v>4437.0391464359618</v>
      </c>
      <c r="Y165" s="752">
        <f>X165</f>
        <v>4437.0391464359618</v>
      </c>
      <c r="Z165" s="752">
        <f>Y165</f>
        <v>4437.0391464359618</v>
      </c>
      <c r="AA165" s="752">
        <f>Z165</f>
        <v>4437.0391464359618</v>
      </c>
      <c r="AB165" s="752">
        <f>AA165</f>
        <v>4437.0391464359618</v>
      </c>
      <c r="AC165" s="752">
        <f>AB165</f>
        <v>4437.0391464359618</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12868.90756302521</v>
      </c>
      <c r="N168" s="143"/>
      <c r="O168" s="143">
        <f>zar.2015*'Hydrogen-ELT'!F9</f>
        <v>193.03361344537814</v>
      </c>
      <c r="P168" s="143"/>
      <c r="Q168" s="494">
        <f>'Hydrogen-ELT'!F17</f>
        <v>-2</v>
      </c>
      <c r="R168" s="143" t="str">
        <f>""</f>
        <v/>
      </c>
      <c r="S168" s="1275">
        <v>0</v>
      </c>
      <c r="T168" s="1275">
        <v>0</v>
      </c>
      <c r="U168" s="751"/>
      <c r="V168" s="752"/>
      <c r="W168" s="752" t="s">
        <v>1453</v>
      </c>
      <c r="X168" s="752">
        <f>-PMT(8%,F168,M168*(1+$X$145),0,1)/H168</f>
        <v>2482.3795876020135</v>
      </c>
      <c r="Y168" s="752">
        <f>X168</f>
        <v>2482.3795876020135</v>
      </c>
      <c r="Z168" s="752">
        <f>Y168</f>
        <v>2482.3795876020135</v>
      </c>
      <c r="AA168" s="752">
        <f>Z168</f>
        <v>2482.3795876020135</v>
      </c>
      <c r="AB168" s="752">
        <f>AA168</f>
        <v>2482.3795876020135</v>
      </c>
      <c r="AC168" s="752">
        <f>AB168</f>
        <v>2482.3795876020135</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294.63025210084032</v>
      </c>
      <c r="Y172" s="755">
        <f t="shared" si="37"/>
        <v>294.63025210084032</v>
      </c>
      <c r="Z172" s="755">
        <f t="shared" si="37"/>
        <v>294.63025210084032</v>
      </c>
      <c r="AA172" s="755">
        <f t="shared" si="37"/>
        <v>294.63025210084032</v>
      </c>
      <c r="AB172" s="755">
        <f t="shared" si="37"/>
        <v>294.63025210084032</v>
      </c>
      <c r="AC172" s="755">
        <f t="shared" si="37"/>
        <v>294.63025210084032</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7561.1121722917851</v>
      </c>
      <c r="Y173" s="752">
        <f t="shared" si="38"/>
        <v>7561.0742862165971</v>
      </c>
      <c r="Z173" s="752">
        <f t="shared" si="38"/>
        <v>7561.0392065173482</v>
      </c>
      <c r="AA173" s="752">
        <f t="shared" si="38"/>
        <v>7561.0067253143407</v>
      </c>
      <c r="AB173" s="752">
        <f t="shared" si="38"/>
        <v>7560.6007102767471</v>
      </c>
      <c r="AC173" s="752">
        <f t="shared" si="38"/>
        <v>7562.4302595098297</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7271.6035942262297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opLeftCell="A281" workbookViewId="0">
      <selection activeCell="Q286" sqref="Q286"/>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42">
        <f ca="1">R69</f>
        <v>0.43931915964624046</v>
      </c>
      <c r="T69" s="42">
        <f t="shared" ref="T69:U69" ca="1" si="43">S69</f>
        <v>0.43931915964624046</v>
      </c>
      <c r="U69" s="42">
        <f t="shared" ca="1" si="43"/>
        <v>0.43931915964624046</v>
      </c>
      <c r="V69" s="42">
        <f ca="1">R69</f>
        <v>0.43931915964624046</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4">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4"/>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4"/>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4"/>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4"/>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4"/>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4"/>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5">IF(A86="*","",VLOOKUP("*#"&amp;AS86,$A$9:$B$24,2,FALSE))</f>
        <v>ACT_COST</v>
      </c>
      <c r="C86" s="440" t="str">
        <f ca="1">IF($A86="*","",OFFSET(ITEMS_UPS!$C$8,AR86,0))</f>
        <v>UCTLCLEIN-E</v>
      </c>
      <c r="D86" s="440" t="str">
        <f ca="1">IF($A86="*","",IF(VLOOKUP("*#"&amp;$AS86,$A$10:$I$24,D$9+1,FALSE)="-","-",OFFSET(UPS!$C$37,AU86+AV86,SUMIF($A$10:$A$20,"*#"&amp;AS86,$AT$10:$AT$20))))</f>
        <v>-</v>
      </c>
      <c r="E86" s="440" t="str">
        <f t="shared" ref="E86:E105" si="46">IF($A86="*","",IF(VLOOKUP("*#"&amp;$AS86,$A$10:$I$24,E$9+1,FALSE)="-","-",C86&amp;"-"&amp;RIGHT(VLOOKUP("*#"&amp;$AS86,$A$10:$I$24,E$9+1,FALSE),1)))</f>
        <v>-</v>
      </c>
      <c r="F86" s="440" t="str">
        <f t="shared" ref="F86:F105" si="47">IF($A86="*","",IF(VLOOKUP("*#"&amp;$AS86,$A$10:$I$24,F$9+1,FALSE)="-","-",C86&amp;"-"&amp;RIGHT(VLOOKUP("*#"&amp;$AS86,$A$10:$I$24,F$9+1,FALSE),1)))</f>
        <v>-</v>
      </c>
      <c r="G86" s="440" t="str">
        <f t="shared" ref="G86:G105" si="48">IF($A86="*","",VLOOKUP("*#"&amp;$AS86,$A$10:$I$20,G$9+1,FALSE))</f>
        <v>-</v>
      </c>
      <c r="H86" s="441" t="str">
        <f t="shared" ref="H86:H105" si="49">IF($A86="*","",VLOOKUP("*#"&amp;$AS86,$A$10:$I$24,H$9+1,FALSE))</f>
        <v>-</v>
      </c>
      <c r="I86" s="441">
        <f t="shared" ref="I86:I105" si="50">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5"/>
        <v>NCAP_AFA</v>
      </c>
      <c r="C87" s="440" t="str">
        <f ca="1">IF($A87="*","",OFFSET(ITEMS_UPS!$C$8,AR87,0))</f>
        <v>UCTLCLEIN-E</v>
      </c>
      <c r="D87" s="440" t="str">
        <f ca="1">IF($A87="*","",IF(VLOOKUP("*#"&amp;$AS87,$A$10:$I$24,D$9+1,FALSE)="-","-",OFFSET(UPS!$C$37,AU87+AV87,SUMIF($A$10:$A$20,"*#"&amp;AS87,$AT$10:$AT$20))))</f>
        <v>-</v>
      </c>
      <c r="E87" s="440" t="str">
        <f t="shared" si="46"/>
        <v>-</v>
      </c>
      <c r="F87" s="440" t="str">
        <f t="shared" si="47"/>
        <v>-</v>
      </c>
      <c r="G87" s="440" t="str">
        <f t="shared" si="48"/>
        <v>ANNUAL</v>
      </c>
      <c r="H87" s="441" t="str">
        <f t="shared" si="49"/>
        <v>UP</v>
      </c>
      <c r="I87" s="441">
        <f t="shared" si="50"/>
        <v>3</v>
      </c>
      <c r="J87" s="163">
        <f ca="1">IF($A87="*","",OFFSET(UPS!$C$37,AU87,SUMIF($A$10:$A$20,"*#"&amp;AS87,$AT$10:$AT$20)))</f>
        <v>0.95890410958904104</v>
      </c>
      <c r="K87" s="163">
        <f ca="1">J87</f>
        <v>0.95890410958904104</v>
      </c>
      <c r="L87" s="163">
        <f t="shared" ref="L87:O88" ca="1" si="51">K87</f>
        <v>0.95890410958904104</v>
      </c>
      <c r="M87" s="163">
        <f t="shared" ca="1" si="51"/>
        <v>0.95890410958904104</v>
      </c>
      <c r="N87" s="163">
        <f t="shared" ca="1" si="51"/>
        <v>0.95890410958904104</v>
      </c>
      <c r="O87" s="163">
        <f t="shared" ca="1" si="51"/>
        <v>0.95890410958904104</v>
      </c>
      <c r="P87" s="163"/>
      <c r="Q87" s="1585">
        <f>RefineriesData!R55*1.01</f>
        <v>0.96712996197132128</v>
      </c>
      <c r="R87" s="42">
        <f ca="1">AVERAGE(O87,Q87)</f>
        <v>0.96301703578018116</v>
      </c>
      <c r="S87" s="42">
        <f ca="1">R87</f>
        <v>0.96301703578018116</v>
      </c>
      <c r="T87" s="42">
        <f t="shared" ref="T87:W87" ca="1" si="52">S87</f>
        <v>0.96301703578018116</v>
      </c>
      <c r="U87" s="42">
        <f t="shared" ca="1" si="52"/>
        <v>0.96301703578018116</v>
      </c>
      <c r="V87" s="42">
        <f t="shared" ca="1" si="52"/>
        <v>0.96301703578018116</v>
      </c>
      <c r="W87" s="42">
        <f t="shared" ca="1" si="52"/>
        <v>0.96301703578018116</v>
      </c>
      <c r="X87" s="42">
        <f t="shared" ref="X87:AB87" ca="1" si="53">W87</f>
        <v>0.96301703578018116</v>
      </c>
      <c r="Y87" s="42">
        <f t="shared" ca="1" si="53"/>
        <v>0.96301703578018116</v>
      </c>
      <c r="Z87" s="42">
        <f t="shared" ca="1" si="53"/>
        <v>0.96301703578018116</v>
      </c>
      <c r="AA87" s="42">
        <f t="shared" ca="1" si="53"/>
        <v>0.96301703578018116</v>
      </c>
      <c r="AB87" s="42">
        <f t="shared" ca="1" si="53"/>
        <v>0.96301703578018116</v>
      </c>
      <c r="AR87" s="42">
        <f t="shared" ref="AR87:AR102" si="54">AR86</f>
        <v>4</v>
      </c>
      <c r="AS87" s="42">
        <f t="shared" ref="AS87:AS92" si="55">IF(AR87=AR86,AS86+1,1)</f>
        <v>2</v>
      </c>
      <c r="AU87" s="42">
        <f ca="1">SUMIF(UPS!B$38:B$171,C87,UPS!BD$38:BD$171)</f>
        <v>53</v>
      </c>
    </row>
    <row r="88" spans="1:48">
      <c r="B88" s="440" t="str">
        <f t="shared" si="45"/>
        <v>NCAP_AFA</v>
      </c>
      <c r="C88" s="440" t="str">
        <f ca="1">IF($A88="*","",OFFSET(ITEMS_UPS!$C$8,AR88,0))</f>
        <v>UCTLCLEIN-E</v>
      </c>
      <c r="D88" s="440" t="str">
        <f ca="1">IF($A88="*","",IF(VLOOKUP("*#"&amp;$AS88,$A$10:$I$24,D$9+1,FALSE)="-","-",OFFSET(UPS!$C$37,AU88+AV88,SUMIF($A$10:$A$20,"*#"&amp;AS88,$AT$10:$AT$20))))</f>
        <v>-</v>
      </c>
      <c r="E88" s="440" t="str">
        <f t="shared" si="46"/>
        <v>-</v>
      </c>
      <c r="F88" s="440" t="str">
        <f t="shared" si="47"/>
        <v>-</v>
      </c>
      <c r="G88" s="440" t="str">
        <f t="shared" si="48"/>
        <v>ANNUAL</v>
      </c>
      <c r="H88" s="441" t="str">
        <f t="shared" si="49"/>
        <v>LO</v>
      </c>
      <c r="I88" s="441">
        <f t="shared" si="50"/>
        <v>3</v>
      </c>
      <c r="J88" s="163">
        <f ca="1">IF($A88="*","",OFFSET(UPS!$C$37,AU88,SUMIF($A$10:$A$20,"*#"&amp;AS88,$AT$10:$AT$20)))</f>
        <v>0.95890410958904104</v>
      </c>
      <c r="K88" s="163">
        <f ca="1">J88</f>
        <v>0.95890410958904104</v>
      </c>
      <c r="L88" s="163">
        <f t="shared" ca="1" si="51"/>
        <v>0.95890410958904104</v>
      </c>
      <c r="M88" s="163">
        <f t="shared" ca="1" si="51"/>
        <v>0.95890410958904104</v>
      </c>
      <c r="N88" s="163">
        <f t="shared" ca="1" si="51"/>
        <v>0.95890410958904104</v>
      </c>
      <c r="O88" s="163">
        <f t="shared" ca="1" si="51"/>
        <v>0.95890410958904104</v>
      </c>
      <c r="Q88" s="1585">
        <f>RefineriesData!R55</f>
        <v>0.95755441779338735</v>
      </c>
      <c r="R88" s="42">
        <f ca="1">AVERAGE(O88,Q88)</f>
        <v>0.95822926369121419</v>
      </c>
      <c r="S88" s="42">
        <f ca="1">R88</f>
        <v>0.95822926369121419</v>
      </c>
      <c r="T88" s="42">
        <f t="shared" ref="T88:W88" ca="1" si="56">S88</f>
        <v>0.95822926369121419</v>
      </c>
      <c r="U88" s="42">
        <f t="shared" ca="1" si="56"/>
        <v>0.95822926369121419</v>
      </c>
      <c r="V88" s="42">
        <f t="shared" ca="1" si="56"/>
        <v>0.95822926369121419</v>
      </c>
      <c r="W88" s="42">
        <f t="shared" ca="1" si="56"/>
        <v>0.95822926369121419</v>
      </c>
      <c r="X88" s="42">
        <f t="shared" ref="X88:AB88" ca="1" si="57">W88</f>
        <v>0.95822926369121419</v>
      </c>
      <c r="Y88" s="42">
        <f t="shared" ca="1" si="57"/>
        <v>0.95822926369121419</v>
      </c>
      <c r="Z88" s="42">
        <f t="shared" ca="1" si="57"/>
        <v>0.95822926369121419</v>
      </c>
      <c r="AA88" s="42">
        <f t="shared" ca="1" si="57"/>
        <v>0.95822926369121419</v>
      </c>
      <c r="AB88" s="42">
        <f t="shared" ca="1" si="57"/>
        <v>0.95822926369121419</v>
      </c>
      <c r="AR88" s="42">
        <f t="shared" si="54"/>
        <v>4</v>
      </c>
      <c r="AS88" s="42">
        <f t="shared" si="55"/>
        <v>3</v>
      </c>
      <c r="AU88" s="42">
        <f ca="1">SUMIF(UPS!B$38:B$171,C88,UPS!BD$38:BD$171)</f>
        <v>53</v>
      </c>
    </row>
    <row r="89" spans="1:48">
      <c r="B89" s="440" t="str">
        <f t="shared" si="45"/>
        <v>NCAP_FOM</v>
      </c>
      <c r="C89" s="440" t="str">
        <f ca="1">IF($A89="*","",OFFSET(ITEMS_UPS!$C$8,AR89,0))</f>
        <v>UCTLCLEIN-E</v>
      </c>
      <c r="D89" s="440" t="str">
        <f ca="1">IF($A89="*","",IF(VLOOKUP("*#"&amp;$AS89,$A$10:$I$24,D$9+1,FALSE)="-","-",OFFSET(UPS!$C$37,AU89+AV89,SUMIF($A$10:$A$20,"*#"&amp;AS89,$AT$10:$AT$20))))</f>
        <v>-</v>
      </c>
      <c r="E89" s="440" t="str">
        <f t="shared" si="46"/>
        <v>-</v>
      </c>
      <c r="F89" s="440" t="str">
        <f t="shared" si="47"/>
        <v>-</v>
      </c>
      <c r="G89" s="440" t="str">
        <f t="shared" si="48"/>
        <v>-</v>
      </c>
      <c r="H89" s="441" t="str">
        <f t="shared" si="49"/>
        <v>-</v>
      </c>
      <c r="I89" s="441">
        <f t="shared" si="50"/>
        <v>0</v>
      </c>
      <c r="J89" s="163">
        <f ca="1">IF($A89="*","",OFFSET(UPS!$C$37,AU89,SUMIF($A$10:$A$20,"*#"&amp;AS89,$AT$10:$AT$20)))</f>
        <v>0</v>
      </c>
      <c r="K89" s="163"/>
      <c r="AR89" s="42">
        <f t="shared" si="54"/>
        <v>4</v>
      </c>
      <c r="AS89" s="42">
        <f t="shared" si="55"/>
        <v>4</v>
      </c>
      <c r="AU89" s="42">
        <f ca="1">SUMIF(UPS!B$38:B$171,C89,UPS!BD$38:BD$171)</f>
        <v>53</v>
      </c>
    </row>
    <row r="90" spans="1:48">
      <c r="B90" s="440" t="str">
        <f t="shared" si="45"/>
        <v>NCAP_BND</v>
      </c>
      <c r="C90" s="440" t="str">
        <f ca="1">IF($A90="*","",OFFSET(ITEMS_UPS!$C$8,AR90,0))</f>
        <v>UCTLCLEIN-E</v>
      </c>
      <c r="D90" s="440" t="str">
        <f ca="1">IF($A90="*","",IF(VLOOKUP("*#"&amp;$AS90,$A$10:$I$24,D$9+1,FALSE)="-","-",OFFSET(UPS!$C$37,AU90+AV90,SUMIF($A$10:$A$20,"*#"&amp;AS90,$AT$10:$AT$20))))</f>
        <v>-</v>
      </c>
      <c r="E90" s="440" t="str">
        <f t="shared" si="46"/>
        <v>-</v>
      </c>
      <c r="F90" s="440" t="str">
        <f t="shared" si="47"/>
        <v>-</v>
      </c>
      <c r="G90" s="440" t="str">
        <f t="shared" si="48"/>
        <v>-</v>
      </c>
      <c r="H90" s="441" t="str">
        <f t="shared" si="49"/>
        <v>UP</v>
      </c>
      <c r="I90" s="441">
        <f t="shared" si="50"/>
        <v>3</v>
      </c>
      <c r="J90" s="163">
        <f ca="1">IF($A90="*","",OFFSET(UPS!$C$37,AU90,SUMIF($A$10:$A$20,"*#"&amp;AS90,$AT$10:$AT$20)))</f>
        <v>0</v>
      </c>
      <c r="K90" s="163"/>
      <c r="AR90" s="42">
        <f>AR88</f>
        <v>4</v>
      </c>
      <c r="AS90" s="42">
        <f t="shared" si="55"/>
        <v>5</v>
      </c>
      <c r="AU90" s="42">
        <f ca="1">SUMIF(UPS!B$38:B$171,C90,UPS!BD$38:BD$171)</f>
        <v>53</v>
      </c>
    </row>
    <row r="91" spans="1:48">
      <c r="B91" s="440" t="str">
        <f t="shared" si="45"/>
        <v>FLO_FUNC</v>
      </c>
      <c r="C91" s="440" t="str">
        <f ca="1">IF($A91="*","",OFFSET(ITEMS_UPS!$C$8,AR91,0))</f>
        <v>UCTLCLEIN-E</v>
      </c>
      <c r="D91" s="440" t="str">
        <f ca="1">IF($A91="*","",IF(VLOOKUP("*#"&amp;$AS91,$A$10:$I$24,D$9+1,FALSE)="-","-",OFFSET(UPS!$C$37,AU91+AV91,SUMIF($A$10:$A$20,"*#"&amp;AS91,$AT$10:$AT$20))))</f>
        <v>-</v>
      </c>
      <c r="E91" s="440" t="str">
        <f t="shared" ca="1" si="46"/>
        <v>UCTLCLEIN-E-I</v>
      </c>
      <c r="F91" s="440" t="str">
        <f t="shared" ca="1" si="47"/>
        <v>UCTLCLEIN-E-O</v>
      </c>
      <c r="G91" s="440" t="str">
        <f t="shared" si="48"/>
        <v>ANNUAL</v>
      </c>
      <c r="H91" s="441" t="str">
        <f t="shared" si="49"/>
        <v>-</v>
      </c>
      <c r="I91" s="441">
        <f t="shared" si="50"/>
        <v>0</v>
      </c>
      <c r="J91" s="163">
        <f ca="1">IF($A91="*","",OFFSET(UPS!$C$37,AU91,SUMIF($A$10:$A$20,"*#"&amp;AS91,$AT$10:$AT$20)))</f>
        <v>0.29922414801284114</v>
      </c>
      <c r="K91" s="163"/>
      <c r="AR91" s="42">
        <f t="shared" si="54"/>
        <v>4</v>
      </c>
      <c r="AS91" s="42">
        <f t="shared" si="55"/>
        <v>6</v>
      </c>
      <c r="AU91" s="42">
        <f ca="1">SUMIF(UPS!B$38:B$171,C91,UPS!BD$38:BD$171)</f>
        <v>53</v>
      </c>
    </row>
    <row r="92" spans="1:48">
      <c r="B92" s="440" t="str">
        <f t="shared" si="45"/>
        <v>FLO_SHAR</v>
      </c>
      <c r="C92" s="440" t="str">
        <f ca="1">IF($A92="*","",OFFSET(ITEMS_UPS!$C$8,AR92,0))</f>
        <v>UCTLCLEIN-E</v>
      </c>
      <c r="D92" s="440" t="str">
        <f ca="1">IF($A92="*","",IF(VLOOKUP("*#"&amp;$AS92,$A$10:$I$24,D$9+1,FALSE)="-","-",OFFSET(UPS!$C$37,AU92+AV92,SUMIF($A$10:$A$20,"*#"&amp;AS92,$AT$10:$AT$20))))</f>
        <v>UPSCLE</v>
      </c>
      <c r="E92" s="440" t="str">
        <f t="shared" ca="1" si="46"/>
        <v>UCTLCLEIN-E-I</v>
      </c>
      <c r="F92" s="440" t="str">
        <f t="shared" si="47"/>
        <v>-</v>
      </c>
      <c r="G92" s="440" t="str">
        <f t="shared" si="48"/>
        <v>ANNUAL</v>
      </c>
      <c r="H92" s="441" t="str">
        <f t="shared" si="49"/>
        <v>FX</v>
      </c>
      <c r="I92" s="441">
        <f t="shared" si="50"/>
        <v>3</v>
      </c>
      <c r="J92" s="163">
        <f ca="1">IF($A92="*","",OFFSET(UPS!$C$37,AU92+AV92,SUMIF($A$10:$A$20,"*#"&amp;AS92,$AV$10:$AV$20)))</f>
        <v>0.65963269300300886</v>
      </c>
      <c r="K92" s="163"/>
      <c r="AR92" s="42">
        <f t="shared" si="54"/>
        <v>4</v>
      </c>
      <c r="AS92" s="42">
        <f t="shared" si="55"/>
        <v>7</v>
      </c>
      <c r="AU92" s="42">
        <f ca="1">SUMIF(UPS!B$38:B$171,C92,UPS!BD$38:BD$171)</f>
        <v>53</v>
      </c>
      <c r="AV92" s="42">
        <v>0</v>
      </c>
    </row>
    <row r="93" spans="1:48">
      <c r="B93" s="440" t="str">
        <f t="shared" si="45"/>
        <v>FLO_SHAR</v>
      </c>
      <c r="C93" s="440" t="str">
        <f ca="1">IF($A93="*","",OFFSET(ITEMS_UPS!$C$8,AR93,0))</f>
        <v>UCTLCLEIN-E</v>
      </c>
      <c r="D93" s="440" t="str">
        <f ca="1">IF($A93="*","",IF(VLOOKUP("*#"&amp;$AS93,$A$10:$I$24,D$9+1,FALSE)="-","-",OFFSET(UPS!$C$37,AU93+AV93,SUMIF($A$10:$A$20,"*#"&amp;AS93,$AT$10:$AT$20))))</f>
        <v>UPSGAS</v>
      </c>
      <c r="E93" s="440" t="str">
        <f t="shared" ca="1" si="46"/>
        <v>UCTLCLEIN-E-I</v>
      </c>
      <c r="F93" s="440" t="str">
        <f t="shared" si="47"/>
        <v>-</v>
      </c>
      <c r="G93" s="440" t="str">
        <f t="shared" si="48"/>
        <v>ANNUAL</v>
      </c>
      <c r="H93" s="441" t="str">
        <f t="shared" si="49"/>
        <v>FX</v>
      </c>
      <c r="I93" s="441">
        <f t="shared" si="50"/>
        <v>3</v>
      </c>
      <c r="J93" s="163">
        <f ca="1">IF($A93="*","",OFFSET(UPS!$C$37,AU93+AV93,SUMIF($A$10:$A$20,"*#"&amp;AS93,$AV$10:$AV$20)))</f>
        <v>6.1679045115178993E-2</v>
      </c>
      <c r="K93" s="163"/>
      <c r="AR93" s="42">
        <f t="shared" si="54"/>
        <v>4</v>
      </c>
      <c r="AS93" s="42">
        <f>AS92</f>
        <v>7</v>
      </c>
      <c r="AU93" s="42">
        <f ca="1">SUMIF(UPS!B$38:B$171,C93,UPS!BD$38:BD$171)</f>
        <v>53</v>
      </c>
      <c r="AV93" s="42">
        <f>AV92+1</f>
        <v>1</v>
      </c>
    </row>
    <row r="94" spans="1:48">
      <c r="B94" s="440" t="str">
        <f t="shared" si="45"/>
        <v>FLO_SHAR</v>
      </c>
      <c r="C94" s="440" t="str">
        <f ca="1">IF($A94="*","",OFFSET(ITEMS_UPS!$C$8,AR94,0))</f>
        <v>UCTLCLEIN-E</v>
      </c>
      <c r="D94" s="440" t="str">
        <f ca="1">IF($A94="*","",IF(VLOOKUP("*#"&amp;$AS94,$A$10:$I$24,D$9+1,FALSE)="-","-",OFFSET(UPS!$C$37,AU94+AV94,SUMIF($A$10:$A$20,"*#"&amp;AS94,$AT$10:$AT$20))))</f>
        <v>UPSELC</v>
      </c>
      <c r="E94" s="440" t="str">
        <f t="shared" ca="1" si="46"/>
        <v>UCTLCLEIN-E-I</v>
      </c>
      <c r="F94" s="440" t="str">
        <f t="shared" si="47"/>
        <v>-</v>
      </c>
      <c r="G94" s="440" t="str">
        <f t="shared" si="48"/>
        <v>ANNUAL</v>
      </c>
      <c r="H94" s="441" t="str">
        <f t="shared" si="49"/>
        <v>FX</v>
      </c>
      <c r="I94" s="441">
        <f t="shared" si="50"/>
        <v>3</v>
      </c>
      <c r="J94" s="163">
        <f ca="1">IF($A94="*","",OFFSET(UPS!$C$37,AU94+AV94,SUMIF($A$10:$A$20,"*#"&amp;AS94,$AV$10:$AV$20)))</f>
        <v>4.294262361898564E-2</v>
      </c>
      <c r="K94" s="163"/>
      <c r="AR94" s="42">
        <f t="shared" si="54"/>
        <v>4</v>
      </c>
      <c r="AS94" s="42">
        <f>AS93</f>
        <v>7</v>
      </c>
      <c r="AU94" s="42">
        <f ca="1">SUMIF(UPS!B$38:B$171,C94,UPS!BD$38:BD$171)</f>
        <v>53</v>
      </c>
      <c r="AV94" s="42">
        <f>AV93+1</f>
        <v>2</v>
      </c>
    </row>
    <row r="95" spans="1:48">
      <c r="B95" s="440" t="str">
        <f t="shared" si="45"/>
        <v>FLO_SHAR</v>
      </c>
      <c r="C95" s="440" t="str">
        <f ca="1">IF($A95="*","",OFFSET(ITEMS_UPS!$C$8,AR95,0))</f>
        <v>UCTLCLEIN-E</v>
      </c>
      <c r="D95" s="440" t="str">
        <f ca="1">IF($A95="*","",IF(VLOOKUP("*#"&amp;$AS95,$A$10:$I$24,D$9+1,FALSE)="-","-",OFFSET(UPS!$C$37,AU95+AV95,SUMIF($A$10:$A$20,"*#"&amp;AS95,$AT$10:$AT$20))))</f>
        <v>UPSHEE</v>
      </c>
      <c r="E95" s="440" t="str">
        <f t="shared" ca="1" si="46"/>
        <v>UCTLCLEIN-E-I</v>
      </c>
      <c r="F95" s="440" t="str">
        <f t="shared" si="47"/>
        <v>-</v>
      </c>
      <c r="G95" s="440" t="str">
        <f t="shared" si="48"/>
        <v>ANNUAL</v>
      </c>
      <c r="H95" s="441" t="str">
        <f t="shared" si="49"/>
        <v>FX</v>
      </c>
      <c r="I95" s="441">
        <f t="shared" si="50"/>
        <v>3</v>
      </c>
      <c r="J95" s="163">
        <f ca="1">IF($A95="*","",OFFSET(UPS!$C$37,AU95+AV95,SUMIF($A$10:$A$20,"*#"&amp;AS95,$AV$10:$AV$20)))</f>
        <v>0.23574563826282655</v>
      </c>
      <c r="K95" s="163"/>
      <c r="AR95" s="42">
        <f t="shared" si="54"/>
        <v>4</v>
      </c>
      <c r="AS95" s="42">
        <f>AS94</f>
        <v>7</v>
      </c>
      <c r="AU95" s="42">
        <f ca="1">SUMIF(UPS!B$38:B$171,C95,UPS!BD$38:BD$171)</f>
        <v>53</v>
      </c>
      <c r="AV95" s="42">
        <f t="shared" ref="AV95:AV102" si="58">AV94+1</f>
        <v>3</v>
      </c>
    </row>
    <row r="96" spans="1:48">
      <c r="B96" s="440" t="str">
        <f t="shared" si="45"/>
        <v>FLO_SHAR</v>
      </c>
      <c r="C96" s="440" t="str">
        <f ca="1">IF($A96="*","",OFFSET(ITEMS_UPS!$C$8,AR96,0))</f>
        <v>UCTLCLEIN-E</v>
      </c>
      <c r="D96" s="440" t="str">
        <f ca="1">IF($A96="*","",IF(VLOOKUP("*#"&amp;$AS96,$A$10:$I$24,D$9+1,FALSE)="-","-",OFFSET(UPS!$C$37,AU96+AV96,SUMIF($A$10:$A$20,"*#"&amp;AS96,$AT$10:$AT$20))))</f>
        <v>OAG</v>
      </c>
      <c r="E96" s="440" t="str">
        <f t="shared" ca="1" si="46"/>
        <v>UCTLCLEIN-E-O</v>
      </c>
      <c r="F96" s="440" t="str">
        <f t="shared" si="47"/>
        <v>-</v>
      </c>
      <c r="G96" s="440" t="str">
        <f t="shared" si="48"/>
        <v>ANNUAL</v>
      </c>
      <c r="H96" s="441" t="str">
        <f t="shared" si="49"/>
        <v>UP</v>
      </c>
      <c r="I96" s="441">
        <f t="shared" si="50"/>
        <v>3</v>
      </c>
      <c r="J96" s="163">
        <f ca="1">IF($A96="*","",OFFSET(UPS!$C$37,AU96+AV96,SUMIF($A$10:$A$20,"*#"&amp;AS96,$AV$10:$AV$20)))</f>
        <v>3.8561908801070703E-3</v>
      </c>
      <c r="K96" s="163"/>
      <c r="AR96" s="42">
        <f t="shared" si="54"/>
        <v>4</v>
      </c>
      <c r="AS96" s="42">
        <f>IF(AR96=AR95,AS95+1,1)</f>
        <v>8</v>
      </c>
      <c r="AU96" s="42">
        <f ca="1">SUMIF(UPS!B$38:B$171,C96,UPS!BD$38:BD$171)</f>
        <v>53</v>
      </c>
      <c r="AV96" s="42">
        <f t="shared" si="58"/>
        <v>4</v>
      </c>
    </row>
    <row r="97" spans="1:48">
      <c r="B97" s="440" t="str">
        <f t="shared" si="45"/>
        <v>FLO_SHAR</v>
      </c>
      <c r="C97" s="440" t="str">
        <f ca="1">IF($A97="*","",OFFSET(ITEMS_UPS!$C$8,AR97,0))</f>
        <v>UCTLCLEIN-E</v>
      </c>
      <c r="D97" s="440" t="str">
        <f ca="1">IF($A97="*","",IF(VLOOKUP("*#"&amp;$AS97,$A$10:$I$24,D$9+1,FALSE)="-","-",OFFSET(UPS!$C$37,AU97+AV97,SUMIF($A$10:$A$20,"*#"&amp;AS97,$AT$10:$AT$20))))</f>
        <v>ODS</v>
      </c>
      <c r="E97" s="440" t="str">
        <f t="shared" ca="1" si="46"/>
        <v>UCTLCLEIN-E-O</v>
      </c>
      <c r="F97" s="440" t="str">
        <f t="shared" si="47"/>
        <v>-</v>
      </c>
      <c r="G97" s="440" t="str">
        <f t="shared" si="48"/>
        <v>ANNUAL</v>
      </c>
      <c r="H97" s="441" t="str">
        <f t="shared" si="49"/>
        <v>UP</v>
      </c>
      <c r="I97" s="441">
        <f t="shared" si="50"/>
        <v>3</v>
      </c>
      <c r="J97" s="163">
        <f ca="1">IF($A97="*","",OFFSET(UPS!$C$37,AU97+AV97,SUMIF($A$10:$A$20,"*#"&amp;AS97,$AV$10:$AV$20)))</f>
        <v>0.22515182978585355</v>
      </c>
      <c r="K97" s="163"/>
      <c r="AR97" s="42">
        <f t="shared" si="54"/>
        <v>4</v>
      </c>
      <c r="AS97" s="42">
        <f t="shared" ref="AS97:AS102" si="59">AS96</f>
        <v>8</v>
      </c>
      <c r="AU97" s="42">
        <f ca="1">SUMIF(UPS!B$38:B$171,C97,UPS!BD$38:BD$171)</f>
        <v>53</v>
      </c>
      <c r="AV97" s="42">
        <f t="shared" si="58"/>
        <v>5</v>
      </c>
    </row>
    <row r="98" spans="1:48">
      <c r="B98" s="440" t="str">
        <f t="shared" si="45"/>
        <v>FLO_SHAR</v>
      </c>
      <c r="C98" s="440" t="str">
        <f ca="1">IF($A98="*","",OFFSET(ITEMS_UPS!$C$8,AR98,0))</f>
        <v>UCTLCLEIN-E</v>
      </c>
      <c r="D98" s="440" t="str">
        <f ca="1">IF($A98="*","",IF(VLOOKUP("*#"&amp;$AS98,$A$10:$I$24,D$9+1,FALSE)="-","-",OFFSET(UPS!$C$37,AU98+AV98,SUMIF($A$10:$A$20,"*#"&amp;AS98,$AT$10:$AT$20))))</f>
        <v>OGS</v>
      </c>
      <c r="E98" s="440" t="str">
        <f t="shared" ca="1" si="46"/>
        <v>UCTLCLEIN-E-O</v>
      </c>
      <c r="F98" s="440" t="str">
        <f t="shared" si="47"/>
        <v>-</v>
      </c>
      <c r="G98" s="440" t="str">
        <f t="shared" si="48"/>
        <v>ANNUAL</v>
      </c>
      <c r="H98" s="441" t="str">
        <f t="shared" si="49"/>
        <v>UP</v>
      </c>
      <c r="I98" s="441">
        <f t="shared" si="50"/>
        <v>3</v>
      </c>
      <c r="J98" s="163">
        <f ca="1">IF($A98="*","",OFFSET(UPS!$C$37,AU98+AV98,SUMIF($A$10:$A$20,"*#"&amp;AS98,$AV$10:$AV$20)))</f>
        <v>0.51121066001704907</v>
      </c>
      <c r="K98" s="163"/>
      <c r="AR98" s="42">
        <f t="shared" si="54"/>
        <v>4</v>
      </c>
      <c r="AS98" s="42">
        <f t="shared" si="59"/>
        <v>8</v>
      </c>
      <c r="AU98" s="42">
        <f ca="1">SUMIF(UPS!B$38:B$171,C98,UPS!BD$38:BD$171)</f>
        <v>53</v>
      </c>
      <c r="AV98" s="42">
        <f t="shared" si="58"/>
        <v>6</v>
      </c>
    </row>
    <row r="99" spans="1:48">
      <c r="B99" s="440" t="str">
        <f t="shared" si="45"/>
        <v>FLO_SHAR</v>
      </c>
      <c r="C99" s="440" t="str">
        <f ca="1">IF($A99="*","",OFFSET(ITEMS_UPS!$C$8,AR99,0))</f>
        <v>UCTLCLEIN-E</v>
      </c>
      <c r="D99" s="440" t="str">
        <f ca="1">IF($A99="*","",IF(VLOOKUP("*#"&amp;$AS99,$A$10:$I$24,D$9+1,FALSE)="-","-",OFFSET(UPS!$C$37,AU99+AV99,SUMIF($A$10:$A$20,"*#"&amp;AS99,$AT$10:$AT$20))))</f>
        <v>GIM</v>
      </c>
      <c r="E99" s="440" t="str">
        <f t="shared" ca="1" si="46"/>
        <v>UCTLCLEIN-E-O</v>
      </c>
      <c r="F99" s="440" t="str">
        <f t="shared" si="47"/>
        <v>-</v>
      </c>
      <c r="G99" s="440" t="str">
        <f t="shared" si="48"/>
        <v>ANNUAL</v>
      </c>
      <c r="H99" s="441" t="str">
        <f t="shared" si="49"/>
        <v>UP</v>
      </c>
      <c r="I99" s="441">
        <f t="shared" si="50"/>
        <v>3</v>
      </c>
      <c r="J99" s="163">
        <f ca="1">IF($A99="*","",OFFSET(UPS!$C$37,AU99+AV99,SUMIF($A$10:$A$20,"*#"&amp;AS99,$AV$10:$AV$20)))</f>
        <v>0.13683682177551551</v>
      </c>
      <c r="K99" s="163"/>
      <c r="AR99" s="42">
        <f t="shared" si="54"/>
        <v>4</v>
      </c>
      <c r="AS99" s="42">
        <f t="shared" si="59"/>
        <v>8</v>
      </c>
      <c r="AU99" s="42">
        <f ca="1">SUMIF(UPS!B$38:B$171,C99,UPS!BD$38:BD$171)</f>
        <v>53</v>
      </c>
      <c r="AV99" s="42">
        <f t="shared" si="58"/>
        <v>7</v>
      </c>
    </row>
    <row r="100" spans="1:48">
      <c r="B100" s="440" t="str">
        <f t="shared" si="45"/>
        <v>FLO_SHAR</v>
      </c>
      <c r="C100" s="440" t="str">
        <f ca="1">IF($A100="*","",OFFSET(ITEMS_UPS!$C$8,AR100,0))</f>
        <v>UCTLCLEIN-E</v>
      </c>
      <c r="D100" s="440" t="str">
        <f ca="1">IF($A100="*","",IF(VLOOKUP("*#"&amp;$AS100,$A$10:$I$24,D$9+1,FALSE)="-","-",OFFSET(UPS!$C$37,AU100+AV100,SUMIF($A$10:$A$20,"*#"&amp;AS100,$AT$10:$AT$20))))</f>
        <v>OKE</v>
      </c>
      <c r="E100" s="440" t="str">
        <f t="shared" ca="1" si="46"/>
        <v>UCTLCLEIN-E-O</v>
      </c>
      <c r="F100" s="440" t="str">
        <f t="shared" si="47"/>
        <v>-</v>
      </c>
      <c r="G100" s="440" t="str">
        <f t="shared" si="48"/>
        <v>ANNUAL</v>
      </c>
      <c r="H100" s="441" t="str">
        <f t="shared" si="49"/>
        <v>UP</v>
      </c>
      <c r="I100" s="441">
        <f t="shared" si="50"/>
        <v>3</v>
      </c>
      <c r="J100" s="163">
        <f ca="1">IF($A100="*","",OFFSET(UPS!$C$37,AU100+AV100,SUMIF($A$10:$A$20,"*#"&amp;AS100,$AV$10:$AV$20)))</f>
        <v>4.1003051727628158E-2</v>
      </c>
      <c r="K100" s="163"/>
      <c r="AR100" s="42">
        <f t="shared" si="54"/>
        <v>4</v>
      </c>
      <c r="AS100" s="42">
        <f t="shared" si="59"/>
        <v>8</v>
      </c>
      <c r="AU100" s="42">
        <f ca="1">SUMIF(UPS!B$38:B$171,C100,UPS!BD$38:BD$171)</f>
        <v>53</v>
      </c>
      <c r="AV100" s="42">
        <f t="shared" si="58"/>
        <v>8</v>
      </c>
    </row>
    <row r="101" spans="1:48">
      <c r="B101" s="440" t="str">
        <f t="shared" si="45"/>
        <v>FLO_SHAR</v>
      </c>
      <c r="C101" s="440" t="str">
        <f ca="1">IF($A101="*","",OFFSET(ITEMS_UPS!$C$8,AR101,0))</f>
        <v>UCTLCLEIN-E</v>
      </c>
      <c r="D101" s="440" t="str">
        <f ca="1">IF($A101="*","",IF(VLOOKUP("*#"&amp;$AS101,$A$10:$I$24,D$9+1,FALSE)="-","-",OFFSET(UPS!$C$37,AU101+AV101,SUMIF($A$10:$A$20,"*#"&amp;AS101,$AT$10:$AT$20))))</f>
        <v>OLP</v>
      </c>
      <c r="E101" s="440" t="str">
        <f t="shared" ca="1" si="46"/>
        <v>UCTLCLEIN-E-O</v>
      </c>
      <c r="F101" s="440" t="str">
        <f t="shared" si="47"/>
        <v>-</v>
      </c>
      <c r="G101" s="440" t="str">
        <f t="shared" si="48"/>
        <v>ANNUAL</v>
      </c>
      <c r="H101" s="441" t="str">
        <f t="shared" si="49"/>
        <v>UP</v>
      </c>
      <c r="I101" s="441">
        <f t="shared" si="50"/>
        <v>3</v>
      </c>
      <c r="J101" s="163">
        <f ca="1">IF($A101="*","",OFFSET(UPS!$C$37,AU101+AV101,SUMIF($A$10:$A$20,"*#"&amp;AS101,$AV$10:$AV$20)))</f>
        <v>1.3008561741482062E-2</v>
      </c>
      <c r="K101" s="163"/>
      <c r="AR101" s="42">
        <f t="shared" si="54"/>
        <v>4</v>
      </c>
      <c r="AS101" s="42">
        <f t="shared" si="59"/>
        <v>8</v>
      </c>
      <c r="AU101" s="42">
        <f ca="1">SUMIF(UPS!B$38:B$171,C101,UPS!BD$38:BD$171)</f>
        <v>53</v>
      </c>
      <c r="AV101" s="42">
        <f t="shared" si="58"/>
        <v>9</v>
      </c>
    </row>
    <row r="102" spans="1:48">
      <c r="B102" s="440" t="str">
        <f t="shared" si="45"/>
        <v>FLO_SHAR</v>
      </c>
      <c r="C102" s="440" t="str">
        <f ca="1">IF($A102="*","",OFFSET(ITEMS_UPS!$C$8,AR102,0))</f>
        <v>UCTLCLEIN-E</v>
      </c>
      <c r="D102" s="440" t="str">
        <f ca="1">IF($A102="*","",IF(VLOOKUP("*#"&amp;$AS102,$A$10:$I$24,D$9+1,FALSE)="-","-",OFFSET(UPS!$C$37,AU102+AV102,SUMIF($A$10:$A$20,"*#"&amp;AS102,$AT$10:$AT$20))))</f>
        <v>OTH</v>
      </c>
      <c r="E102" s="440" t="str">
        <f t="shared" ca="1" si="46"/>
        <v>UCTLCLEIN-E-O</v>
      </c>
      <c r="F102" s="440" t="str">
        <f t="shared" si="47"/>
        <v>-</v>
      </c>
      <c r="G102" s="440" t="str">
        <f t="shared" si="48"/>
        <v>ANNUAL</v>
      </c>
      <c r="H102" s="441" t="str">
        <f t="shared" si="49"/>
        <v>UP</v>
      </c>
      <c r="I102" s="441">
        <f t="shared" si="50"/>
        <v>3</v>
      </c>
      <c r="J102" s="163">
        <f ca="1">IF($A102="*","",OFFSET(UPS!$C$37,AU102+AV102,SUMIF($A$10:$A$20,"*#"&amp;AS102,$AV$10:$AV$20)))</f>
        <v>6.89328840723646E-2</v>
      </c>
      <c r="K102" s="163"/>
      <c r="AR102" s="42">
        <f t="shared" si="54"/>
        <v>4</v>
      </c>
      <c r="AS102" s="42">
        <f t="shared" si="59"/>
        <v>8</v>
      </c>
      <c r="AU102" s="42">
        <f ca="1">SUMIF(UPS!B$38:B$171,C102,UPS!BD$38:BD$171)</f>
        <v>53</v>
      </c>
      <c r="AV102" s="42">
        <f t="shared" si="58"/>
        <v>10</v>
      </c>
    </row>
    <row r="103" spans="1:48">
      <c r="B103" s="440" t="str">
        <f t="shared" si="45"/>
        <v>FLO_EMIS</v>
      </c>
      <c r="C103" s="440" t="str">
        <f ca="1">IF($A103="*","",OFFSET(ITEMS_UPS!$C$8,AR103,0))</f>
        <v>UCTLCLEIN-E</v>
      </c>
      <c r="D103" s="440" t="str">
        <f>ITEMS_XFEmiss!$C$5</f>
        <v>CO2SF</v>
      </c>
      <c r="E103" s="440" t="str">
        <f t="shared" ca="1" si="46"/>
        <v>UCTLCLEIN-E-O</v>
      </c>
      <c r="F103" s="440" t="str">
        <f t="shared" si="47"/>
        <v>-</v>
      </c>
      <c r="G103" s="440" t="str">
        <f t="shared" si="48"/>
        <v>ANNUAL</v>
      </c>
      <c r="H103" s="441" t="str">
        <f t="shared" si="49"/>
        <v>-</v>
      </c>
      <c r="I103" s="441">
        <f t="shared" si="50"/>
        <v>0</v>
      </c>
      <c r="J103" s="163">
        <f ca="1">IF($A103="*","",OFFSET(UPS!$C$37,AU103,SUMIF($A$10:$A$20,"*#"&amp;AS103,$AT$10:$AT$20)))</f>
        <v>99.475504974982442</v>
      </c>
      <c r="K103" s="163"/>
      <c r="AR103" s="42">
        <f>AR100</f>
        <v>4</v>
      </c>
      <c r="AS103" s="42">
        <f>AS100+1</f>
        <v>9</v>
      </c>
      <c r="AU103" s="42">
        <f ca="1">SUMIF(UPS!B$38:B$171,C103,UPS!BD$38:BD$171)</f>
        <v>53</v>
      </c>
    </row>
    <row r="104" spans="1:48">
      <c r="B104" s="440" t="str">
        <f t="shared" si="45"/>
        <v>FLO_EMIS</v>
      </c>
      <c r="C104" s="440" t="str">
        <f ca="1">IF($A104="*","",OFFSET(ITEMS_UPS!$C$8,AR104,0))</f>
        <v>UCTLCLEIN-E</v>
      </c>
      <c r="D104" s="440" t="str">
        <f>ITEMS_XFEmiss!$C$3</f>
        <v>CH4SF</v>
      </c>
      <c r="E104" s="440" t="str">
        <f t="shared" ca="1" si="46"/>
        <v>UCTLCLEIN-E-O</v>
      </c>
      <c r="F104" s="440" t="str">
        <f t="shared" si="47"/>
        <v>-</v>
      </c>
      <c r="G104" s="440" t="str">
        <f t="shared" si="48"/>
        <v>ANNUAL</v>
      </c>
      <c r="H104" s="441" t="str">
        <f t="shared" si="49"/>
        <v>-</v>
      </c>
      <c r="I104" s="441">
        <f t="shared" si="50"/>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5"/>
        <v>PRC_RESID</v>
      </c>
      <c r="C105" s="440" t="str">
        <f ca="1">IF($A105="*","",OFFSET(ITEMS_UPS!$C$8,AR105,0))</f>
        <v>UCTLCLEIN-E</v>
      </c>
      <c r="D105" s="440" t="str">
        <f ca="1">IF($A105="*","",IF(VLOOKUP("*#"&amp;$AS105,$A$10:$I$24,D$9+1,FALSE)="-","-",OFFSET(UPS!$C$37,AU105+AV105,SUMIF($A$10:$A$20,"*#"&amp;AS105,$AT$10:$AT$20))))</f>
        <v>-</v>
      </c>
      <c r="E105" s="440" t="str">
        <f t="shared" si="46"/>
        <v>-</v>
      </c>
      <c r="F105" s="440" t="str">
        <f t="shared" si="47"/>
        <v>-</v>
      </c>
      <c r="G105" s="440" t="str">
        <f t="shared" si="48"/>
        <v>-</v>
      </c>
      <c r="H105" s="441" t="str">
        <f t="shared" si="49"/>
        <v>-</v>
      </c>
      <c r="I105" s="441">
        <f t="shared" si="50"/>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60">IF(A107="*","",VLOOKUP("*#"&amp;AS107,$A$9:$B$24,2,FALSE))</f>
        <v>ACT_COST</v>
      </c>
      <c r="C107" s="440" t="str">
        <f ca="1">IF($A107="*","",OFFSET(ITEMS_UPS!$C$8,AR107,0))</f>
        <v>UCTLCLEIN-N</v>
      </c>
      <c r="D107" s="440" t="str">
        <f ca="1">IF($A107="*","",IF(VLOOKUP("*#"&amp;$AS107,$A$10:$I$24,D$9+1,FALSE)="-","-",OFFSET(UPS!$C$37,AU107+AV107,SUMIF($A$10:$A$20,"*#"&amp;AS107,$AT$10:$AT$20))))</f>
        <v>-</v>
      </c>
      <c r="E107" s="440" t="str">
        <f t="shared" ref="E107:E128" si="61">IF($A107="*","",IF(VLOOKUP("*#"&amp;$AS107,$A$10:$I$24,E$9+1,FALSE)="-","-",C107&amp;"-"&amp;RIGHT(VLOOKUP("*#"&amp;$AS107,$A$10:$I$24,E$9+1,FALSE),1)))</f>
        <v>-</v>
      </c>
      <c r="F107" s="440" t="str">
        <f t="shared" ref="F107:F128" si="62">IF($A107="*","",IF(VLOOKUP("*#"&amp;$AS107,$A$10:$I$24,F$9+1,FALSE)="-","-",C107&amp;"-"&amp;RIGHT(VLOOKUP("*#"&amp;$AS107,$A$10:$I$24,F$9+1,FALSE),1)))</f>
        <v>-</v>
      </c>
      <c r="G107" s="440" t="str">
        <f t="shared" ref="G107:G125" si="63">IF($A107="*","",VLOOKUP("*#"&amp;$AS107,$A$10:$I$20,G$9+1,FALSE))</f>
        <v>-</v>
      </c>
      <c r="H107" s="441" t="str">
        <f t="shared" ref="H107:H128" si="64">IF($A107="*","",VLOOKUP("*#"&amp;$AS107,$A$10:$I$24,H$9+1,FALSE))</f>
        <v>-</v>
      </c>
      <c r="I107" s="441">
        <f t="shared" ref="I107:I125" si="65">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60"/>
        <v>NCAP_AFA</v>
      </c>
      <c r="C108" s="440" t="str">
        <f ca="1">IF($A108="*","",OFFSET(ITEMS_UPS!$C$8,AR108,0))</f>
        <v>UCTLCLEIN-N</v>
      </c>
      <c r="D108" s="440" t="str">
        <f ca="1">IF($A108="*","",IF(VLOOKUP("*#"&amp;$AS108,$A$10:$I$24,D$9+1,FALSE)="-","-",OFFSET(UPS!$C$37,AU108+AV108,SUMIF($A$10:$A$20,"*#"&amp;AS108,$AT$10:$AT$20))))</f>
        <v>-</v>
      </c>
      <c r="E108" s="440" t="str">
        <f t="shared" si="61"/>
        <v>-</v>
      </c>
      <c r="F108" s="440" t="str">
        <f t="shared" si="62"/>
        <v>-</v>
      </c>
      <c r="G108" s="440" t="str">
        <f t="shared" si="63"/>
        <v>ANNUAL</v>
      </c>
      <c r="H108" s="441" t="str">
        <f t="shared" si="64"/>
        <v>UP</v>
      </c>
      <c r="I108" s="441">
        <f t="shared" si="65"/>
        <v>3</v>
      </c>
      <c r="J108" s="163">
        <f ca="1">IF($A108="*","",OFFSET(UPS!$C$37,AU108,SUMIF($A$10:$A$20,"*#"&amp;AS108,$AT$10:$AT$20)))</f>
        <v>0.96</v>
      </c>
      <c r="K108" s="163"/>
      <c r="AR108" s="42">
        <f t="shared" ref="AR108:AR123" si="66">AR107</f>
        <v>6</v>
      </c>
      <c r="AS108" s="42">
        <f t="shared" ref="AS108:AS113" si="67">IF(AR108=AR107,AS107+1,1)</f>
        <v>2</v>
      </c>
      <c r="AU108" s="42">
        <f ca="1">SUMIF(UPS!B$38:B$171,C108,UPS!BD$38:BD$171)</f>
        <v>65</v>
      </c>
    </row>
    <row r="109" spans="1:48">
      <c r="B109" s="440" t="str">
        <f t="shared" si="60"/>
        <v>NCAP_AFA</v>
      </c>
      <c r="C109" s="440" t="str">
        <f ca="1">IF($A109="*","",OFFSET(ITEMS_UPS!$C$8,AR109,0))</f>
        <v>UCTLCLEIN-N</v>
      </c>
      <c r="D109" s="440" t="str">
        <f ca="1">IF($A109="*","",IF(VLOOKUP("*#"&amp;$AS109,$A$10:$I$24,D$9+1,FALSE)="-","-",OFFSET(UPS!$C$37,AU109+AV109,SUMIF($A$10:$A$20,"*#"&amp;AS109,$AT$10:$AT$20))))</f>
        <v>-</v>
      </c>
      <c r="E109" s="440" t="str">
        <f t="shared" si="61"/>
        <v>-</v>
      </c>
      <c r="F109" s="440" t="str">
        <f t="shared" si="62"/>
        <v>-</v>
      </c>
      <c r="G109" s="440" t="str">
        <f t="shared" si="63"/>
        <v>ANNUAL</v>
      </c>
      <c r="H109" s="441" t="str">
        <f t="shared" si="64"/>
        <v>LO</v>
      </c>
      <c r="I109" s="441">
        <f t="shared" si="65"/>
        <v>3</v>
      </c>
      <c r="J109" s="163" t="str">
        <f ca="1">IF($A109="*","",OFFSET(UPS!$C$37,AU109,SUMIF($A$10:$A$20,"*#"&amp;AS109,$AT$10:$AT$20)))</f>
        <v/>
      </c>
      <c r="K109" s="163"/>
      <c r="AR109" s="42">
        <f t="shared" si="66"/>
        <v>6</v>
      </c>
      <c r="AS109" s="42">
        <f t="shared" si="67"/>
        <v>3</v>
      </c>
      <c r="AU109" s="42">
        <f ca="1">SUMIF(UPS!B$38:B$171,C109,UPS!BD$38:BD$171)</f>
        <v>65</v>
      </c>
    </row>
    <row r="110" spans="1:48">
      <c r="B110" s="440" t="str">
        <f t="shared" si="60"/>
        <v>NCAP_FOM</v>
      </c>
      <c r="C110" s="440" t="str">
        <f ca="1">IF($A110="*","",OFFSET(ITEMS_UPS!$C$8,AR110,0))</f>
        <v>UCTLCLEIN-N</v>
      </c>
      <c r="D110" s="440" t="str">
        <f ca="1">IF($A110="*","",IF(VLOOKUP("*#"&amp;$AS110,$A$10:$I$24,D$9+1,FALSE)="-","-",OFFSET(UPS!$C$37,AU110+AV110,SUMIF($A$10:$A$20,"*#"&amp;AS110,$AT$10:$AT$20))))</f>
        <v>-</v>
      </c>
      <c r="E110" s="440" t="str">
        <f t="shared" si="61"/>
        <v>-</v>
      </c>
      <c r="F110" s="440" t="str">
        <f t="shared" si="62"/>
        <v>-</v>
      </c>
      <c r="G110" s="440" t="str">
        <f t="shared" si="63"/>
        <v>-</v>
      </c>
      <c r="H110" s="441" t="str">
        <f t="shared" si="64"/>
        <v>-</v>
      </c>
      <c r="I110" s="441">
        <f t="shared" si="65"/>
        <v>0</v>
      </c>
      <c r="J110" s="163">
        <f ca="1">IF($A110="*","",OFFSET(UPS!$C$37,AU110,SUMIF($A$10:$A$20,"*#"&amp;AS110,$AT$10:$AT$20)))</f>
        <v>0</v>
      </c>
      <c r="K110" s="163"/>
      <c r="AR110" s="42">
        <f t="shared" si="66"/>
        <v>6</v>
      </c>
      <c r="AS110" s="42">
        <f t="shared" si="67"/>
        <v>4</v>
      </c>
      <c r="AU110" s="42">
        <f ca="1">SUMIF(UPS!B$38:B$171,C110,UPS!BD$38:BD$171)</f>
        <v>65</v>
      </c>
    </row>
    <row r="111" spans="1:48">
      <c r="B111" s="440" t="str">
        <f t="shared" si="60"/>
        <v>NCAP_BND</v>
      </c>
      <c r="C111" s="440" t="str">
        <f ca="1">IF($A111="*","",OFFSET(ITEMS_UPS!$C$8,AR111,0))</f>
        <v>UCTLCLEIN-N</v>
      </c>
      <c r="D111" s="440" t="str">
        <f ca="1">IF($A111="*","",IF(VLOOKUP("*#"&amp;$AS111,$A$10:$I$24,D$9+1,FALSE)="-","-",OFFSET(UPS!$C$37,AU111+AV111,SUMIF($A$10:$A$20,"*#"&amp;AS111,$AT$10:$AT$20))))</f>
        <v>-</v>
      </c>
      <c r="E111" s="440" t="str">
        <f t="shared" si="61"/>
        <v>-</v>
      </c>
      <c r="F111" s="440" t="str">
        <f t="shared" si="62"/>
        <v>-</v>
      </c>
      <c r="G111" s="440" t="str">
        <f t="shared" si="63"/>
        <v>-</v>
      </c>
      <c r="H111" s="441" t="str">
        <f t="shared" si="64"/>
        <v>UP</v>
      </c>
      <c r="I111" s="441">
        <f t="shared" si="65"/>
        <v>3</v>
      </c>
      <c r="J111" s="163">
        <f ca="1">IF($A111="*","",OFFSET(UPS!$C$37,AU111,SUMIF($A$10:$A$20,"*#"&amp;AS111,$AT$10:$AT$20)))</f>
        <v>0</v>
      </c>
      <c r="K111" s="163"/>
      <c r="AR111" s="42">
        <f>AR109</f>
        <v>6</v>
      </c>
      <c r="AS111" s="42">
        <f t="shared" si="67"/>
        <v>5</v>
      </c>
      <c r="AU111" s="42">
        <f ca="1">SUMIF(UPS!B$38:B$171,C111,UPS!BD$38:BD$171)</f>
        <v>65</v>
      </c>
    </row>
    <row r="112" spans="1:48">
      <c r="B112" s="440" t="str">
        <f t="shared" si="60"/>
        <v>FLO_FUNC</v>
      </c>
      <c r="C112" s="440" t="str">
        <f ca="1">IF($A112="*","",OFFSET(ITEMS_UPS!$C$8,AR112,0))</f>
        <v>UCTLCLEIN-N</v>
      </c>
      <c r="D112" s="440" t="str">
        <f ca="1">IF($A112="*","",IF(VLOOKUP("*#"&amp;$AS112,$A$10:$I$24,D$9+1,FALSE)="-","-",OFFSET(UPS!$C$37,AU112+AV112,SUMIF($A$10:$A$20,"*#"&amp;AS112,$AT$10:$AT$20))))</f>
        <v>-</v>
      </c>
      <c r="E112" s="440" t="str">
        <f t="shared" ca="1" si="61"/>
        <v>UCTLCLEIN-N-I</v>
      </c>
      <c r="F112" s="440" t="str">
        <f t="shared" ca="1" si="62"/>
        <v>UCTLCLEIN-N-O</v>
      </c>
      <c r="G112" s="440" t="str">
        <f t="shared" si="63"/>
        <v>ANNUAL</v>
      </c>
      <c r="H112" s="441" t="str">
        <f t="shared" si="64"/>
        <v>-</v>
      </c>
      <c r="I112" s="441">
        <f t="shared" si="65"/>
        <v>0</v>
      </c>
      <c r="J112" s="163">
        <f ca="1">IF($A112="*","",OFFSET(UPS!$C$37,AU112,SUMIF($A$10:$A$20,"*#"&amp;AS112,$AT$10:$AT$20)))</f>
        <v>0.34922414801284113</v>
      </c>
      <c r="K112" s="163"/>
      <c r="AR112" s="42">
        <f>AR109</f>
        <v>6</v>
      </c>
      <c r="AS112" s="42">
        <f t="shared" si="67"/>
        <v>6</v>
      </c>
      <c r="AU112" s="42">
        <f ca="1">SUMIF(UPS!B$38:B$171,C112,UPS!BD$38:BD$171)</f>
        <v>65</v>
      </c>
    </row>
    <row r="113" spans="2:48">
      <c r="B113" s="440" t="str">
        <f t="shared" si="60"/>
        <v>FLO_SHAR</v>
      </c>
      <c r="C113" s="440" t="str">
        <f ca="1">IF($A113="*","",OFFSET(ITEMS_UPS!$C$8,AR113,0))</f>
        <v>UCTLCLEIN-N</v>
      </c>
      <c r="D113" s="440" t="str">
        <f ca="1">IF($A113="*","",IF(VLOOKUP("*#"&amp;$AS113,$A$10:$I$24,D$9+1,FALSE)="-","-",OFFSET(UPS!$C$37,AU113+AV113,SUMIF($A$10:$A$20,"*#"&amp;AS113,$AT$10:$AT$20))))</f>
        <v>UPSCLE</v>
      </c>
      <c r="E113" s="440" t="str">
        <f t="shared" ca="1" si="61"/>
        <v>UCTLCLEIN-N-I</v>
      </c>
      <c r="F113" s="440" t="str">
        <f t="shared" si="62"/>
        <v>-</v>
      </c>
      <c r="G113" s="440" t="str">
        <f t="shared" si="63"/>
        <v>ANNUAL</v>
      </c>
      <c r="H113" s="441" t="str">
        <f t="shared" si="64"/>
        <v>FX</v>
      </c>
      <c r="I113" s="441">
        <f t="shared" si="65"/>
        <v>3</v>
      </c>
      <c r="J113" s="163">
        <f ca="1">IF($A113="*","",OFFSET(UPS!$C$37,AU113+AV113,SUMIF($A$10:$A$20,"*#"&amp;AS113,$AV$10:$AV$20)))</f>
        <v>0.65963269300300886</v>
      </c>
      <c r="K113" s="163"/>
      <c r="AR113" s="42">
        <f t="shared" si="66"/>
        <v>6</v>
      </c>
      <c r="AS113" s="42">
        <f t="shared" si="67"/>
        <v>7</v>
      </c>
      <c r="AU113" s="42">
        <f ca="1">SUMIF(UPS!B$38:B$171,C113,UPS!BD$38:BD$171)</f>
        <v>65</v>
      </c>
      <c r="AV113" s="42">
        <v>0</v>
      </c>
    </row>
    <row r="114" spans="2:48">
      <c r="B114" s="440" t="str">
        <f t="shared" si="60"/>
        <v>FLO_SHAR</v>
      </c>
      <c r="C114" s="440" t="str">
        <f ca="1">IF($A114="*","",OFFSET(ITEMS_UPS!$C$8,AR114,0))</f>
        <v>UCTLCLEIN-N</v>
      </c>
      <c r="D114" s="440" t="str">
        <f ca="1">IF($A114="*","",IF(VLOOKUP("*#"&amp;$AS114,$A$10:$I$24,D$9+1,FALSE)="-","-",OFFSET(UPS!$C$37,AU114+AV114,SUMIF($A$10:$A$20,"*#"&amp;AS114,$AT$10:$AT$20))))</f>
        <v>UPSGAS</v>
      </c>
      <c r="E114" s="440" t="str">
        <f t="shared" ca="1" si="61"/>
        <v>UCTLCLEIN-N-I</v>
      </c>
      <c r="F114" s="440" t="str">
        <f t="shared" si="62"/>
        <v>-</v>
      </c>
      <c r="G114" s="440" t="str">
        <f t="shared" si="63"/>
        <v>ANNUAL</v>
      </c>
      <c r="H114" s="441" t="str">
        <f t="shared" si="64"/>
        <v>FX</v>
      </c>
      <c r="I114" s="441">
        <f t="shared" si="65"/>
        <v>3</v>
      </c>
      <c r="J114" s="163">
        <f ca="1">IF($A114="*","",OFFSET(UPS!$C$37,AU114+AV114,SUMIF($A$10:$A$20,"*#"&amp;AS114,$AV$10:$AV$20)))</f>
        <v>6.1679045115178993E-2</v>
      </c>
      <c r="K114" s="163"/>
      <c r="AR114" s="42">
        <f t="shared" si="66"/>
        <v>6</v>
      </c>
      <c r="AS114" s="42">
        <f>AS113</f>
        <v>7</v>
      </c>
      <c r="AU114" s="42">
        <f ca="1">SUMIF(UPS!B$38:B$171,C114,UPS!BD$38:BD$171)</f>
        <v>65</v>
      </c>
      <c r="AV114" s="42">
        <f>AV113+1</f>
        <v>1</v>
      </c>
    </row>
    <row r="115" spans="2:48">
      <c r="B115" s="440" t="str">
        <f t="shared" si="60"/>
        <v>FLO_SHAR</v>
      </c>
      <c r="C115" s="440" t="str">
        <f ca="1">IF($A115="*","",OFFSET(ITEMS_UPS!$C$8,AR115,0))</f>
        <v>UCTLCLEIN-N</v>
      </c>
      <c r="D115" s="440" t="str">
        <f ca="1">IF($A115="*","",IF(VLOOKUP("*#"&amp;$AS115,$A$10:$I$24,D$9+1,FALSE)="-","-",OFFSET(UPS!$C$37,AU115+AV115,SUMIF($A$10:$A$20,"*#"&amp;AS115,$AT$10:$AT$20))))</f>
        <v>UPSELC</v>
      </c>
      <c r="E115" s="440" t="str">
        <f t="shared" ca="1" si="61"/>
        <v>UCTLCLEIN-N-I</v>
      </c>
      <c r="F115" s="440" t="str">
        <f t="shared" si="62"/>
        <v>-</v>
      </c>
      <c r="G115" s="440" t="str">
        <f t="shared" si="63"/>
        <v>ANNUAL</v>
      </c>
      <c r="H115" s="441" t="str">
        <f t="shared" si="64"/>
        <v>FX</v>
      </c>
      <c r="I115" s="441">
        <f t="shared" si="65"/>
        <v>3</v>
      </c>
      <c r="J115" s="163">
        <f ca="1">IF($A115="*","",OFFSET(UPS!$C$37,AU115+AV115,SUMIF($A$10:$A$20,"*#"&amp;AS115,$AV$10:$AV$20)))</f>
        <v>4.294262361898564E-2</v>
      </c>
      <c r="K115" s="163"/>
      <c r="AR115" s="42">
        <f t="shared" si="66"/>
        <v>6</v>
      </c>
      <c r="AS115" s="42">
        <f>AS114</f>
        <v>7</v>
      </c>
      <c r="AU115" s="42">
        <f ca="1">SUMIF(UPS!B$38:B$171,C115,UPS!BD$38:BD$171)</f>
        <v>65</v>
      </c>
      <c r="AV115" s="42">
        <f>AV114+1</f>
        <v>2</v>
      </c>
    </row>
    <row r="116" spans="2:48">
      <c r="B116" s="440" t="str">
        <f t="shared" si="60"/>
        <v>FLO_SHAR</v>
      </c>
      <c r="C116" s="440" t="str">
        <f ca="1">IF($A116="*","",OFFSET(ITEMS_UPS!$C$8,AR116,0))</f>
        <v>UCTLCLEIN-N</v>
      </c>
      <c r="D116" s="440" t="str">
        <f ca="1">IF($A116="*","",IF(VLOOKUP("*#"&amp;$AS116,$A$10:$I$24,D$9+1,FALSE)="-","-",OFFSET(UPS!$C$37,AU116+AV116,SUMIF($A$10:$A$20,"*#"&amp;AS116,$AT$10:$AT$20))))</f>
        <v>UPSHEN</v>
      </c>
      <c r="E116" s="440" t="str">
        <f t="shared" ca="1" si="61"/>
        <v>UCTLCLEIN-N-I</v>
      </c>
      <c r="F116" s="440" t="str">
        <f t="shared" si="62"/>
        <v>-</v>
      </c>
      <c r="G116" s="440" t="str">
        <f t="shared" si="63"/>
        <v>ANNUAL</v>
      </c>
      <c r="H116" s="441" t="str">
        <f t="shared" si="64"/>
        <v>FX</v>
      </c>
      <c r="I116" s="441">
        <f t="shared" si="65"/>
        <v>3</v>
      </c>
      <c r="J116" s="163">
        <f ca="1">IF($A116="*","",OFFSET(UPS!$C$37,AU116+AV116,SUMIF($A$10:$A$20,"*#"&amp;AS116,$AV$10:$AV$20)))</f>
        <v>0.23574563826282655</v>
      </c>
      <c r="K116" s="163"/>
      <c r="AR116" s="42">
        <f t="shared" si="66"/>
        <v>6</v>
      </c>
      <c r="AS116" s="42">
        <f>AS115</f>
        <v>7</v>
      </c>
      <c r="AU116" s="42">
        <f ca="1">SUMIF(UPS!B$38:B$171,C116,UPS!BD$38:BD$171)</f>
        <v>65</v>
      </c>
      <c r="AV116" s="42">
        <f t="shared" ref="AV116:AV123" si="68">AV115+1</f>
        <v>3</v>
      </c>
    </row>
    <row r="117" spans="2:48">
      <c r="B117" s="440" t="str">
        <f t="shared" si="60"/>
        <v>FLO_SHAR</v>
      </c>
      <c r="C117" s="440" t="str">
        <f ca="1">IF($A117="*","",OFFSET(ITEMS_UPS!$C$8,AR117,0))</f>
        <v>UCTLCLEIN-N</v>
      </c>
      <c r="D117" s="440" t="str">
        <f ca="1">IF($A117="*","",IF(VLOOKUP("*#"&amp;$AS117,$A$10:$I$24,D$9+1,FALSE)="-","-",OFFSET(UPS!$C$37,AU117+AV117,SUMIF($A$10:$A$20,"*#"&amp;AS117,$AT$10:$AT$20))))</f>
        <v>OAG</v>
      </c>
      <c r="E117" s="440" t="str">
        <f t="shared" ca="1" si="61"/>
        <v>UCTLCLEIN-N-O</v>
      </c>
      <c r="F117" s="440" t="str">
        <f t="shared" si="62"/>
        <v>-</v>
      </c>
      <c r="G117" s="440" t="str">
        <f t="shared" si="63"/>
        <v>ANNUAL</v>
      </c>
      <c r="H117" s="441" t="str">
        <f t="shared" si="64"/>
        <v>UP</v>
      </c>
      <c r="I117" s="441">
        <f t="shared" si="65"/>
        <v>3</v>
      </c>
      <c r="J117" s="163">
        <f ca="1">IF($A117="*","",OFFSET(UPS!$C$37,AU117+AV117,SUMIF($A$10:$A$20,"*#"&amp;AS117,$AV$10:$AV$20)))</f>
        <v>0</v>
      </c>
      <c r="K117" s="163"/>
      <c r="AR117" s="42">
        <f t="shared" si="66"/>
        <v>6</v>
      </c>
      <c r="AS117" s="42">
        <f>IF(AR117=AR116,AS116+1,1)</f>
        <v>8</v>
      </c>
      <c r="AU117" s="42">
        <f ca="1">SUMIF(UPS!B$38:B$171,C117,UPS!BD$38:BD$171)</f>
        <v>65</v>
      </c>
      <c r="AV117" s="42">
        <f t="shared" si="68"/>
        <v>4</v>
      </c>
    </row>
    <row r="118" spans="2:48">
      <c r="B118" s="440" t="str">
        <f t="shared" si="60"/>
        <v>FLO_SHAR</v>
      </c>
      <c r="C118" s="440" t="str">
        <f ca="1">IF($A118="*","",OFFSET(ITEMS_UPS!$C$8,AR118,0))</f>
        <v>UCTLCLEIN-N</v>
      </c>
      <c r="D118" s="440" t="str">
        <f ca="1">IF($A118="*","",IF(VLOOKUP("*#"&amp;$AS118,$A$10:$I$24,D$9+1,FALSE)="-","-",OFFSET(UPS!$C$37,AU118+AV118,SUMIF($A$10:$A$20,"*#"&amp;AS118,$AT$10:$AT$20))))</f>
        <v>ODS</v>
      </c>
      <c r="E118" s="440" t="str">
        <f t="shared" ca="1" si="61"/>
        <v>UCTLCLEIN-N-O</v>
      </c>
      <c r="F118" s="440" t="str">
        <f t="shared" si="62"/>
        <v>-</v>
      </c>
      <c r="G118" s="440" t="str">
        <f t="shared" si="63"/>
        <v>ANNUAL</v>
      </c>
      <c r="H118" s="441" t="str">
        <f t="shared" si="64"/>
        <v>UP</v>
      </c>
      <c r="I118" s="441">
        <f t="shared" si="65"/>
        <v>3</v>
      </c>
      <c r="J118" s="163">
        <f ca="1">IF($A118="*","",OFFSET(UPS!$C$37,AU118+AV118,SUMIF($A$10:$A$20,"*#"&amp;AS118,$AV$10:$AV$20)))</f>
        <v>0.73</v>
      </c>
      <c r="K118" s="163"/>
      <c r="AR118" s="42">
        <f t="shared" si="66"/>
        <v>6</v>
      </c>
      <c r="AS118" s="42">
        <f t="shared" ref="AS118:AS123" si="69">AS117</f>
        <v>8</v>
      </c>
      <c r="AU118" s="42">
        <f ca="1">SUMIF(UPS!B$38:B$171,C118,UPS!BD$38:BD$171)</f>
        <v>65</v>
      </c>
      <c r="AV118" s="42">
        <f t="shared" si="68"/>
        <v>5</v>
      </c>
    </row>
    <row r="119" spans="2:48">
      <c r="B119" s="440" t="str">
        <f t="shared" si="60"/>
        <v>FLO_SHAR</v>
      </c>
      <c r="C119" s="440" t="str">
        <f ca="1">IF($A119="*","",OFFSET(ITEMS_UPS!$C$8,AR119,0))</f>
        <v>UCTLCLEIN-N</v>
      </c>
      <c r="D119" s="440" t="str">
        <f ca="1">IF($A119="*","",IF(VLOOKUP("*#"&amp;$AS119,$A$10:$I$24,D$9+1,FALSE)="-","-",OFFSET(UPS!$C$37,AU119+AV119,SUMIF($A$10:$A$20,"*#"&amp;AS119,$AT$10:$AT$20))))</f>
        <v>OGS</v>
      </c>
      <c r="E119" s="440" t="str">
        <f t="shared" ca="1" si="61"/>
        <v>UCTLCLEIN-N-O</v>
      </c>
      <c r="F119" s="440" t="str">
        <f t="shared" si="62"/>
        <v>-</v>
      </c>
      <c r="G119" s="440" t="str">
        <f t="shared" si="63"/>
        <v>ANNUAL</v>
      </c>
      <c r="H119" s="441" t="str">
        <f t="shared" si="64"/>
        <v>UP</v>
      </c>
      <c r="I119" s="441">
        <f t="shared" si="65"/>
        <v>3</v>
      </c>
      <c r="J119" s="163">
        <f ca="1">IF($A119="*","",OFFSET(UPS!$C$37,AU119+AV119,SUMIF($A$10:$A$20,"*#"&amp;AS119,$AV$10:$AV$20)))</f>
        <v>0.23499999999999999</v>
      </c>
      <c r="K119" s="163"/>
      <c r="AR119" s="42">
        <f t="shared" si="66"/>
        <v>6</v>
      </c>
      <c r="AS119" s="42">
        <f t="shared" si="69"/>
        <v>8</v>
      </c>
      <c r="AU119" s="42">
        <f ca="1">SUMIF(UPS!B$38:B$171,C119,UPS!BD$38:BD$171)</f>
        <v>65</v>
      </c>
      <c r="AV119" s="42">
        <f t="shared" si="68"/>
        <v>6</v>
      </c>
    </row>
    <row r="120" spans="2:48">
      <c r="B120" s="440" t="str">
        <f t="shared" si="60"/>
        <v>FLO_SHAR</v>
      </c>
      <c r="C120" s="440" t="str">
        <f ca="1">IF($A120="*","",OFFSET(ITEMS_UPS!$C$8,AR120,0))</f>
        <v>UCTLCLEIN-N</v>
      </c>
      <c r="D120" s="440" t="str">
        <f ca="1">IF($A120="*","",IF(VLOOKUP("*#"&amp;$AS120,$A$10:$I$24,D$9+1,FALSE)="-","-",OFFSET(UPS!$C$37,AU120+AV120,SUMIF($A$10:$A$20,"*#"&amp;AS120,$AT$10:$AT$20))))</f>
        <v>GIM</v>
      </c>
      <c r="E120" s="440" t="str">
        <f t="shared" ca="1" si="61"/>
        <v>UCTLCLEIN-N-O</v>
      </c>
      <c r="F120" s="440" t="str">
        <f t="shared" si="62"/>
        <v>-</v>
      </c>
      <c r="G120" s="440" t="str">
        <f t="shared" si="63"/>
        <v>ANNUAL</v>
      </c>
      <c r="H120" s="441" t="str">
        <f t="shared" si="64"/>
        <v>UP</v>
      </c>
      <c r="I120" s="441">
        <f t="shared" si="65"/>
        <v>3</v>
      </c>
      <c r="J120" s="163">
        <f ca="1">IF($A120="*","",OFFSET(UPS!$C$37,AU120+AV120,SUMIF($A$10:$A$20,"*#"&amp;AS120,$AV$10:$AV$20)))</f>
        <v>0</v>
      </c>
      <c r="K120" s="163"/>
      <c r="AR120" s="42">
        <f t="shared" si="66"/>
        <v>6</v>
      </c>
      <c r="AS120" s="42">
        <f t="shared" si="69"/>
        <v>8</v>
      </c>
      <c r="AU120" s="42">
        <f ca="1">SUMIF(UPS!B$38:B$171,C120,UPS!BD$38:BD$171)</f>
        <v>65</v>
      </c>
      <c r="AV120" s="42">
        <f t="shared" si="68"/>
        <v>7</v>
      </c>
    </row>
    <row r="121" spans="2:48">
      <c r="B121" s="440" t="str">
        <f t="shared" si="60"/>
        <v>FLO_SHAR</v>
      </c>
      <c r="C121" s="440" t="str">
        <f ca="1">IF($A121="*","",OFFSET(ITEMS_UPS!$C$8,AR121,0))</f>
        <v>UCTLCLEIN-N</v>
      </c>
      <c r="D121" s="440" t="str">
        <f ca="1">IF($A121="*","",IF(VLOOKUP("*#"&amp;$AS121,$A$10:$I$24,D$9+1,FALSE)="-","-",OFFSET(UPS!$C$37,AU121+AV121,SUMIF($A$10:$A$20,"*#"&amp;AS121,$AT$10:$AT$20))))</f>
        <v>OKE</v>
      </c>
      <c r="E121" s="440" t="str">
        <f t="shared" ca="1" si="61"/>
        <v>UCTLCLEIN-N-O</v>
      </c>
      <c r="F121" s="440" t="str">
        <f t="shared" si="62"/>
        <v>-</v>
      </c>
      <c r="G121" s="440" t="str">
        <f t="shared" si="63"/>
        <v>ANNUAL</v>
      </c>
      <c r="H121" s="441" t="str">
        <f t="shared" si="64"/>
        <v>UP</v>
      </c>
      <c r="I121" s="441">
        <f t="shared" si="65"/>
        <v>3</v>
      </c>
      <c r="J121" s="163">
        <f ca="1">IF($A121="*","",OFFSET(UPS!$C$37,AU121+AV121,SUMIF($A$10:$A$20,"*#"&amp;AS121,$AV$10:$AV$20)))</f>
        <v>0</v>
      </c>
      <c r="K121" s="163"/>
      <c r="AR121" s="42">
        <f t="shared" si="66"/>
        <v>6</v>
      </c>
      <c r="AS121" s="42">
        <f t="shared" si="69"/>
        <v>8</v>
      </c>
      <c r="AU121" s="42">
        <f ca="1">SUMIF(UPS!B$38:B$171,C121,UPS!BD$38:BD$171)</f>
        <v>65</v>
      </c>
      <c r="AV121" s="42">
        <f t="shared" si="68"/>
        <v>8</v>
      </c>
    </row>
    <row r="122" spans="2:48">
      <c r="B122" s="440" t="str">
        <f t="shared" si="60"/>
        <v>FLO_SHAR</v>
      </c>
      <c r="C122" s="440" t="str">
        <f ca="1">IF($A122="*","",OFFSET(ITEMS_UPS!$C$8,AR122,0))</f>
        <v>UCTLCLEIN-N</v>
      </c>
      <c r="D122" s="440" t="str">
        <f ca="1">IF($A122="*","",IF(VLOOKUP("*#"&amp;$AS122,$A$10:$I$24,D$9+1,FALSE)="-","-",OFFSET(UPS!$C$37,AU122+AV122,SUMIF($A$10:$A$20,"*#"&amp;AS122,$AT$10:$AT$20))))</f>
        <v>OLP</v>
      </c>
      <c r="E122" s="440" t="str">
        <f t="shared" ca="1" si="61"/>
        <v>UCTLCLEIN-N-O</v>
      </c>
      <c r="F122" s="440" t="str">
        <f t="shared" si="62"/>
        <v>-</v>
      </c>
      <c r="G122" s="440" t="str">
        <f t="shared" si="63"/>
        <v>ANNUAL</v>
      </c>
      <c r="H122" s="441" t="str">
        <f t="shared" si="64"/>
        <v>UP</v>
      </c>
      <c r="I122" s="441">
        <f t="shared" si="65"/>
        <v>3</v>
      </c>
      <c r="J122" s="163">
        <f ca="1">IF($A122="*","",OFFSET(UPS!$C$37,AU122+AV122,SUMIF($A$10:$A$20,"*#"&amp;AS122,$AV$10:$AV$20)))</f>
        <v>3.5000000000000003E-2</v>
      </c>
      <c r="K122" s="163"/>
      <c r="AR122" s="42">
        <f t="shared" si="66"/>
        <v>6</v>
      </c>
      <c r="AS122" s="42">
        <f t="shared" si="69"/>
        <v>8</v>
      </c>
      <c r="AU122" s="42">
        <f ca="1">SUMIF(UPS!B$38:B$171,C122,UPS!BD$38:BD$171)</f>
        <v>65</v>
      </c>
      <c r="AV122" s="42">
        <f t="shared" si="68"/>
        <v>9</v>
      </c>
    </row>
    <row r="123" spans="2:48">
      <c r="B123" s="440" t="str">
        <f t="shared" si="60"/>
        <v>FLO_SHAR</v>
      </c>
      <c r="C123" s="440" t="str">
        <f ca="1">IF($A123="*","",OFFSET(ITEMS_UPS!$C$8,AR123,0))</f>
        <v>UCTLCLEIN-N</v>
      </c>
      <c r="D123" s="440" t="str">
        <f ca="1">IF($A123="*","",IF(VLOOKUP("*#"&amp;$AS123,$A$10:$I$24,D$9+1,FALSE)="-","-",OFFSET(UPS!$C$37,AU123+AV123,SUMIF($A$10:$A$20,"*#"&amp;AS123,$AT$10:$AT$20))))</f>
        <v>OTH</v>
      </c>
      <c r="E123" s="440" t="str">
        <f t="shared" ca="1" si="61"/>
        <v>UCTLCLEIN-N-O</v>
      </c>
      <c r="F123" s="440" t="str">
        <f t="shared" si="62"/>
        <v>-</v>
      </c>
      <c r="G123" s="440" t="str">
        <f t="shared" si="63"/>
        <v>ANNUAL</v>
      </c>
      <c r="H123" s="441" t="str">
        <f t="shared" si="64"/>
        <v>UP</v>
      </c>
      <c r="I123" s="441">
        <f t="shared" si="65"/>
        <v>3</v>
      </c>
      <c r="J123" s="163">
        <f ca="1">IF($A123="*","",OFFSET(UPS!$C$37,AU123+AV123,SUMIF($A$10:$A$20,"*#"&amp;AS123,$AV$10:$AV$20)))</f>
        <v>0</v>
      </c>
      <c r="K123" s="163"/>
      <c r="AR123" s="42">
        <f t="shared" si="66"/>
        <v>6</v>
      </c>
      <c r="AS123" s="42">
        <f t="shared" si="69"/>
        <v>8</v>
      </c>
      <c r="AU123" s="42">
        <f ca="1">SUMIF(UPS!B$38:B$171,C123,UPS!BD$38:BD$171)</f>
        <v>65</v>
      </c>
      <c r="AV123" s="42">
        <f t="shared" si="68"/>
        <v>10</v>
      </c>
    </row>
    <row r="124" spans="2:48">
      <c r="B124" s="440" t="str">
        <f t="shared" si="60"/>
        <v>FLO_EMIS</v>
      </c>
      <c r="C124" s="440" t="str">
        <f ca="1">IF($A124="*","",OFFSET(ITEMS_UPS!$C$8,AR124,0))</f>
        <v>UCTLCLEIN-N</v>
      </c>
      <c r="D124" s="440" t="str">
        <f>ITEMS_XFEmiss!$C$5</f>
        <v>CO2SF</v>
      </c>
      <c r="E124" s="440" t="str">
        <f t="shared" ca="1" si="61"/>
        <v>UCTLCLEIN-N-O</v>
      </c>
      <c r="F124" s="440" t="str">
        <f t="shared" si="62"/>
        <v>-</v>
      </c>
      <c r="G124" s="440" t="str">
        <f t="shared" si="63"/>
        <v>ANNUAL</v>
      </c>
      <c r="H124" s="441" t="str">
        <f t="shared" si="64"/>
        <v>-</v>
      </c>
      <c r="I124" s="441">
        <f t="shared" si="65"/>
        <v>0</v>
      </c>
      <c r="J124" s="163">
        <f ca="1">IF($A124="*","",OFFSET(UPS!$C$37,AU124,SUMIF($A$10:$A$20,"*#"&amp;AS124,$AT$10:$AT$20)))</f>
        <v>99.475504974982442</v>
      </c>
      <c r="K124" s="163"/>
      <c r="AR124" s="42">
        <f>AR121</f>
        <v>6</v>
      </c>
      <c r="AS124" s="42">
        <f>AS121+1</f>
        <v>9</v>
      </c>
      <c r="AU124" s="42">
        <f ca="1">SUMIF(UPS!B$38:B$171,C124,UPS!BD$38:BD$171)</f>
        <v>65</v>
      </c>
    </row>
    <row r="125" spans="2:48">
      <c r="B125" s="440" t="str">
        <f t="shared" si="60"/>
        <v>FLO_EMIS</v>
      </c>
      <c r="C125" s="440" t="str">
        <f ca="1">IF($A125="*","",OFFSET(ITEMS_UPS!$C$8,AR125,0))</f>
        <v>UCTLCLEIN-N</v>
      </c>
      <c r="D125" s="440" t="str">
        <f>ITEMS_XFEmiss!$C$3</f>
        <v>CH4SF</v>
      </c>
      <c r="E125" s="440" t="str">
        <f t="shared" ca="1" si="61"/>
        <v>UCTLCLEIN-N-O</v>
      </c>
      <c r="F125" s="440" t="str">
        <f t="shared" si="62"/>
        <v>-</v>
      </c>
      <c r="G125" s="440" t="str">
        <f t="shared" si="63"/>
        <v>ANNUAL</v>
      </c>
      <c r="H125" s="441" t="str">
        <f t="shared" si="64"/>
        <v>-</v>
      </c>
      <c r="I125" s="441">
        <f t="shared" si="65"/>
        <v>0</v>
      </c>
      <c r="J125" s="163">
        <f ca="1">IF($A125="*","",OFFSET(UPS!$C$37,AU125,SUMIF($A$10:$A$20,"*#"&amp;AS125,$AT$10:$AT$20)))</f>
        <v>0.39733151387714233</v>
      </c>
      <c r="K125" s="163"/>
      <c r="AR125" s="42">
        <f>AR124</f>
        <v>6</v>
      </c>
      <c r="AS125" s="42">
        <f>AS124+1</f>
        <v>10</v>
      </c>
      <c r="AU125" s="42">
        <f ca="1">SUMIF(UPS!B$38:B$171,C125,UPS!BD$38:BD$171)</f>
        <v>65</v>
      </c>
    </row>
    <row r="126" spans="2:48">
      <c r="B126" s="440" t="str">
        <f t="shared" si="60"/>
        <v>NCAP_COST</v>
      </c>
      <c r="C126" s="440" t="str">
        <f ca="1">IF($A126="*","",OFFSET(ITEMS_UPS!$C$8,AR126,0))</f>
        <v>UCTLCLEIN-N</v>
      </c>
      <c r="D126" s="440" t="str">
        <f ca="1">IF($A126="*","",IF(VLOOKUP("*#"&amp;$AS126,$A$10:$I$24,D$9+1,FALSE)="-","-",OFFSET(UPS!$C$37,AU126+AV126,SUMIF($A$10:$A$20,"*#"&amp;AS126,$AT$10:$AT$20))))</f>
        <v>-</v>
      </c>
      <c r="E126" s="440" t="str">
        <f t="shared" si="61"/>
        <v>-</v>
      </c>
      <c r="F126" s="440" t="str">
        <f t="shared" si="62"/>
        <v>-</v>
      </c>
      <c r="G126" s="440" t="str">
        <f>IF($A126="*","",VLOOKUP("*#"&amp;$AS126,$A$10:$I$24,G$9+1,FALSE))</f>
        <v>-</v>
      </c>
      <c r="H126" s="441" t="str">
        <f t="shared" si="64"/>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60"/>
        <v>NCAP_TLIFE</v>
      </c>
      <c r="C127" s="440" t="str">
        <f ca="1">IF($A127="*","",OFFSET(ITEMS_UPS!$C$8,AR127,0))</f>
        <v>UCTLCLEIN-N</v>
      </c>
      <c r="D127" s="440" t="str">
        <f ca="1">IF($A127="*","",IF(VLOOKUP("*#"&amp;$AS127,$A$10:$I$24,D$9+1,FALSE)="-","-",OFFSET(UPS!$C$37,AU127+AV127,SUMIF($A$10:$A$20,"*#"&amp;AS127,$AT$10:$AT$20))))</f>
        <v>-</v>
      </c>
      <c r="E127" s="440" t="str">
        <f t="shared" si="61"/>
        <v>-</v>
      </c>
      <c r="F127" s="440" t="str">
        <f t="shared" si="62"/>
        <v>-</v>
      </c>
      <c r="G127" s="440" t="str">
        <f>IF($A127="*","",VLOOKUP("*#"&amp;$AS127,$A$10:$I$24,G$9+1,FALSE))</f>
        <v>-</v>
      </c>
      <c r="H127" s="441" t="str">
        <f t="shared" si="64"/>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60"/>
        <v>NCAP_ILED</v>
      </c>
      <c r="C128" s="440" t="str">
        <f ca="1">IF($A128="*","",OFFSET(ITEMS_UPS!$C$8,AR128,0))</f>
        <v>UCTLCLEIN-N</v>
      </c>
      <c r="D128" s="440" t="str">
        <f ca="1">IF($A128="*","",IF(VLOOKUP("*#"&amp;$AS128,$A$10:$I$24,D$9+1,FALSE)="-","-",OFFSET(UPS!$C$37,AU128+AV128,SUMIF($A$10:$A$20,"*#"&amp;AS128,$AT$10:$AT$20))))</f>
        <v>-</v>
      </c>
      <c r="E128" s="440" t="str">
        <f t="shared" si="61"/>
        <v>-</v>
      </c>
      <c r="F128" s="440" t="str">
        <f t="shared" si="62"/>
        <v>-</v>
      </c>
      <c r="G128" s="440" t="str">
        <f>IF($A128="*","",VLOOKUP("*#"&amp;$AS128,$A$10:$I$24,G$9+1,FALSE))</f>
        <v>-</v>
      </c>
      <c r="H128" s="441" t="str">
        <f t="shared" si="64"/>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70">IF(A130="*","",VLOOKUP("*#"&amp;AS130,$A$9:$B$24,2,FALSE))</f>
        <v>ACT_COST</v>
      </c>
      <c r="C130" s="440" t="str">
        <f ca="1">IF($A130="*","",OFFSET(ITEMS_UPS!$C$8,AR130,0))</f>
        <v>UGTLGASIN-N</v>
      </c>
      <c r="D130" s="440" t="str">
        <f ca="1">IF($A130="*","",IF(VLOOKUP("*#"&amp;$AS130,$A$10:$I$24,D$9+1,FALSE)="-","-",OFFSET(UPS!$C$37,AU130+AV130,SUMIF($A$10:$A$20,"*#"&amp;AS130,$AT$10:$AT$20))))</f>
        <v>-</v>
      </c>
      <c r="E130" s="440" t="str">
        <f t="shared" ref="E130:E148" si="71">IF($A130="*","",IF(VLOOKUP("*#"&amp;$AS130,$A$10:$I$24,E$9+1,FALSE)="-","-",C130&amp;"-"&amp;RIGHT(VLOOKUP("*#"&amp;$AS130,$A$10:$I$24,E$9+1,FALSE),1)))</f>
        <v>-</v>
      </c>
      <c r="F130" s="440" t="str">
        <f t="shared" ref="F130:F148" si="72">IF($A130="*","",IF(VLOOKUP("*#"&amp;$AS130,$A$10:$I$24,F$9+1,FALSE)="-","-",C130&amp;"-"&amp;RIGHT(VLOOKUP("*#"&amp;$AS130,$A$10:$I$24,F$9+1,FALSE),1)))</f>
        <v>-</v>
      </c>
      <c r="G130" s="440" t="str">
        <f t="shared" ref="G130:G145" si="73">IF($A130="*","",VLOOKUP("*#"&amp;$AS130,$A$10:$I$20,G$9+1,FALSE))</f>
        <v>-</v>
      </c>
      <c r="H130" s="441" t="str">
        <f t="shared" ref="H130:H148" si="74">IF($A130="*","",VLOOKUP("*#"&amp;$AS130,$A$10:$I$24,H$9+1,FALSE))</f>
        <v>-</v>
      </c>
      <c r="I130" s="441">
        <f t="shared" ref="I130:I145" si="75">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70"/>
        <v>NCAP_AFA</v>
      </c>
      <c r="C131" s="440" t="str">
        <f ca="1">IF($A131="*","",OFFSET(ITEMS_UPS!$C$8,AR131,0))</f>
        <v>UGTLGASIN-N</v>
      </c>
      <c r="D131" s="440" t="str">
        <f ca="1">IF($A131="*","",IF(VLOOKUP("*#"&amp;$AS131,$A$10:$I$24,D$9+1,FALSE)="-","-",OFFSET(UPS!$C$37,AU131+AV131,SUMIF($A$10:$A$20,"*#"&amp;AS131,$AT$10:$AT$20))))</f>
        <v>-</v>
      </c>
      <c r="E131" s="440" t="str">
        <f t="shared" si="71"/>
        <v>-</v>
      </c>
      <c r="F131" s="440" t="str">
        <f t="shared" si="72"/>
        <v>-</v>
      </c>
      <c r="G131" s="440" t="str">
        <f t="shared" si="73"/>
        <v>ANNUAL</v>
      </c>
      <c r="H131" s="441" t="str">
        <f t="shared" si="74"/>
        <v>UP</v>
      </c>
      <c r="I131" s="441">
        <f t="shared" si="75"/>
        <v>3</v>
      </c>
      <c r="J131" s="163">
        <f ca="1">IF($A131="*","",OFFSET(UPS!$C$37,AU131,SUMIF($A$10:$A$20,"*#"&amp;AS131,$AT$10:$AT$20)))</f>
        <v>0.46244122068025312</v>
      </c>
      <c r="K131" s="163"/>
      <c r="AR131" s="42">
        <f t="shared" ref="AR131:AR143" si="76">AR130</f>
        <v>7</v>
      </c>
      <c r="AS131" s="42">
        <f t="shared" ref="AS131:AS136" si="77">IF(AR131=AR130,AS130+1,1)</f>
        <v>2</v>
      </c>
      <c r="AU131" s="42">
        <f ca="1">SUMIF(UPS!B$38:B$171,C131,UPS!BD$38:BD$171)</f>
        <v>33</v>
      </c>
    </row>
    <row r="132" spans="1:48">
      <c r="B132" s="440" t="str">
        <f t="shared" si="70"/>
        <v>NCAP_AFA</v>
      </c>
      <c r="C132" s="440" t="str">
        <f ca="1">IF($A132="*","",OFFSET(ITEMS_UPS!$C$8,AR132,0))</f>
        <v>UGTLGASIN-N</v>
      </c>
      <c r="D132" s="440" t="str">
        <f ca="1">IF($A132="*","",IF(VLOOKUP("*#"&amp;$AS132,$A$10:$I$24,D$9+1,FALSE)="-","-",OFFSET(UPS!$C$37,AU132+AV132,SUMIF($A$10:$A$20,"*#"&amp;AS132,$AT$10:$AT$20))))</f>
        <v>-</v>
      </c>
      <c r="E132" s="440" t="str">
        <f t="shared" si="71"/>
        <v>-</v>
      </c>
      <c r="F132" s="440" t="str">
        <f t="shared" si="72"/>
        <v>-</v>
      </c>
      <c r="G132" s="440" t="str">
        <f t="shared" si="73"/>
        <v>ANNUAL</v>
      </c>
      <c r="H132" s="441" t="str">
        <f t="shared" si="74"/>
        <v>LO</v>
      </c>
      <c r="I132" s="441">
        <f t="shared" si="75"/>
        <v>3</v>
      </c>
      <c r="J132" s="163">
        <f ca="1">IF($A132="*","",OFFSET(UPS!$C$37,AU132,SUMIF($A$10:$A$20,"*#"&amp;AS132,$AT$10:$AT$20)))</f>
        <v>0.43931915964624046</v>
      </c>
      <c r="K132" s="163"/>
      <c r="AR132" s="42">
        <f t="shared" si="76"/>
        <v>7</v>
      </c>
      <c r="AS132" s="42">
        <f t="shared" si="77"/>
        <v>3</v>
      </c>
      <c r="AU132" s="42">
        <f ca="1">SUMIF(UPS!B$38:B$171,C132,UPS!BD$38:BD$171)</f>
        <v>33</v>
      </c>
    </row>
    <row r="133" spans="1:48">
      <c r="B133" s="440" t="str">
        <f t="shared" si="70"/>
        <v>NCAP_FOM</v>
      </c>
      <c r="C133" s="440" t="str">
        <f ca="1">IF($A133="*","",OFFSET(ITEMS_UPS!$C$8,AR133,0))</f>
        <v>UGTLGASIN-N</v>
      </c>
      <c r="D133" s="440" t="str">
        <f ca="1">IF($A133="*","",IF(VLOOKUP("*#"&amp;$AS133,$A$10:$I$24,D$9+1,FALSE)="-","-",OFFSET(UPS!$C$37,AU133+AV133,SUMIF($A$10:$A$20,"*#"&amp;AS133,$AT$10:$AT$20))))</f>
        <v>-</v>
      </c>
      <c r="E133" s="440" t="str">
        <f t="shared" si="71"/>
        <v>-</v>
      </c>
      <c r="F133" s="440" t="str">
        <f t="shared" si="72"/>
        <v>-</v>
      </c>
      <c r="G133" s="440" t="str">
        <f t="shared" si="73"/>
        <v>-</v>
      </c>
      <c r="H133" s="441" t="str">
        <f t="shared" si="74"/>
        <v>-</v>
      </c>
      <c r="I133" s="441">
        <f t="shared" si="75"/>
        <v>0</v>
      </c>
      <c r="J133" s="163">
        <f ca="1">IF($A133="*","",OFFSET(UPS!$C$37,AU133,SUMIF($A$10:$A$20,"*#"&amp;AS133,$AT$10:$AT$20)))</f>
        <v>16.868609235305986</v>
      </c>
      <c r="K133" s="163"/>
      <c r="AR133" s="42">
        <f t="shared" si="76"/>
        <v>7</v>
      </c>
      <c r="AS133" s="42">
        <f t="shared" si="77"/>
        <v>4</v>
      </c>
      <c r="AU133" s="42">
        <f ca="1">SUMIF(UPS!B$38:B$171,C133,UPS!BD$38:BD$171)</f>
        <v>33</v>
      </c>
    </row>
    <row r="134" spans="1:48">
      <c r="B134" s="440" t="str">
        <f t="shared" si="70"/>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2"/>
        <v>-</v>
      </c>
      <c r="G134" s="440" t="str">
        <f t="shared" si="73"/>
        <v>-</v>
      </c>
      <c r="H134" s="441" t="str">
        <f t="shared" si="74"/>
        <v>UP</v>
      </c>
      <c r="I134" s="441">
        <f t="shared" si="75"/>
        <v>3</v>
      </c>
      <c r="J134" s="163" t="str">
        <f ca="1">IF($A134="*","",OFFSET(UPS!$C$37,AU134,SUMIF($A$10:$A$20,"*#"&amp;AS134,$AT$10:$AT$20)))</f>
        <v/>
      </c>
      <c r="K134" s="163"/>
      <c r="AR134" s="42">
        <f>AR132</f>
        <v>7</v>
      </c>
      <c r="AS134" s="42">
        <f t="shared" si="77"/>
        <v>5</v>
      </c>
      <c r="AU134" s="42">
        <f ca="1">SUMIF(UPS!B$38:B$171,C134,UPS!BD$38:BD$171)</f>
        <v>33</v>
      </c>
    </row>
    <row r="135" spans="1:48">
      <c r="B135" s="440" t="str">
        <f t="shared" si="70"/>
        <v>FLO_FUNC</v>
      </c>
      <c r="C135" s="440" t="str">
        <f ca="1">IF($A135="*","",OFFSET(ITEMS_UPS!$C$8,AR135,0))</f>
        <v>UGTLGASIN-N</v>
      </c>
      <c r="D135" s="440" t="str">
        <f ca="1">IF($A135="*","",IF(VLOOKUP("*#"&amp;$AS135,$A$10:$I$24,D$9+1,FALSE)="-","-",OFFSET(UPS!$C$37,AU135+AV135,SUMIF($A$10:$A$20,"*#"&amp;AS135,$AT$10:$AT$20))))</f>
        <v>-</v>
      </c>
      <c r="E135" s="440" t="str">
        <f t="shared" ca="1" si="71"/>
        <v>UGTLGASIN-N-I</v>
      </c>
      <c r="F135" s="440" t="str">
        <f t="shared" ca="1" si="72"/>
        <v>UGTLGASIN-N-O</v>
      </c>
      <c r="G135" s="440" t="str">
        <f t="shared" si="73"/>
        <v>ANNUAL</v>
      </c>
      <c r="H135" s="441" t="str">
        <f t="shared" si="74"/>
        <v>-</v>
      </c>
      <c r="I135" s="441">
        <f t="shared" si="75"/>
        <v>0</v>
      </c>
      <c r="J135" s="163">
        <f ca="1">IF($A135="*","",OFFSET(UPS!$C$37,AU135,SUMIF($A$10:$A$20,"*#"&amp;AS135,$AT$10:$AT$20)))</f>
        <v>0.80809626745744978</v>
      </c>
      <c r="K135" s="163"/>
      <c r="AR135" s="42">
        <f t="shared" si="76"/>
        <v>7</v>
      </c>
      <c r="AS135" s="42">
        <f t="shared" si="77"/>
        <v>6</v>
      </c>
      <c r="AU135" s="42">
        <f ca="1">SUMIF(UPS!B$38:B$171,C135,UPS!BD$38:BD$171)</f>
        <v>33</v>
      </c>
    </row>
    <row r="136" spans="1:48">
      <c r="B136" s="440" t="str">
        <f t="shared" si="70"/>
        <v>FLO_SHAR</v>
      </c>
      <c r="C136" s="440" t="str">
        <f ca="1">IF($A136="*","",OFFSET(ITEMS_UPS!$C$8,AR136,0))</f>
        <v>UGTLGASIN-N</v>
      </c>
      <c r="D136" s="440" t="str">
        <f ca="1">IF($A136="*","",IF(VLOOKUP("*#"&amp;$AS136,$A$10:$I$24,D$9+1,FALSE)="-","-",OFFSET(UPS!$C$37,AU136+AV136,SUMIF($A$10:$A$20,"*#"&amp;AS136,$AT$10:$AT$20))))</f>
        <v>UPSGAS</v>
      </c>
      <c r="E136" s="440" t="str">
        <f t="shared" ca="1" si="71"/>
        <v>UGTLGASIN-N-I</v>
      </c>
      <c r="F136" s="440" t="str">
        <f t="shared" si="72"/>
        <v>-</v>
      </c>
      <c r="G136" s="440" t="str">
        <f t="shared" si="73"/>
        <v>ANNUAL</v>
      </c>
      <c r="H136" s="441" t="str">
        <f t="shared" si="74"/>
        <v>FX</v>
      </c>
      <c r="I136" s="441">
        <f t="shared" si="75"/>
        <v>3</v>
      </c>
      <c r="J136" s="163">
        <f ca="1">IF($A136="*","",OFFSET(UPS!$C$37,AU136+AV136,SUMIF($A$10:$A$20,"*#"&amp;AS136,$AV$10:$AV$20)))</f>
        <v>0.76985311799533229</v>
      </c>
      <c r="K136" s="163"/>
      <c r="AR136" s="42">
        <f t="shared" si="76"/>
        <v>7</v>
      </c>
      <c r="AS136" s="42">
        <f t="shared" si="77"/>
        <v>7</v>
      </c>
      <c r="AU136" s="42">
        <f ca="1">SUMIF(UPS!B$38:B$171,C136,UPS!BD$38:BD$171)</f>
        <v>33</v>
      </c>
      <c r="AV136" s="42">
        <v>0</v>
      </c>
    </row>
    <row r="137" spans="1:48">
      <c r="B137" s="440" t="str">
        <f t="shared" si="70"/>
        <v>FLO_SHAR</v>
      </c>
      <c r="C137" s="440" t="str">
        <f ca="1">IF($A137="*","",OFFSET(ITEMS_UPS!$C$8,AR137,0))</f>
        <v>UGTLGASIN-N</v>
      </c>
      <c r="D137" s="440" t="str">
        <f ca="1">IF($A137="*","",IF(VLOOKUP("*#"&amp;$AS137,$A$10:$I$24,D$9+1,FALSE)="-","-",OFFSET(UPS!$C$37,AU137+AV137,SUMIF($A$10:$A$20,"*#"&amp;AS137,$AT$10:$AT$20))))</f>
        <v>UPSOCR</v>
      </c>
      <c r="E137" s="440" t="str">
        <f t="shared" ca="1" si="71"/>
        <v>UGTLGASIN-N-I</v>
      </c>
      <c r="F137" s="440" t="str">
        <f t="shared" si="72"/>
        <v>-</v>
      </c>
      <c r="G137" s="440" t="str">
        <f t="shared" si="73"/>
        <v>ANNUAL</v>
      </c>
      <c r="H137" s="441" t="str">
        <f t="shared" si="74"/>
        <v>FX</v>
      </c>
      <c r="I137" s="441">
        <f t="shared" si="75"/>
        <v>3</v>
      </c>
      <c r="J137" s="163">
        <f ca="1">IF($A137="*","",OFFSET(UPS!$C$37,AU137+AV137,SUMIF($A$10:$A$20,"*#"&amp;AS137,$AV$10:$AV$20)))</f>
        <v>0.19246327949883302</v>
      </c>
      <c r="K137" s="163"/>
      <c r="AR137" s="42">
        <f t="shared" si="76"/>
        <v>7</v>
      </c>
      <c r="AS137" s="42">
        <f>AS136</f>
        <v>7</v>
      </c>
      <c r="AU137" s="42">
        <f ca="1">SUMIF(UPS!B$38:B$171,C137,UPS!BD$38:BD$171)</f>
        <v>33</v>
      </c>
      <c r="AV137" s="42">
        <f t="shared" ref="AV137:AV143" si="78">AV136+1</f>
        <v>1</v>
      </c>
    </row>
    <row r="138" spans="1:48">
      <c r="B138" s="440" t="str">
        <f t="shared" si="70"/>
        <v>FLO_SHAR</v>
      </c>
      <c r="C138" s="440" t="str">
        <f ca="1">IF($A138="*","",OFFSET(ITEMS_UPS!$C$8,AR138,0))</f>
        <v>UGTLGASIN-N</v>
      </c>
      <c r="D138" s="440" t="str">
        <f ca="1">IF($A138="*","",IF(VLOOKUP("*#"&amp;$AS138,$A$10:$I$24,D$9+1,FALSE)="-","-",OFFSET(UPS!$C$37,AU138+AV138,SUMIF($A$10:$A$20,"*#"&amp;AS138,$AT$10:$AT$20))))</f>
        <v>UPSELC</v>
      </c>
      <c r="E138" s="440" t="str">
        <f t="shared" ca="1" si="71"/>
        <v>UGTLGASIN-N-I</v>
      </c>
      <c r="F138" s="440" t="str">
        <f t="shared" si="72"/>
        <v>-</v>
      </c>
      <c r="G138" s="440" t="str">
        <f t="shared" si="73"/>
        <v>ANNUAL</v>
      </c>
      <c r="H138" s="441" t="str">
        <f t="shared" si="74"/>
        <v>FX</v>
      </c>
      <c r="I138" s="441">
        <f t="shared" si="75"/>
        <v>3</v>
      </c>
      <c r="J138" s="163">
        <f ca="1">IF($A138="*","",OFFSET(UPS!$C$37,AU138+AV138,SUMIF($A$10:$A$20,"*#"&amp;AS138,$AV$10:$AV$20)))</f>
        <v>3.7683602505834655E-2</v>
      </c>
      <c r="K138" s="163"/>
      <c r="AR138" s="42">
        <f t="shared" si="76"/>
        <v>7</v>
      </c>
      <c r="AS138" s="42">
        <f>AS137</f>
        <v>7</v>
      </c>
      <c r="AU138" s="42">
        <f ca="1">SUMIF(UPS!B$38:B$171,C138,UPS!BD$38:BD$171)</f>
        <v>33</v>
      </c>
      <c r="AV138" s="42">
        <f t="shared" si="78"/>
        <v>2</v>
      </c>
    </row>
    <row r="139" spans="1:48">
      <c r="B139" s="440" t="str">
        <f t="shared" si="70"/>
        <v>FLO_SHAR</v>
      </c>
      <c r="C139" s="440" t="str">
        <f ca="1">IF($A139="*","",OFFSET(ITEMS_UPS!$C$8,AR139,0))</f>
        <v>UGTLGASIN-N</v>
      </c>
      <c r="D139" s="440" t="str">
        <f ca="1">IF($A139="*","",IF(VLOOKUP("*#"&amp;$AS139,$A$10:$I$24,D$9+1,FALSE)="-","-",OFFSET(UPS!$C$37,AU139+AV139,SUMIF($A$10:$A$20,"*#"&amp;AS139,$AT$10:$AT$20))))</f>
        <v>OAG</v>
      </c>
      <c r="E139" s="440" t="str">
        <f t="shared" ca="1" si="71"/>
        <v>UGTLGASIN-N-O</v>
      </c>
      <c r="F139" s="440" t="str">
        <f t="shared" si="72"/>
        <v>-</v>
      </c>
      <c r="G139" s="440" t="str">
        <f t="shared" si="73"/>
        <v>ANNUAL</v>
      </c>
      <c r="H139" s="441" t="str">
        <f t="shared" si="74"/>
        <v>UP</v>
      </c>
      <c r="I139" s="441">
        <f t="shared" si="75"/>
        <v>3</v>
      </c>
      <c r="J139" s="163">
        <f ca="1">IF($A139="*","",OFFSET(UPS!$C$37,AU139+AV139,SUMIF($A$10:$A$20,"*#"&amp;AS139,$AV$10:$AV$20)))</f>
        <v>0</v>
      </c>
      <c r="K139" s="163"/>
      <c r="AR139" s="42">
        <f t="shared" si="76"/>
        <v>7</v>
      </c>
      <c r="AS139" s="42">
        <v>8</v>
      </c>
      <c r="AU139" s="42">
        <f ca="1">SUMIF(UPS!B$38:B$171,C139,UPS!BD$38:BD$171)</f>
        <v>33</v>
      </c>
      <c r="AV139" s="42">
        <f t="shared" si="78"/>
        <v>3</v>
      </c>
    </row>
    <row r="140" spans="1:48">
      <c r="B140" s="440" t="str">
        <f t="shared" si="70"/>
        <v>FLO_SHAR</v>
      </c>
      <c r="C140" s="440" t="str">
        <f ca="1">IF($A140="*","",OFFSET(ITEMS_UPS!$C$8,AR140,0))</f>
        <v>UGTLGASIN-N</v>
      </c>
      <c r="D140" s="440" t="str">
        <f ca="1">IF($A140="*","",IF(VLOOKUP("*#"&amp;$AS140,$A$10:$I$24,D$9+1,FALSE)="-","-",OFFSET(UPS!$C$37,AU140+AV140,SUMIF($A$10:$A$20,"*#"&amp;AS140,$AT$10:$AT$20))))</f>
        <v>ODS</v>
      </c>
      <c r="E140" s="440" t="str">
        <f t="shared" ca="1" si="71"/>
        <v>UGTLGASIN-N-O</v>
      </c>
      <c r="F140" s="440" t="str">
        <f t="shared" si="72"/>
        <v>-</v>
      </c>
      <c r="G140" s="440" t="str">
        <f t="shared" si="73"/>
        <v>ANNUAL</v>
      </c>
      <c r="H140" s="441" t="str">
        <f t="shared" si="74"/>
        <v>UP</v>
      </c>
      <c r="I140" s="441">
        <f t="shared" si="75"/>
        <v>3</v>
      </c>
      <c r="J140" s="163">
        <f ca="1">IF($A140="*","",OFFSET(UPS!$C$37,AU140+AV140,SUMIF($A$10:$A$20,"*#"&amp;AS140,$AV$10:$AV$20)))</f>
        <v>0.28767932115906897</v>
      </c>
      <c r="K140" s="163"/>
      <c r="AR140" s="42">
        <f t="shared" si="76"/>
        <v>7</v>
      </c>
      <c r="AS140" s="42">
        <v>8</v>
      </c>
      <c r="AU140" s="42">
        <f ca="1">SUMIF(UPS!B$38:B$171,C140,UPS!BD$38:BD$171)</f>
        <v>33</v>
      </c>
      <c r="AV140" s="42">
        <f t="shared" si="78"/>
        <v>4</v>
      </c>
    </row>
    <row r="141" spans="1:48">
      <c r="B141" s="440" t="str">
        <f t="shared" si="70"/>
        <v>FLO_SHAR</v>
      </c>
      <c r="C141" s="440" t="str">
        <f ca="1">IF($A141="*","",OFFSET(ITEMS_UPS!$C$8,AR141,0))</f>
        <v>UGTLGASIN-N</v>
      </c>
      <c r="D141" s="440" t="str">
        <f ca="1">IF($A141="*","",IF(VLOOKUP("*#"&amp;$AS141,$A$10:$I$24,D$9+1,FALSE)="-","-",OFFSET(UPS!$C$37,AU141+AV141,SUMIF($A$10:$A$20,"*#"&amp;AS141,$AT$10:$AT$20))))</f>
        <v>OGS</v>
      </c>
      <c r="E141" s="440" t="str">
        <f t="shared" ca="1" si="71"/>
        <v>UGTLGASIN-N-O</v>
      </c>
      <c r="F141" s="440" t="str">
        <f t="shared" si="72"/>
        <v>-</v>
      </c>
      <c r="G141" s="440" t="str">
        <f t="shared" si="73"/>
        <v>ANNUAL</v>
      </c>
      <c r="H141" s="441" t="str">
        <f t="shared" si="74"/>
        <v>UP</v>
      </c>
      <c r="I141" s="441">
        <f t="shared" si="75"/>
        <v>3</v>
      </c>
      <c r="J141" s="163">
        <f ca="1">IF($A141="*","",OFFSET(UPS!$C$37,AU141+AV141,SUMIF($A$10:$A$20,"*#"&amp;AS141,$AV$10:$AV$20)))</f>
        <v>0.49809089633534509</v>
      </c>
      <c r="K141" s="163"/>
      <c r="AR141" s="42">
        <f t="shared" si="76"/>
        <v>7</v>
      </c>
      <c r="AS141" s="42">
        <v>8</v>
      </c>
      <c r="AU141" s="42">
        <f ca="1">SUMIF(UPS!B$38:B$171,C141,UPS!BD$38:BD$171)</f>
        <v>33</v>
      </c>
      <c r="AV141" s="42">
        <f t="shared" si="78"/>
        <v>5</v>
      </c>
    </row>
    <row r="142" spans="1:48">
      <c r="B142" s="440" t="str">
        <f t="shared" si="70"/>
        <v>FLO_SHAR</v>
      </c>
      <c r="C142" s="440" t="str">
        <f ca="1">IF($A142="*","",OFFSET(ITEMS_UPS!$C$8,AR142,0))</f>
        <v>UGTLGASIN-N</v>
      </c>
      <c r="D142" s="440" t="str">
        <f ca="1">IF($A142="*","",IF(VLOOKUP("*#"&amp;$AS142,$A$10:$I$24,D$9+1,FALSE)="-","-",OFFSET(UPS!$C$37,AU142+AV142,SUMIF($A$10:$A$20,"*#"&amp;AS142,$AT$10:$AT$20))))</f>
        <v>OKE</v>
      </c>
      <c r="E142" s="440" t="str">
        <f t="shared" ca="1" si="71"/>
        <v>UGTLGASIN-N-O</v>
      </c>
      <c r="F142" s="440" t="str">
        <f t="shared" si="72"/>
        <v>-</v>
      </c>
      <c r="G142" s="440" t="str">
        <f t="shared" si="73"/>
        <v>ANNUAL</v>
      </c>
      <c r="H142" s="441" t="str">
        <f t="shared" si="74"/>
        <v>UP</v>
      </c>
      <c r="I142" s="441">
        <f t="shared" si="75"/>
        <v>3</v>
      </c>
      <c r="J142" s="163">
        <f ca="1">IF($A142="*","",OFFSET(UPS!$C$37,AU142+AV142,SUMIF($A$10:$A$20,"*#"&amp;AS142,$AV$10:$AV$20)))</f>
        <v>0.12259168661288511</v>
      </c>
      <c r="K142" s="163"/>
      <c r="AR142" s="42">
        <f t="shared" si="76"/>
        <v>7</v>
      </c>
      <c r="AS142" s="42">
        <v>8</v>
      </c>
      <c r="AU142" s="42">
        <f ca="1">SUMIF(UPS!B$38:B$171,C142,UPS!BD$38:BD$171)</f>
        <v>33</v>
      </c>
      <c r="AV142" s="42">
        <f t="shared" si="78"/>
        <v>6</v>
      </c>
    </row>
    <row r="143" spans="1:48">
      <c r="B143" s="440" t="str">
        <f t="shared" si="70"/>
        <v>FLO_SHAR</v>
      </c>
      <c r="C143" s="440" t="str">
        <f ca="1">IF($A143="*","",OFFSET(ITEMS_UPS!$C$8,AR143,0))</f>
        <v>UGTLGASIN-N</v>
      </c>
      <c r="D143" s="440" t="str">
        <f ca="1">IF($A143="*","",IF(VLOOKUP("*#"&amp;$AS143,$A$10:$I$24,D$9+1,FALSE)="-","-",OFFSET(UPS!$C$37,AU143+AV143,SUMIF($A$10:$A$20,"*#"&amp;AS143,$AT$10:$AT$20))))</f>
        <v>OLP</v>
      </c>
      <c r="E143" s="440" t="str">
        <f t="shared" ca="1" si="71"/>
        <v>UGTLGASIN-N-O</v>
      </c>
      <c r="F143" s="440" t="str">
        <f t="shared" si="72"/>
        <v>-</v>
      </c>
      <c r="G143" s="440" t="str">
        <f t="shared" si="73"/>
        <v>ANNUAL</v>
      </c>
      <c r="H143" s="441" t="str">
        <f t="shared" si="74"/>
        <v>UP</v>
      </c>
      <c r="I143" s="441">
        <f t="shared" si="75"/>
        <v>3</v>
      </c>
      <c r="J143" s="163">
        <f ca="1">IF($A143="*","",OFFSET(UPS!$C$37,AU143+AV143,SUMIF($A$10:$A$20,"*#"&amp;AS143,$AV$10:$AV$20)))</f>
        <v>3.6696142945579213E-2</v>
      </c>
      <c r="K143" s="163"/>
      <c r="AR143" s="42">
        <f t="shared" si="76"/>
        <v>7</v>
      </c>
      <c r="AS143" s="42">
        <v>8</v>
      </c>
      <c r="AU143" s="42">
        <f ca="1">SUMIF(UPS!B$38:B$171,C143,UPS!BD$38:BD$171)</f>
        <v>33</v>
      </c>
      <c r="AV143" s="42">
        <f t="shared" si="78"/>
        <v>7</v>
      </c>
    </row>
    <row r="144" spans="1:48">
      <c r="B144" s="440" t="str">
        <f t="shared" si="70"/>
        <v>FLO_EMIS</v>
      </c>
      <c r="C144" s="440" t="str">
        <f ca="1">IF($A144="*","",OFFSET(ITEMS_UPS!$C$8,AR144,0))</f>
        <v>UGTLGASIN-N</v>
      </c>
      <c r="D144" s="440" t="str">
        <f>$D$18</f>
        <v>UPSCO2S</v>
      </c>
      <c r="E144" s="440" t="str">
        <f t="shared" ca="1" si="71"/>
        <v>UGTLGASIN-N-O</v>
      </c>
      <c r="F144" s="440" t="str">
        <f t="shared" si="72"/>
        <v>-</v>
      </c>
      <c r="G144" s="440" t="str">
        <f t="shared" si="73"/>
        <v>ANNUAL</v>
      </c>
      <c r="H144" s="441" t="str">
        <f t="shared" si="74"/>
        <v>-</v>
      </c>
      <c r="I144" s="441">
        <f t="shared" si="75"/>
        <v>0</v>
      </c>
      <c r="J144" s="163">
        <f ca="1">IF($A144="*","",OFFSET(UPS!$C$37,AU144,SUMIF($A$10:$A$20,"*#"&amp;AS144,$AT$10:$AT$20)))</f>
        <v>6.4894696089818042</v>
      </c>
      <c r="K144" s="163"/>
      <c r="AR144" s="42">
        <f>AR142</f>
        <v>7</v>
      </c>
      <c r="AS144" s="42">
        <f>AS142+1</f>
        <v>9</v>
      </c>
      <c r="AU144" s="42">
        <f ca="1">SUMIF(UPS!B$38:B$171,C144,UPS!BD$38:BD$171)</f>
        <v>33</v>
      </c>
    </row>
    <row r="145" spans="1:48">
      <c r="B145" s="440" t="str">
        <f t="shared" si="70"/>
        <v>FLO_EMIS</v>
      </c>
      <c r="C145" s="440" t="str">
        <f ca="1">IF($A145="*","",OFFSET(ITEMS_UPS!$C$8,AR145,0))</f>
        <v>UGTLGASIN-N</v>
      </c>
      <c r="D145" s="440" t="str">
        <f>$D$19</f>
        <v>UPSCH4S</v>
      </c>
      <c r="E145" s="440" t="str">
        <f t="shared" ca="1" si="71"/>
        <v>UGTLGASIN-N-O</v>
      </c>
      <c r="F145" s="440" t="str">
        <f t="shared" si="72"/>
        <v>-</v>
      </c>
      <c r="G145" s="440" t="str">
        <f t="shared" si="73"/>
        <v>ANNUAL</v>
      </c>
      <c r="H145" s="441" t="str">
        <f t="shared" si="74"/>
        <v>-</v>
      </c>
      <c r="I145" s="441">
        <f t="shared" si="75"/>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70"/>
        <v>NCAP_COST</v>
      </c>
      <c r="C146" s="440" t="str">
        <f ca="1">IF($A146="*","",OFFSET(ITEMS_UPS!$C$8,AR146,0))</f>
        <v>UGTLGASIN-N</v>
      </c>
      <c r="D146" s="440" t="str">
        <f ca="1">IF($A146="*","",IF(VLOOKUP("*#"&amp;$AS146,$A$10:$I$24,D$9+1,FALSE)="-","-",OFFSET(UPS!$C$37,AU146+AV146,SUMIF($A$10:$A$20,"*#"&amp;AS146,$AT$10:$AT$20))))</f>
        <v>-</v>
      </c>
      <c r="E146" s="440" t="str">
        <f t="shared" si="71"/>
        <v>-</v>
      </c>
      <c r="F146" s="440" t="str">
        <f t="shared" si="72"/>
        <v>-</v>
      </c>
      <c r="G146" s="440" t="str">
        <f>IF($A146="*","",VLOOKUP("*#"&amp;$AS146,$A$10:$I$24,G$9+1,FALSE))</f>
        <v>-</v>
      </c>
      <c r="H146" s="441" t="str">
        <f t="shared" si="74"/>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70"/>
        <v>NCAP_TLIFE</v>
      </c>
      <c r="C147" s="440" t="str">
        <f ca="1">IF($A147="*","",OFFSET(ITEMS_UPS!$C$8,AR147,0))</f>
        <v>UGTLGASIN-N</v>
      </c>
      <c r="D147" s="440" t="str">
        <f ca="1">IF($A147="*","",IF(VLOOKUP("*#"&amp;$AS147,$A$10:$I$24,D$9+1,FALSE)="-","-",OFFSET(UPS!$C$37,AU147+AV147,SUMIF($A$10:$A$20,"*#"&amp;AS147,$AT$10:$AT$20))))</f>
        <v>-</v>
      </c>
      <c r="E147" s="440" t="str">
        <f t="shared" si="71"/>
        <v>-</v>
      </c>
      <c r="F147" s="440" t="str">
        <f t="shared" si="72"/>
        <v>-</v>
      </c>
      <c r="G147" s="440" t="str">
        <f>IF($A147="*","",VLOOKUP("*#"&amp;$AS147,$A$10:$I$24,G$9+1,FALSE))</f>
        <v>-</v>
      </c>
      <c r="H147" s="441" t="str">
        <f t="shared" si="74"/>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70"/>
        <v>NCAP_ILED</v>
      </c>
      <c r="C148" s="440" t="str">
        <f ca="1">IF($A148="*","",OFFSET(ITEMS_UPS!$C$8,AR148,0))</f>
        <v>UGTLGASIN-N</v>
      </c>
      <c r="D148" s="440" t="str">
        <f ca="1">IF($A148="*","",IF(VLOOKUP("*#"&amp;$AS148,$A$10:$I$24,D$9+1,FALSE)="-","-",OFFSET(UPS!$C$37,AU148+AV148,SUMIF($A$10:$A$20,"*#"&amp;AS148,$AT$10:$AT$20))))</f>
        <v>-</v>
      </c>
      <c r="E148" s="440" t="str">
        <f t="shared" si="71"/>
        <v>-</v>
      </c>
      <c r="F148" s="440" t="str">
        <f t="shared" si="72"/>
        <v>-</v>
      </c>
      <c r="G148" s="440" t="str">
        <f>IF($A148="*","",VLOOKUP("*#"&amp;$AS148,$A$10:$I$24,G$9+1,FALSE))</f>
        <v>-</v>
      </c>
      <c r="H148" s="441" t="str">
        <f t="shared" si="74"/>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9">IF(A150="*","",VLOOKUP("*#"&amp;AS150,$A$9:$B$24,2,FALSE))</f>
        <v>ACT_COST</v>
      </c>
      <c r="C150" s="440" t="str">
        <f ca="1">IF($A150="*","",OFFSET(ITEMS_UPS!$C$8,AR150,0))</f>
        <v>UGTLGICCO-N</v>
      </c>
      <c r="D150" s="440" t="str">
        <f ca="1">IF($A150="*","",IF(VLOOKUP("*#"&amp;$AS150,$A$10:$I$24,D$9+1,FALSE)="-","-",OFFSET(UPS!$C$37,AU150+AV150,SUMIF($A$10:$A$20,"*#"&amp;AS150,$AT$10:$AT$20))))</f>
        <v>-</v>
      </c>
      <c r="E150" s="440" t="str">
        <f t="shared" ref="E150:E168" si="80">IF($A150="*","",IF(VLOOKUP("*#"&amp;$AS150,$A$10:$I$24,E$9+1,FALSE)="-","-",C150&amp;"-"&amp;RIGHT(VLOOKUP("*#"&amp;$AS150,$A$10:$I$24,E$9+1,FALSE),1)))</f>
        <v>-</v>
      </c>
      <c r="F150" s="440" t="str">
        <f t="shared" ref="F150:F168" si="81">IF($A150="*","",IF(VLOOKUP("*#"&amp;$AS150,$A$10:$I$24,F$9+1,FALSE)="-","-",C150&amp;"-"&amp;RIGHT(VLOOKUP("*#"&amp;$AS150,$A$10:$I$24,F$9+1,FALSE),1)))</f>
        <v>-</v>
      </c>
      <c r="G150" s="440" t="str">
        <f t="shared" ref="G150:G165" si="82">IF($A150="*","",VLOOKUP("*#"&amp;$AS150,$A$10:$I$20,G$9+1,FALSE))</f>
        <v>-</v>
      </c>
      <c r="H150" s="441" t="str">
        <f t="shared" ref="H150:H168" si="83">IF($A150="*","",VLOOKUP("*#"&amp;$AS150,$A$10:$I$24,H$9+1,FALSE))</f>
        <v>-</v>
      </c>
      <c r="I150" s="441">
        <f t="shared" ref="I150:I165" si="84">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9"/>
        <v>NCAP_AFA</v>
      </c>
      <c r="C151" s="440" t="str">
        <f ca="1">IF($A151="*","",OFFSET(ITEMS_UPS!$C$8,AR151,0))</f>
        <v>UGTLGICCO-N</v>
      </c>
      <c r="D151" s="440" t="str">
        <f ca="1">IF($A151="*","",IF(VLOOKUP("*#"&amp;$AS151,$A$10:$I$24,D$9+1,FALSE)="-","-",OFFSET(UPS!$C$37,AU151+AV151,SUMIF($A$10:$A$20,"*#"&amp;AS151,$AT$10:$AT$20))))</f>
        <v>-</v>
      </c>
      <c r="E151" s="440" t="str">
        <f t="shared" si="80"/>
        <v>-</v>
      </c>
      <c r="F151" s="440" t="str">
        <f t="shared" si="81"/>
        <v>-</v>
      </c>
      <c r="G151" s="440" t="str">
        <f t="shared" si="82"/>
        <v>ANNUAL</v>
      </c>
      <c r="H151" s="441" t="str">
        <f t="shared" si="83"/>
        <v>UP</v>
      </c>
      <c r="I151" s="441">
        <f t="shared" si="84"/>
        <v>3</v>
      </c>
      <c r="J151" s="163">
        <f ca="1">IF($A151="*","",OFFSET(UPS!$C$37,AU151,SUMIF($A$10:$A$20,"*#"&amp;AS151,$AT$10:$AT$20)))</f>
        <v>0.46244122068025312</v>
      </c>
      <c r="K151" s="163"/>
      <c r="AR151" s="42">
        <f t="shared" ref="AR151:AS163" si="85">AR150</f>
        <v>8</v>
      </c>
      <c r="AS151" s="42">
        <f>IF(AR151=AR150,AS150+1,1)</f>
        <v>2</v>
      </c>
      <c r="AU151" s="42">
        <f ca="1">SUMIF(UPS!B$38:B$171,C151,UPS!BD$38:BD$171)</f>
        <v>43</v>
      </c>
    </row>
    <row r="152" spans="1:48">
      <c r="B152" s="440" t="str">
        <f t="shared" si="79"/>
        <v>NCAP_AFA</v>
      </c>
      <c r="C152" s="440" t="str">
        <f ca="1">IF($A152="*","",OFFSET(ITEMS_UPS!$C$8,AR152,0))</f>
        <v>UGTLGICCO-N</v>
      </c>
      <c r="D152" s="440" t="str">
        <f ca="1">IF($A152="*","",IF(VLOOKUP("*#"&amp;$AS152,$A$10:$I$24,D$9+1,FALSE)="-","-",OFFSET(UPS!$C$37,AU152+AV152,SUMIF($A$10:$A$20,"*#"&amp;AS152,$AT$10:$AT$20))))</f>
        <v>-</v>
      </c>
      <c r="E152" s="440" t="str">
        <f t="shared" si="80"/>
        <v>-</v>
      </c>
      <c r="F152" s="440" t="str">
        <f t="shared" si="81"/>
        <v>-</v>
      </c>
      <c r="G152" s="440" t="str">
        <f t="shared" si="82"/>
        <v>ANNUAL</v>
      </c>
      <c r="H152" s="441" t="str">
        <f t="shared" si="83"/>
        <v>LO</v>
      </c>
      <c r="I152" s="441">
        <f t="shared" si="84"/>
        <v>3</v>
      </c>
      <c r="J152" s="163" t="str">
        <f ca="1">IF($A152="*","",OFFSET(UPS!$C$37,AU152,SUMIF($A$10:$A$20,"*#"&amp;AS152,$AT$10:$AT$20)))</f>
        <v/>
      </c>
      <c r="K152" s="163"/>
      <c r="AR152" s="42">
        <f t="shared" si="85"/>
        <v>8</v>
      </c>
      <c r="AS152" s="42">
        <f t="shared" ref="AS152:AS156" si="86">IF(AR152=AR151,AS151+1,1)</f>
        <v>3</v>
      </c>
      <c r="AU152" s="42">
        <f ca="1">SUMIF(UPS!B$38:B$171,C152,UPS!BD$38:BD$171)</f>
        <v>43</v>
      </c>
    </row>
    <row r="153" spans="1:48">
      <c r="B153" s="440" t="str">
        <f t="shared" si="79"/>
        <v>NCAP_FOM</v>
      </c>
      <c r="C153" s="440" t="str">
        <f ca="1">IF($A153="*","",OFFSET(ITEMS_UPS!$C$8,AR153,0))</f>
        <v>UGTLGICCO-N</v>
      </c>
      <c r="D153" s="440" t="str">
        <f ca="1">IF($A153="*","",IF(VLOOKUP("*#"&amp;$AS153,$A$10:$I$24,D$9+1,FALSE)="-","-",OFFSET(UPS!$C$37,AU153+AV153,SUMIF($A$10:$A$20,"*#"&amp;AS153,$AT$10:$AT$20))))</f>
        <v>-</v>
      </c>
      <c r="E153" s="440" t="str">
        <f t="shared" si="80"/>
        <v>-</v>
      </c>
      <c r="F153" s="440" t="str">
        <f t="shared" si="81"/>
        <v>-</v>
      </c>
      <c r="G153" s="440" t="str">
        <f t="shared" si="82"/>
        <v>-</v>
      </c>
      <c r="H153" s="441" t="str">
        <f t="shared" si="83"/>
        <v>-</v>
      </c>
      <c r="I153" s="441">
        <f t="shared" si="84"/>
        <v>0</v>
      </c>
      <c r="J153" s="163">
        <f ca="1">IF($A153="*","",OFFSET(UPS!$C$37,AU153,SUMIF($A$10:$A$20,"*#"&amp;AS153,$AT$10:$AT$20)))</f>
        <v>16.868609235305986</v>
      </c>
      <c r="K153" s="163"/>
      <c r="AR153" s="42">
        <f t="shared" si="85"/>
        <v>8</v>
      </c>
      <c r="AS153" s="42">
        <f t="shared" si="86"/>
        <v>4</v>
      </c>
      <c r="AU153" s="42">
        <f ca="1">SUMIF(UPS!B$38:B$171,C153,UPS!BD$38:BD$171)</f>
        <v>43</v>
      </c>
    </row>
    <row r="154" spans="1:48">
      <c r="B154" s="440" t="str">
        <f t="shared" si="79"/>
        <v>NCAP_BND</v>
      </c>
      <c r="C154" s="440" t="str">
        <f ca="1">IF($A154="*","",OFFSET(ITEMS_UPS!$C$8,AR154,0))</f>
        <v>UGTLGICCO-N</v>
      </c>
      <c r="D154" s="440" t="str">
        <f ca="1">IF($A154="*","",IF(VLOOKUP("*#"&amp;$AS154,$A$10:$I$24,D$9+1,FALSE)="-","-",OFFSET(UPS!$C$37,AU154+AV154,SUMIF($A$10:$A$20,"*#"&amp;AS154,$AT$10:$AT$20))))</f>
        <v>-</v>
      </c>
      <c r="E154" s="440" t="str">
        <f t="shared" si="80"/>
        <v>-</v>
      </c>
      <c r="F154" s="440" t="str">
        <f t="shared" si="81"/>
        <v>-</v>
      </c>
      <c r="G154" s="440" t="str">
        <f t="shared" si="82"/>
        <v>-</v>
      </c>
      <c r="H154" s="441" t="str">
        <f t="shared" si="83"/>
        <v>UP</v>
      </c>
      <c r="I154" s="441">
        <f t="shared" si="84"/>
        <v>3</v>
      </c>
      <c r="J154" s="163" t="str">
        <f ca="1">IF($A154="*","",OFFSET(UPS!$C$37,AU154,SUMIF($A$10:$A$20,"*#"&amp;AS154,$AT$10:$AT$20)))</f>
        <v/>
      </c>
      <c r="K154" s="163"/>
      <c r="AR154" s="42">
        <f>AR152</f>
        <v>8</v>
      </c>
      <c r="AS154" s="42">
        <f t="shared" si="86"/>
        <v>5</v>
      </c>
      <c r="AU154" s="42">
        <f ca="1">SUMIF(UPS!B$38:B$171,C154,UPS!BD$38:BD$171)</f>
        <v>43</v>
      </c>
    </row>
    <row r="155" spans="1:48">
      <c r="B155" s="440" t="str">
        <f t="shared" si="79"/>
        <v>FLO_FUNC</v>
      </c>
      <c r="C155" s="440" t="str">
        <f ca="1">IF($A155="*","",OFFSET(ITEMS_UPS!$C$8,AR155,0))</f>
        <v>UGTLGICCO-N</v>
      </c>
      <c r="D155" s="440" t="str">
        <f ca="1">IF($A155="*","",IF(VLOOKUP("*#"&amp;$AS155,$A$10:$I$24,D$9+1,FALSE)="-","-",OFFSET(UPS!$C$37,AU155+AV155,SUMIF($A$10:$A$20,"*#"&amp;AS155,$AT$10:$AT$20))))</f>
        <v>-</v>
      </c>
      <c r="E155" s="440" t="str">
        <f t="shared" ca="1" si="80"/>
        <v>UGTLGICCO-N-I</v>
      </c>
      <c r="F155" s="440" t="str">
        <f t="shared" ca="1" si="81"/>
        <v>UGTLGICCO-N-O</v>
      </c>
      <c r="G155" s="440" t="str">
        <f t="shared" si="82"/>
        <v>ANNUAL</v>
      </c>
      <c r="H155" s="441" t="str">
        <f t="shared" si="83"/>
        <v>-</v>
      </c>
      <c r="I155" s="441">
        <f t="shared" si="84"/>
        <v>0</v>
      </c>
      <c r="J155" s="163">
        <f ca="1">IF($A155="*","",OFFSET(UPS!$C$37,AU155,SUMIF($A$10:$A$20,"*#"&amp;AS155,$AT$10:$AT$20)))</f>
        <v>0.80809626745744978</v>
      </c>
      <c r="K155" s="163"/>
      <c r="AR155" s="42">
        <f t="shared" si="85"/>
        <v>8</v>
      </c>
      <c r="AS155" s="42">
        <f t="shared" si="86"/>
        <v>6</v>
      </c>
      <c r="AU155" s="42">
        <f ca="1">SUMIF(UPS!B$38:B$171,C155,UPS!BD$38:BD$171)</f>
        <v>43</v>
      </c>
    </row>
    <row r="156" spans="1:48">
      <c r="B156" s="440" t="str">
        <f t="shared" si="79"/>
        <v>FLO_SHAR</v>
      </c>
      <c r="C156" s="440" t="str">
        <f ca="1">IF($A156="*","",OFFSET(ITEMS_UPS!$C$8,AR156,0))</f>
        <v>UGTLGICCO-N</v>
      </c>
      <c r="D156" s="440" t="str">
        <f ca="1">IF($A156="*","",IF(VLOOKUP("*#"&amp;$AS156,$A$10:$I$24,D$9+1,FALSE)="-","-",OFFSET(UPS!$C$37,AU156+AV156,SUMIF($A$10:$A$20,"*#"&amp;AS156,$AT$10:$AT$20))))</f>
        <v>UPSGIC</v>
      </c>
      <c r="E156" s="440" t="str">
        <f t="shared" ca="1" si="80"/>
        <v>UGTLGICCO-N-I</v>
      </c>
      <c r="F156" s="440" t="str">
        <f t="shared" si="81"/>
        <v>-</v>
      </c>
      <c r="G156" s="440" t="str">
        <f t="shared" si="82"/>
        <v>ANNUAL</v>
      </c>
      <c r="H156" s="441" t="str">
        <f t="shared" si="83"/>
        <v>FX</v>
      </c>
      <c r="I156" s="441">
        <f t="shared" si="84"/>
        <v>3</v>
      </c>
      <c r="J156" s="163">
        <f ca="1">IF($A156="*","",OFFSET(UPS!$C$37,AU156+AV156,SUMIF($A$10:$A$20,"*#"&amp;AS156,$AV$10:$AV$20)))</f>
        <v>0.76985311799533229</v>
      </c>
      <c r="K156" s="163"/>
      <c r="AR156" s="42">
        <f t="shared" si="85"/>
        <v>8</v>
      </c>
      <c r="AS156" s="42">
        <f t="shared" si="86"/>
        <v>7</v>
      </c>
      <c r="AU156" s="42">
        <f ca="1">SUMIF(UPS!B$38:B$171,C156,UPS!BD$38:BD$171)</f>
        <v>43</v>
      </c>
      <c r="AV156" s="42">
        <v>0</v>
      </c>
    </row>
    <row r="157" spans="1:48">
      <c r="B157" s="440" t="str">
        <f t="shared" si="79"/>
        <v>FLO_SHAR</v>
      </c>
      <c r="C157" s="440" t="str">
        <f ca="1">IF($A157="*","",OFFSET(ITEMS_UPS!$C$8,AR157,0))</f>
        <v>UGTLGICCO-N</v>
      </c>
      <c r="D157" s="440" t="str">
        <f ca="1">IF($A157="*","",IF(VLOOKUP("*#"&amp;$AS157,$A$10:$I$24,D$9+1,FALSE)="-","-",OFFSET(UPS!$C$37,AU157+AV157,SUMIF($A$10:$A$20,"*#"&amp;AS157,$AT$10:$AT$20))))</f>
        <v>UPSOCR</v>
      </c>
      <c r="E157" s="440" t="str">
        <f t="shared" ca="1" si="80"/>
        <v>UGTLGICCO-N-I</v>
      </c>
      <c r="F157" s="440" t="str">
        <f t="shared" si="81"/>
        <v>-</v>
      </c>
      <c r="G157" s="440" t="str">
        <f t="shared" si="82"/>
        <v>ANNUAL</v>
      </c>
      <c r="H157" s="441" t="str">
        <f t="shared" si="83"/>
        <v>FX</v>
      </c>
      <c r="I157" s="441">
        <f t="shared" si="84"/>
        <v>3</v>
      </c>
      <c r="J157" s="163">
        <f ca="1">IF($A157="*","",OFFSET(UPS!$C$37,AU157+AV157,SUMIF($A$10:$A$20,"*#"&amp;AS157,$AV$10:$AV$20)))</f>
        <v>0.19246327949883302</v>
      </c>
      <c r="K157" s="163"/>
      <c r="AR157" s="42">
        <f t="shared" si="85"/>
        <v>8</v>
      </c>
      <c r="AS157" s="42">
        <f>AS156</f>
        <v>7</v>
      </c>
      <c r="AU157" s="42">
        <f ca="1">SUMIF(UPS!B$38:B$171,C157,UPS!BD$38:BD$171)</f>
        <v>43</v>
      </c>
      <c r="AV157" s="42">
        <f t="shared" ref="AV157:AV164" si="87">AV156+1</f>
        <v>1</v>
      </c>
    </row>
    <row r="158" spans="1:48">
      <c r="B158" s="440" t="str">
        <f t="shared" si="79"/>
        <v>FLO_SHAR</v>
      </c>
      <c r="C158" s="440" t="str">
        <f ca="1">IF($A158="*","",OFFSET(ITEMS_UPS!$C$8,AR158,0))</f>
        <v>UGTLGICCO-N</v>
      </c>
      <c r="D158" s="440" t="str">
        <f ca="1">IF($A158="*","",IF(VLOOKUP("*#"&amp;$AS158,$A$10:$I$24,D$9+1,FALSE)="-","-",OFFSET(UPS!$C$37,AU158+AV158,SUMIF($A$10:$A$20,"*#"&amp;AS158,$AT$10:$AT$20))))</f>
        <v>UPSELC</v>
      </c>
      <c r="E158" s="440" t="str">
        <f t="shared" ca="1" si="80"/>
        <v>UGTLGICCO-N-I</v>
      </c>
      <c r="F158" s="440" t="str">
        <f t="shared" si="81"/>
        <v>-</v>
      </c>
      <c r="G158" s="440" t="str">
        <f t="shared" si="82"/>
        <v>ANNUAL</v>
      </c>
      <c r="H158" s="441" t="str">
        <f t="shared" si="83"/>
        <v>FX</v>
      </c>
      <c r="I158" s="441">
        <f t="shared" si="84"/>
        <v>3</v>
      </c>
      <c r="J158" s="163">
        <f ca="1">IF($A158="*","",OFFSET(UPS!$C$37,AU158+AV158,SUMIF($A$10:$A$20,"*#"&amp;AS158,$AV$10:$AV$20)))</f>
        <v>3.7683602505834655E-2</v>
      </c>
      <c r="K158" s="163"/>
      <c r="AR158" s="42">
        <f t="shared" si="85"/>
        <v>8</v>
      </c>
      <c r="AS158" s="42">
        <f>AS157</f>
        <v>7</v>
      </c>
      <c r="AU158" s="42">
        <f ca="1">SUMIF(UPS!B$38:B$171,C158,UPS!BD$38:BD$171)</f>
        <v>43</v>
      </c>
      <c r="AV158" s="42">
        <f t="shared" si="87"/>
        <v>2</v>
      </c>
    </row>
    <row r="159" spans="1:48">
      <c r="B159" s="440" t="str">
        <f t="shared" si="79"/>
        <v>FLO_SHAR</v>
      </c>
      <c r="C159" s="440" t="str">
        <f ca="1">IF($A159="*","",OFFSET(ITEMS_UPS!$C$8,AR159,0))</f>
        <v>UGTLGICCO-N</v>
      </c>
      <c r="D159" s="440" t="str">
        <f ca="1">IF($A159="*","",IF(VLOOKUP("*#"&amp;$AS159,$A$10:$I$24,D$9+1,FALSE)="-","-",OFFSET(UPS!$C$37,AU159+AV159,SUMIF($A$10:$A$20,"*#"&amp;AS159,$AT$10:$AT$20))))</f>
        <v>OAG</v>
      </c>
      <c r="E159" s="440" t="str">
        <f t="shared" ca="1" si="80"/>
        <v>UGTLGICCO-N-O</v>
      </c>
      <c r="F159" s="440" t="str">
        <f t="shared" si="81"/>
        <v>-</v>
      </c>
      <c r="G159" s="440" t="str">
        <f t="shared" si="82"/>
        <v>ANNUAL</v>
      </c>
      <c r="H159" s="441" t="str">
        <f t="shared" si="83"/>
        <v>UP</v>
      </c>
      <c r="I159" s="441">
        <f t="shared" si="84"/>
        <v>3</v>
      </c>
      <c r="J159" s="163">
        <f ca="1">IF($A159="*","",OFFSET(UPS!$C$37,AU159+AV159,SUMIF($A$10:$A$20,"*#"&amp;AS159,$AV$10:$AV$20)))</f>
        <v>0</v>
      </c>
      <c r="K159" s="163"/>
      <c r="AR159" s="42">
        <f t="shared" si="85"/>
        <v>8</v>
      </c>
      <c r="AS159" s="42">
        <v>8</v>
      </c>
      <c r="AU159" s="42">
        <f ca="1">SUMIF(UPS!B$38:B$171,C159,UPS!BD$38:BD$171)</f>
        <v>43</v>
      </c>
      <c r="AV159" s="42">
        <f t="shared" si="87"/>
        <v>3</v>
      </c>
    </row>
    <row r="160" spans="1:48">
      <c r="B160" s="440" t="str">
        <f t="shared" si="79"/>
        <v>FLO_SHAR</v>
      </c>
      <c r="C160" s="440" t="str">
        <f ca="1">IF($A160="*","",OFFSET(ITEMS_UPS!$C$8,AR160,0))</f>
        <v>UGTLGICCO-N</v>
      </c>
      <c r="D160" s="440" t="str">
        <f ca="1">IF($A160="*","",IF(VLOOKUP("*#"&amp;$AS160,$A$10:$I$24,D$9+1,FALSE)="-","-",OFFSET(UPS!$C$37,AU160+AV160,SUMIF($A$10:$A$20,"*#"&amp;AS160,$AT$10:$AT$20))))</f>
        <v>ODS</v>
      </c>
      <c r="E160" s="440" t="str">
        <f t="shared" ca="1" si="80"/>
        <v>UGTLGICCO-N-O</v>
      </c>
      <c r="F160" s="440" t="str">
        <f t="shared" si="81"/>
        <v>-</v>
      </c>
      <c r="G160" s="440" t="str">
        <f t="shared" si="82"/>
        <v>ANNUAL</v>
      </c>
      <c r="H160" s="441" t="str">
        <f t="shared" si="83"/>
        <v>UP</v>
      </c>
      <c r="I160" s="441">
        <f t="shared" si="84"/>
        <v>3</v>
      </c>
      <c r="J160" s="163">
        <f ca="1">IF($A160="*","",OFFSET(UPS!$C$37,AU160+AV160,SUMIF($A$10:$A$20,"*#"&amp;AS160,$AV$10:$AV$20)))</f>
        <v>0.28767932115906897</v>
      </c>
      <c r="K160" s="163"/>
      <c r="AR160" s="42">
        <f t="shared" si="85"/>
        <v>8</v>
      </c>
      <c r="AS160" s="42">
        <f t="shared" si="85"/>
        <v>8</v>
      </c>
      <c r="AU160" s="42">
        <f ca="1">SUMIF(UPS!B$38:B$171,C160,UPS!BD$38:BD$171)</f>
        <v>43</v>
      </c>
      <c r="AV160" s="42">
        <f t="shared" si="87"/>
        <v>4</v>
      </c>
    </row>
    <row r="161" spans="1:48">
      <c r="B161" s="440" t="str">
        <f t="shared" si="79"/>
        <v>FLO_SHAR</v>
      </c>
      <c r="C161" s="440" t="str">
        <f ca="1">IF($A161="*","",OFFSET(ITEMS_UPS!$C$8,AR161,0))</f>
        <v>UGTLGICCO-N</v>
      </c>
      <c r="D161" s="440" t="str">
        <f ca="1">IF($A161="*","",IF(VLOOKUP("*#"&amp;$AS161,$A$10:$I$24,D$9+1,FALSE)="-","-",OFFSET(UPS!$C$37,AU161+AV161,SUMIF($A$10:$A$20,"*#"&amp;AS161,$AT$10:$AT$20))))</f>
        <v>OGS</v>
      </c>
      <c r="E161" s="440" t="str">
        <f t="shared" ca="1" si="80"/>
        <v>UGTLGICCO-N-O</v>
      </c>
      <c r="F161" s="440" t="str">
        <f t="shared" si="81"/>
        <v>-</v>
      </c>
      <c r="G161" s="440" t="str">
        <f t="shared" si="82"/>
        <v>ANNUAL</v>
      </c>
      <c r="H161" s="441" t="str">
        <f t="shared" si="83"/>
        <v>UP</v>
      </c>
      <c r="I161" s="441">
        <f t="shared" si="84"/>
        <v>3</v>
      </c>
      <c r="J161" s="163">
        <f ca="1">IF($A161="*","",OFFSET(UPS!$C$37,AU161+AV161,SUMIF($A$10:$A$20,"*#"&amp;AS161,$AV$10:$AV$20)))</f>
        <v>0.49809089633534509</v>
      </c>
      <c r="K161" s="163"/>
      <c r="AR161" s="42">
        <f t="shared" si="85"/>
        <v>8</v>
      </c>
      <c r="AS161" s="42">
        <f t="shared" si="85"/>
        <v>8</v>
      </c>
      <c r="AU161" s="42">
        <f ca="1">SUMIF(UPS!B$38:B$171,C161,UPS!BD$38:BD$171)</f>
        <v>43</v>
      </c>
      <c r="AV161" s="42">
        <f t="shared" si="87"/>
        <v>5</v>
      </c>
    </row>
    <row r="162" spans="1:48">
      <c r="B162" s="440" t="str">
        <f t="shared" si="79"/>
        <v>FLO_SHAR</v>
      </c>
      <c r="C162" s="440" t="str">
        <f ca="1">IF($A162="*","",OFFSET(ITEMS_UPS!$C$8,AR162,0))</f>
        <v>UGTLGICCO-N</v>
      </c>
      <c r="D162" s="440" t="str">
        <f ca="1">IF($A162="*","",IF(VLOOKUP("*#"&amp;$AS162,$A$10:$I$24,D$9+1,FALSE)="-","-",OFFSET(UPS!$C$37,AU162+AV162,SUMIF($A$10:$A$20,"*#"&amp;AS162,$AT$10:$AT$20))))</f>
        <v>OKE</v>
      </c>
      <c r="E162" s="440" t="str">
        <f t="shared" ca="1" si="80"/>
        <v>UGTLGICCO-N-O</v>
      </c>
      <c r="F162" s="440" t="str">
        <f t="shared" si="81"/>
        <v>-</v>
      </c>
      <c r="G162" s="440" t="str">
        <f t="shared" si="82"/>
        <v>ANNUAL</v>
      </c>
      <c r="H162" s="441" t="str">
        <f t="shared" si="83"/>
        <v>UP</v>
      </c>
      <c r="I162" s="441">
        <f t="shared" si="84"/>
        <v>3</v>
      </c>
      <c r="J162" s="163">
        <f ca="1">IF($A162="*","",OFFSET(UPS!$C$37,AU162+AV162,SUMIF($A$10:$A$20,"*#"&amp;AS162,$AV$10:$AV$20)))</f>
        <v>0.12259168661288511</v>
      </c>
      <c r="K162" s="163"/>
      <c r="AR162" s="42">
        <f t="shared" si="85"/>
        <v>8</v>
      </c>
      <c r="AS162" s="42">
        <f t="shared" si="85"/>
        <v>8</v>
      </c>
      <c r="AU162" s="42">
        <f ca="1">SUMIF(UPS!B$38:B$171,C162,UPS!BD$38:BD$171)</f>
        <v>43</v>
      </c>
      <c r="AV162" s="42">
        <f t="shared" si="87"/>
        <v>6</v>
      </c>
    </row>
    <row r="163" spans="1:48">
      <c r="B163" s="440" t="str">
        <f t="shared" si="79"/>
        <v>FLO_SHAR</v>
      </c>
      <c r="C163" s="440" t="str">
        <f ca="1">IF($A163="*","",OFFSET(ITEMS_UPS!$C$8,AR163,0))</f>
        <v>UGTLGICCO-N</v>
      </c>
      <c r="D163" s="440" t="str">
        <f ca="1">IF($A163="*","",IF(VLOOKUP("*#"&amp;$AS163,$A$10:$I$24,D$9+1,FALSE)="-","-",OFFSET(UPS!$C$37,AU163+AV163,SUMIF($A$10:$A$20,"*#"&amp;AS163,$AT$10:$AT$20))))</f>
        <v>OLP</v>
      </c>
      <c r="E163" s="440" t="str">
        <f t="shared" ca="1" si="80"/>
        <v>UGTLGICCO-N-O</v>
      </c>
      <c r="F163" s="440" t="str">
        <f t="shared" si="81"/>
        <v>-</v>
      </c>
      <c r="G163" s="440" t="str">
        <f t="shared" si="82"/>
        <v>ANNUAL</v>
      </c>
      <c r="H163" s="441" t="str">
        <f t="shared" si="83"/>
        <v>UP</v>
      </c>
      <c r="I163" s="441">
        <f t="shared" si="84"/>
        <v>3</v>
      </c>
      <c r="J163" s="163">
        <f ca="1">IF($A163="*","",OFFSET(UPS!$C$37,AU163+AV163,SUMIF($A$10:$A$20,"*#"&amp;AS163,$AV$10:$AV$20)))</f>
        <v>3.6696142945579213E-2</v>
      </c>
      <c r="K163" s="163"/>
      <c r="AR163" s="42">
        <f t="shared" si="85"/>
        <v>8</v>
      </c>
      <c r="AS163" s="42">
        <f t="shared" si="85"/>
        <v>8</v>
      </c>
      <c r="AU163" s="42">
        <f ca="1">SUMIF(UPS!B$38:B$171,C163,UPS!BD$38:BD$171)</f>
        <v>43</v>
      </c>
      <c r="AV163" s="42">
        <f t="shared" si="87"/>
        <v>7</v>
      </c>
    </row>
    <row r="164" spans="1:48">
      <c r="B164" s="440" t="str">
        <f t="shared" si="79"/>
        <v>FLO_EMIS</v>
      </c>
      <c r="C164" s="440" t="str">
        <f ca="1">IF($A164="*","",OFFSET(ITEMS_UPS!$C$8,AR164,0))</f>
        <v>UGTLGICCO-N</v>
      </c>
      <c r="D164" s="440" t="str">
        <f>$D$18</f>
        <v>UPSCO2S</v>
      </c>
      <c r="E164" s="440" t="str">
        <f t="shared" ca="1" si="80"/>
        <v>UGTLGICCO-N-O</v>
      </c>
      <c r="F164" s="440" t="str">
        <f t="shared" si="81"/>
        <v>-</v>
      </c>
      <c r="G164" s="440" t="str">
        <f t="shared" si="82"/>
        <v>ANNUAL</v>
      </c>
      <c r="H164" s="441" t="str">
        <f t="shared" si="83"/>
        <v>-</v>
      </c>
      <c r="I164" s="441">
        <f t="shared" si="84"/>
        <v>0</v>
      </c>
      <c r="J164" s="163">
        <f ca="1">IF($A164="*","",OFFSET(UPS!$C$37,AU164,SUMIF($A$10:$A$20,"*#"&amp;AS164,$AT$10:$AT$20)))</f>
        <v>6.4894696089818042</v>
      </c>
      <c r="K164" s="163"/>
      <c r="AR164" s="42">
        <f>AR162</f>
        <v>8</v>
      </c>
      <c r="AS164" s="42">
        <f>AS162+1</f>
        <v>9</v>
      </c>
      <c r="AU164" s="42">
        <f ca="1">SUMIF(UPS!B$38:B$171,C164,UPS!BD$38:BD$171)</f>
        <v>43</v>
      </c>
      <c r="AV164" s="42">
        <f t="shared" si="87"/>
        <v>8</v>
      </c>
    </row>
    <row r="165" spans="1:48">
      <c r="B165" s="440" t="str">
        <f t="shared" si="79"/>
        <v>FLO_EMIS</v>
      </c>
      <c r="C165" s="440" t="str">
        <f ca="1">IF($A165="*","",OFFSET(ITEMS_UPS!$C$8,AR165,0))</f>
        <v>UGTLGICCO-N</v>
      </c>
      <c r="D165" s="440" t="str">
        <f>$D$19</f>
        <v>UPSCH4S</v>
      </c>
      <c r="E165" s="440" t="str">
        <f t="shared" ca="1" si="80"/>
        <v>UGTLGICCO-N-O</v>
      </c>
      <c r="F165" s="440" t="str">
        <f t="shared" si="81"/>
        <v>-</v>
      </c>
      <c r="G165" s="440" t="str">
        <f t="shared" si="82"/>
        <v>ANNUAL</v>
      </c>
      <c r="H165" s="441" t="str">
        <f t="shared" si="83"/>
        <v>-</v>
      </c>
      <c r="I165" s="441">
        <f t="shared" si="84"/>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9"/>
        <v>NCAP_COST</v>
      </c>
      <c r="C166" s="440" t="str">
        <f ca="1">IF($A166="*","",OFFSET(ITEMS_UPS!$C$8,AR166,0))</f>
        <v>UGTLGICCO-N</v>
      </c>
      <c r="D166" s="440" t="str">
        <f ca="1">IF($A166="*","",IF(VLOOKUP("*#"&amp;$AS166,$A$10:$I$24,D$9+1,FALSE)="-","-",OFFSET(UPS!$C$37,AU166+AV166,SUMIF($A$10:$A$20,"*#"&amp;AS166,$AT$10:$AT$20))))</f>
        <v>-</v>
      </c>
      <c r="E166" s="440" t="str">
        <f t="shared" si="80"/>
        <v>-</v>
      </c>
      <c r="F166" s="440" t="str">
        <f t="shared" si="81"/>
        <v>-</v>
      </c>
      <c r="G166" s="440" t="str">
        <f>IF($A166="*","",VLOOKUP("*#"&amp;$AS166,$A$10:$I$24,G$9+1,FALSE))</f>
        <v>-</v>
      </c>
      <c r="H166" s="441" t="str">
        <f t="shared" si="83"/>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9"/>
        <v>NCAP_TLIFE</v>
      </c>
      <c r="C167" s="440" t="str">
        <f ca="1">IF($A167="*","",OFFSET(ITEMS_UPS!$C$8,AR167,0))</f>
        <v>UGTLGICCO-N</v>
      </c>
      <c r="D167" s="440" t="str">
        <f ca="1">IF($A167="*","",IF(VLOOKUP("*#"&amp;$AS167,$A$10:$I$24,D$9+1,FALSE)="-","-",OFFSET(UPS!$C$37,AU167+AV167,SUMIF($A$10:$A$20,"*#"&amp;AS167,$AT$10:$AT$20))))</f>
        <v>-</v>
      </c>
      <c r="E167" s="440" t="str">
        <f t="shared" si="80"/>
        <v>-</v>
      </c>
      <c r="F167" s="440" t="str">
        <f t="shared" si="81"/>
        <v>-</v>
      </c>
      <c r="G167" s="440" t="str">
        <f>IF($A167="*","",VLOOKUP("*#"&amp;$AS167,$A$10:$I$24,G$9+1,FALSE))</f>
        <v>-</v>
      </c>
      <c r="H167" s="441" t="str">
        <f t="shared" si="83"/>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9"/>
        <v>NCAP_ILED</v>
      </c>
      <c r="C168" s="440" t="str">
        <f ca="1">IF($A168="*","",OFFSET(ITEMS_UPS!$C$8,AR168,0))</f>
        <v>UGTLGICCO-N</v>
      </c>
      <c r="D168" s="440" t="str">
        <f ca="1">IF($A168="*","",IF(VLOOKUP("*#"&amp;$AS168,$A$10:$I$24,D$9+1,FALSE)="-","-",OFFSET(UPS!$C$37,AU168+AV168,SUMIF($A$10:$A$20,"*#"&amp;AS168,$AT$10:$AT$20))))</f>
        <v>-</v>
      </c>
      <c r="E168" s="440" t="str">
        <f t="shared" si="80"/>
        <v>-</v>
      </c>
      <c r="F168" s="440" t="str">
        <f t="shared" si="81"/>
        <v>-</v>
      </c>
      <c r="G168" s="440" t="str">
        <f>IF($A168="*","",VLOOKUP("*#"&amp;$AS168,$A$10:$I$24,G$9+1,FALSE))</f>
        <v>-</v>
      </c>
      <c r="H168" s="441" t="str">
        <f t="shared" si="83"/>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8">IF(A170="*","",VLOOKUP("*#"&amp;AS170,$A$9:$B$24,2,FALSE))</f>
        <v>ACT_COST</v>
      </c>
      <c r="C170" s="440" t="str">
        <f ca="1">IF($A170="*","",OFFSET(ITEMS_UPS!$C$8,AR170,0))</f>
        <v>UREFOCRCO-N</v>
      </c>
      <c r="D170" s="440" t="str">
        <f ca="1">IF($A170="*","",IF(VLOOKUP("*#"&amp;$AS170,$A$10:$I$24,D$9+1,FALSE)="-","-",OFFSET(UPS!$C$37,AU170+AV170,SUMIF($A$10:$A$20,"*#"&amp;AS170,$AT$10:$AT$20))))</f>
        <v>-</v>
      </c>
      <c r="E170" s="440" t="str">
        <f t="shared" ref="E170:E188" si="89">IF($A170="*","",IF(VLOOKUP("*#"&amp;$AS170,$A$10:$I$24,E$9+1,FALSE)="-","-",C170&amp;"-"&amp;RIGHT(VLOOKUP("*#"&amp;$AS170,$A$10:$I$24,E$9+1,FALSE),1)))</f>
        <v>-</v>
      </c>
      <c r="F170" s="440" t="str">
        <f t="shared" ref="F170:F188" si="90">IF($A170="*","",IF(VLOOKUP("*#"&amp;$AS170,$A$10:$I$24,F$9+1,FALSE)="-","-",C170&amp;"-"&amp;RIGHT(VLOOKUP("*#"&amp;$AS170,$A$10:$I$24,F$9+1,FALSE),1)))</f>
        <v>-</v>
      </c>
      <c r="G170" s="440" t="str">
        <f t="shared" ref="G170:G185" si="91">IF($A170="*","",VLOOKUP("*#"&amp;$AS170,$A$10:$I$20,G$9+1,FALSE))</f>
        <v>-</v>
      </c>
      <c r="H170" s="441" t="str">
        <f t="shared" ref="H170:H188" si="92">IF($A170="*","",VLOOKUP("*#"&amp;$AS170,$A$10:$I$24,H$9+1,FALSE))</f>
        <v>-</v>
      </c>
      <c r="I170" s="441">
        <f t="shared" ref="I170:I185" si="93">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8"/>
        <v>NCAP_AFA</v>
      </c>
      <c r="C171" s="440" t="str">
        <f ca="1">IF($A171="*","",OFFSET(ITEMS_UPS!$C$8,AR171,0))</f>
        <v>UREFOCRCO-N</v>
      </c>
      <c r="D171" s="440" t="str">
        <f ca="1">IF($A171="*","",IF(VLOOKUP("*#"&amp;$AS171,$A$10:$I$24,D$9+1,FALSE)="-","-",OFFSET(UPS!$C$37,AU171+AV171,SUMIF($A$10:$A$20,"*#"&amp;AS171,$AT$10:$AT$20))))</f>
        <v>-</v>
      </c>
      <c r="E171" s="440" t="str">
        <f t="shared" si="89"/>
        <v>-</v>
      </c>
      <c r="F171" s="440" t="str">
        <f t="shared" si="90"/>
        <v>-</v>
      </c>
      <c r="G171" s="440" t="str">
        <f t="shared" si="91"/>
        <v>ANNUAL</v>
      </c>
      <c r="H171" s="441" t="str">
        <f t="shared" si="92"/>
        <v>UP</v>
      </c>
      <c r="I171" s="441">
        <f t="shared" si="93"/>
        <v>3</v>
      </c>
      <c r="J171" s="163">
        <f ca="1">IF($A171="*","",OFFSET(UPS!$C$37,AU171,SUMIF($A$10:$A$20,"*#"&amp;AS171,$AT$10:$AT$20)))</f>
        <v>0.96</v>
      </c>
      <c r="K171" s="163"/>
      <c r="AR171" s="42">
        <f>AR170</f>
        <v>9</v>
      </c>
      <c r="AS171" s="42">
        <f t="shared" ref="AS171:AS176" si="94">IF(AR171=AR170,AS170+1,1)</f>
        <v>2</v>
      </c>
      <c r="AU171" s="42">
        <f ca="1">SUMIF(UPS!B$38:B$171,C171,UPS!BD$38:BD$171)</f>
        <v>77</v>
      </c>
    </row>
    <row r="172" spans="1:48">
      <c r="B172" s="440" t="str">
        <f t="shared" si="88"/>
        <v>NCAP_AFA</v>
      </c>
      <c r="C172" s="440" t="str">
        <f ca="1">IF($A172="*","",OFFSET(ITEMS_UPS!$C$8,AR172,0))</f>
        <v>UREFOCRCO-N</v>
      </c>
      <c r="D172" s="440" t="str">
        <f ca="1">IF($A172="*","",IF(VLOOKUP("*#"&amp;$AS172,$A$10:$I$24,D$9+1,FALSE)="-","-",OFFSET(UPS!$C$37,AU172+AV172,SUMIF($A$10:$A$20,"*#"&amp;AS172,$AT$10:$AT$20))))</f>
        <v>-</v>
      </c>
      <c r="E172" s="440" t="str">
        <f t="shared" si="89"/>
        <v>-</v>
      </c>
      <c r="F172" s="440" t="str">
        <f t="shared" si="90"/>
        <v>-</v>
      </c>
      <c r="G172" s="440" t="str">
        <f t="shared" si="91"/>
        <v>ANNUAL</v>
      </c>
      <c r="H172" s="441" t="str">
        <f t="shared" si="92"/>
        <v>LO</v>
      </c>
      <c r="I172" s="441">
        <f t="shared" si="93"/>
        <v>3</v>
      </c>
      <c r="J172" s="163" t="str">
        <f ca="1">IF($A172="*","",OFFSET(UPS!$C$37,AU172,SUMIF($A$10:$A$20,"*#"&amp;AS172,$AT$10:$AT$20)))</f>
        <v/>
      </c>
      <c r="K172" s="163"/>
      <c r="AR172" s="42">
        <f>AR171</f>
        <v>9</v>
      </c>
      <c r="AS172" s="42">
        <f t="shared" si="94"/>
        <v>3</v>
      </c>
      <c r="AU172" s="42">
        <f ca="1">SUMIF(UPS!B$38:B$171,C172,UPS!BD$38:BD$171)</f>
        <v>77</v>
      </c>
    </row>
    <row r="173" spans="1:48">
      <c r="B173" s="440" t="str">
        <f t="shared" si="88"/>
        <v>NCAP_FOM</v>
      </c>
      <c r="C173" s="440" t="str">
        <f ca="1">IF($A173="*","",OFFSET(ITEMS_UPS!$C$8,AR173,0))</f>
        <v>UREFOCRCO-N</v>
      </c>
      <c r="D173" s="440" t="str">
        <f ca="1">IF($A173="*","",IF(VLOOKUP("*#"&amp;$AS173,$A$10:$I$24,D$9+1,FALSE)="-","-",OFFSET(UPS!$C$37,AU173+AV173,SUMIF($A$10:$A$20,"*#"&amp;AS173,$AT$10:$AT$20))))</f>
        <v>-</v>
      </c>
      <c r="E173" s="440" t="str">
        <f t="shared" si="89"/>
        <v>-</v>
      </c>
      <c r="F173" s="440" t="str">
        <f t="shared" si="90"/>
        <v>-</v>
      </c>
      <c r="G173" s="440" t="str">
        <f t="shared" si="91"/>
        <v>-</v>
      </c>
      <c r="H173" s="441" t="str">
        <f t="shared" si="92"/>
        <v>-</v>
      </c>
      <c r="I173" s="441">
        <f t="shared" si="93"/>
        <v>0</v>
      </c>
      <c r="J173" s="163">
        <f ca="1">IF($A173="*","",OFFSET(UPS!$C$37,AU173,SUMIF($A$10:$A$20,"*#"&amp;AS173,$AT$10:$AT$20)))</f>
        <v>5.4964720430094216</v>
      </c>
      <c r="K173" s="163"/>
      <c r="AR173" s="42">
        <f>AR172</f>
        <v>9</v>
      </c>
      <c r="AS173" s="42">
        <f t="shared" si="94"/>
        <v>4</v>
      </c>
      <c r="AU173" s="42">
        <f ca="1">SUMIF(UPS!B$38:B$171,C173,UPS!BD$38:BD$171)</f>
        <v>77</v>
      </c>
    </row>
    <row r="174" spans="1:48">
      <c r="B174" s="440" t="str">
        <f t="shared" si="88"/>
        <v>NCAP_BND</v>
      </c>
      <c r="C174" s="440" t="str">
        <f ca="1">IF($A174="*","",OFFSET(ITEMS_UPS!$C$8,AR174,0))</f>
        <v>UREFOCRCO-N</v>
      </c>
      <c r="D174" s="440" t="str">
        <f ca="1">IF($A174="*","",IF(VLOOKUP("*#"&amp;$AS174,$A$10:$I$24,D$9+1,FALSE)="-","-",OFFSET(UPS!$C$37,AU174+AV174,SUMIF($A$10:$A$20,"*#"&amp;AS174,$AT$10:$AT$20))))</f>
        <v>-</v>
      </c>
      <c r="E174" s="440" t="str">
        <f t="shared" si="89"/>
        <v>-</v>
      </c>
      <c r="F174" s="440" t="str">
        <f t="shared" si="90"/>
        <v>-</v>
      </c>
      <c r="G174" s="440" t="str">
        <f t="shared" si="91"/>
        <v>-</v>
      </c>
      <c r="H174" s="1651" t="s">
        <v>1194</v>
      </c>
      <c r="I174" s="1651">
        <v>0</v>
      </c>
      <c r="J174" s="163" t="str">
        <f ca="1">IF($A174="*","",OFFSET(UPS!$C$37,AU174,SUMIF($A$10:$A$20,"*#"&amp;AS174,$AT$10:$AT$20)))</f>
        <v/>
      </c>
      <c r="K174" s="163"/>
      <c r="Z174" s="1044"/>
      <c r="AR174" s="42">
        <f>AR172</f>
        <v>9</v>
      </c>
      <c r="AS174" s="42">
        <f t="shared" si="94"/>
        <v>5</v>
      </c>
      <c r="AU174" s="42">
        <f ca="1">SUMIF(UPS!B$38:B$171,C174,UPS!BD$38:BD$171)</f>
        <v>77</v>
      </c>
    </row>
    <row r="175" spans="1:48">
      <c r="B175" s="440" t="str">
        <f t="shared" si="88"/>
        <v>FLO_FUNC</v>
      </c>
      <c r="C175" s="440" t="str">
        <f ca="1">IF($A175="*","",OFFSET(ITEMS_UPS!$C$8,AR175,0))</f>
        <v>UREFOCRCO-N</v>
      </c>
      <c r="D175" s="440" t="str">
        <f ca="1">IF($A175="*","",IF(VLOOKUP("*#"&amp;$AS175,$A$10:$I$24,D$9+1,FALSE)="-","-",OFFSET(UPS!$C$37,AU175+AV175,SUMIF($A$10:$A$20,"*#"&amp;AS175,$AT$10:$AT$20))))</f>
        <v>-</v>
      </c>
      <c r="E175" s="440" t="str">
        <f t="shared" ca="1" si="89"/>
        <v>UREFOCRCO-N-I</v>
      </c>
      <c r="F175" s="440" t="str">
        <f t="shared" ca="1" si="90"/>
        <v>UREFOCRCO-N-O</v>
      </c>
      <c r="G175" s="440" t="str">
        <f t="shared" si="91"/>
        <v>ANNUAL</v>
      </c>
      <c r="H175" s="441" t="str">
        <f t="shared" si="92"/>
        <v>-</v>
      </c>
      <c r="I175" s="441">
        <f t="shared" si="93"/>
        <v>0</v>
      </c>
      <c r="J175" s="163">
        <f ca="1">IF($A175="*","",OFFSET(UPS!$C$37,AU175,SUMIF($A$10:$A$20,"*#"&amp;AS175,$AT$10:$AT$20)))</f>
        <v>0.97</v>
      </c>
      <c r="K175" s="163"/>
      <c r="AR175" s="42">
        <f t="shared" ref="AR175:AR183" si="95">AR174</f>
        <v>9</v>
      </c>
      <c r="AS175" s="42">
        <f t="shared" si="94"/>
        <v>6</v>
      </c>
      <c r="AU175" s="42">
        <f ca="1">SUMIF(UPS!B$38:B$171,C175,UPS!BD$38:BD$171)</f>
        <v>77</v>
      </c>
    </row>
    <row r="176" spans="1:48">
      <c r="B176" s="440" t="str">
        <f t="shared" si="88"/>
        <v>FLO_SHAR</v>
      </c>
      <c r="C176" s="440" t="str">
        <f ca="1">IF($A176="*","",OFFSET(ITEMS_UPS!$C$8,AR176,0))</f>
        <v>UREFOCRCO-N</v>
      </c>
      <c r="D176" s="440" t="str">
        <f ca="1">IF($A176="*","",IF(VLOOKUP("*#"&amp;$AS176,$A$10:$I$24,D$9+1,FALSE)="-","-",OFFSET(UPS!$C$37,AU176+AV176,SUMIF($A$10:$A$20,"*#"&amp;AS176,$AT$10:$AT$20))))</f>
        <v>UPSOCR</v>
      </c>
      <c r="E176" s="440" t="str">
        <f t="shared" ca="1" si="89"/>
        <v>UREFOCRCO-N-I</v>
      </c>
      <c r="F176" s="440" t="str">
        <f t="shared" si="90"/>
        <v>-</v>
      </c>
      <c r="G176" s="440" t="str">
        <f t="shared" si="91"/>
        <v>ANNUAL</v>
      </c>
      <c r="H176" s="441" t="str">
        <f t="shared" si="92"/>
        <v>FX</v>
      </c>
      <c r="I176" s="441">
        <f t="shared" si="93"/>
        <v>3</v>
      </c>
      <c r="J176" s="163">
        <f ca="1">IF($A176="*","",OFFSET(UPS!$C$37,AU176+AV176,SUMIF($A$10:$A$20,"*#"&amp;AS176,$AV$10:$AV$20)))</f>
        <v>1</v>
      </c>
      <c r="K176" s="163"/>
      <c r="AR176" s="42">
        <f t="shared" si="95"/>
        <v>9</v>
      </c>
      <c r="AS176" s="42">
        <f t="shared" si="94"/>
        <v>7</v>
      </c>
      <c r="AU176" s="42">
        <f ca="1">SUMIF(UPS!B$38:B$171,C176,UPS!BD$38:BD$171)</f>
        <v>77</v>
      </c>
      <c r="AV176" s="42">
        <v>0</v>
      </c>
    </row>
    <row r="177" spans="1:48">
      <c r="B177" s="440" t="str">
        <f t="shared" si="88"/>
        <v>FLO_SHAR</v>
      </c>
      <c r="C177" s="440" t="str">
        <f ca="1">IF($A177="*","",OFFSET(ITEMS_UPS!$C$8,AR177,0))</f>
        <v>UREFOCRCO-N</v>
      </c>
      <c r="D177" s="440" t="str">
        <f ca="1">IF($A177="*","",IF(VLOOKUP("*#"&amp;$AS177,$A$10:$I$24,D$9+1,FALSE)="-","-",OFFSET(UPS!$C$37,AU177+AV177,SUMIF($A$10:$A$20,"*#"&amp;AS177,$AT$10:$AT$20))))</f>
        <v>UPSGIC</v>
      </c>
      <c r="E177" s="440" t="str">
        <f t="shared" ca="1" si="89"/>
        <v>UREFOCRCO-N-I</v>
      </c>
      <c r="F177" s="440" t="str">
        <f t="shared" si="90"/>
        <v>-</v>
      </c>
      <c r="G177" s="440" t="str">
        <f t="shared" si="91"/>
        <v>ANNUAL</v>
      </c>
      <c r="H177" s="441" t="str">
        <f t="shared" si="92"/>
        <v>FX</v>
      </c>
      <c r="I177" s="441">
        <f t="shared" si="93"/>
        <v>3</v>
      </c>
      <c r="J177" s="163">
        <f ca="1">IF($A177="*","",OFFSET(UPS!$C$37,AU177+AV177,SUMIF($A$10:$A$20,"*#"&amp;AS177,$AV$10:$AV$20)))</f>
        <v>0</v>
      </c>
      <c r="K177" s="163"/>
      <c r="AR177" s="42">
        <f t="shared" si="95"/>
        <v>9</v>
      </c>
      <c r="AS177" s="42">
        <f>AS176</f>
        <v>7</v>
      </c>
      <c r="AU177" s="42">
        <f ca="1">SUMIF(UPS!B$38:B$171,C177,UPS!BD$38:BD$171)</f>
        <v>77</v>
      </c>
      <c r="AV177" s="42">
        <f t="shared" ref="AV177:AV184" si="96">AV176+1</f>
        <v>1</v>
      </c>
    </row>
    <row r="178" spans="1:48">
      <c r="B178" s="440" t="str">
        <f t="shared" si="88"/>
        <v>FLO_SHAR</v>
      </c>
      <c r="C178" s="440" t="str">
        <f ca="1">IF($A178="*","",OFFSET(ITEMS_UPS!$C$8,AR178,0))</f>
        <v>UREFOCRCO-N</v>
      </c>
      <c r="D178" s="440" t="str">
        <f ca="1">IF($A178="*","",IF(VLOOKUP("*#"&amp;$AS178,$A$10:$I$24,D$9+1,FALSE)="-","-",OFFSET(UPS!$C$37,AU178+AV178,SUMIF($A$10:$A$20,"*#"&amp;AS178,$AT$10:$AT$20))))</f>
        <v>UPSELC</v>
      </c>
      <c r="E178" s="440" t="str">
        <f t="shared" ca="1" si="89"/>
        <v>UREFOCRCO-N-I</v>
      </c>
      <c r="F178" s="440" t="str">
        <f t="shared" si="90"/>
        <v>-</v>
      </c>
      <c r="G178" s="440" t="str">
        <f t="shared" si="91"/>
        <v>ANNUAL</v>
      </c>
      <c r="H178" s="441" t="str">
        <f t="shared" si="92"/>
        <v>FX</v>
      </c>
      <c r="I178" s="441">
        <f t="shared" si="93"/>
        <v>3</v>
      </c>
      <c r="J178" s="163">
        <f ca="1">IF($A178="*","",OFFSET(UPS!$C$37,AU178+AV178,SUMIF($A$10:$A$20,"*#"&amp;AS178,$AV$10:$AV$20)))</f>
        <v>0</v>
      </c>
      <c r="K178" s="163"/>
      <c r="AR178" s="42">
        <f t="shared" si="95"/>
        <v>9</v>
      </c>
      <c r="AS178" s="42">
        <v>7</v>
      </c>
      <c r="AU178" s="42">
        <f ca="1">SUMIF(UPS!B$38:B$171,C178,UPS!BD$38:BD$171)</f>
        <v>77</v>
      </c>
      <c r="AV178" s="42">
        <f t="shared" si="96"/>
        <v>2</v>
      </c>
    </row>
    <row r="179" spans="1:48">
      <c r="B179" s="440" t="str">
        <f t="shared" si="88"/>
        <v>FLO_SHAR</v>
      </c>
      <c r="C179" s="440" t="str">
        <f ca="1">IF($A179="*","",OFFSET(ITEMS_UPS!$C$8,AR179,0))</f>
        <v>UREFOCRCO-N</v>
      </c>
      <c r="D179" s="440" t="str">
        <f ca="1">IF($A179="*","",IF(VLOOKUP("*#"&amp;$AS179,$A$10:$I$24,D$9+1,FALSE)="-","-",OFFSET(UPS!$C$37,AU179+AV179,SUMIF($A$10:$A$20,"*#"&amp;AS179,$AT$10:$AT$20))))</f>
        <v>OAG</v>
      </c>
      <c r="E179" s="440" t="str">
        <f t="shared" ca="1" si="89"/>
        <v>UREFOCRCO-N-O</v>
      </c>
      <c r="F179" s="440" t="str">
        <f t="shared" si="90"/>
        <v>-</v>
      </c>
      <c r="G179" s="440" t="str">
        <f t="shared" si="91"/>
        <v>ANNUAL</v>
      </c>
      <c r="H179" s="441" t="str">
        <f t="shared" si="92"/>
        <v>UP</v>
      </c>
      <c r="I179" s="441">
        <f t="shared" si="93"/>
        <v>3</v>
      </c>
      <c r="J179" s="163">
        <f ca="1">IF($A179="*","",OFFSET(UPS!$C$37,AU179+AV179,SUMIF($A$10:$A$20,"*#"&amp;AS179,$AV$10:$AV$20)))</f>
        <v>0</v>
      </c>
      <c r="K179" s="163"/>
      <c r="AR179" s="42">
        <f t="shared" si="95"/>
        <v>9</v>
      </c>
      <c r="AS179" s="42">
        <v>8</v>
      </c>
      <c r="AU179" s="42">
        <f ca="1">SUMIF(UPS!B$38:B$171,C179,UPS!BD$38:BD$171)</f>
        <v>77</v>
      </c>
      <c r="AV179" s="42">
        <f t="shared" si="96"/>
        <v>3</v>
      </c>
    </row>
    <row r="180" spans="1:48">
      <c r="B180" s="440" t="str">
        <f t="shared" si="88"/>
        <v>FLO_SHAR</v>
      </c>
      <c r="C180" s="440" t="str">
        <f ca="1">IF($A180="*","",OFFSET(ITEMS_UPS!$C$8,AR180,0))</f>
        <v>UREFOCRCO-N</v>
      </c>
      <c r="D180" s="440" t="str">
        <f ca="1">IF($A180="*","",IF(VLOOKUP("*#"&amp;$AS180,$A$10:$I$24,D$9+1,FALSE)="-","-",OFFSET(UPS!$C$37,AU180+AV180,SUMIF($A$10:$A$20,"*#"&amp;AS180,$AT$10:$AT$20))))</f>
        <v>ODS</v>
      </c>
      <c r="E180" s="440" t="str">
        <f t="shared" ca="1" si="89"/>
        <v>UREFOCRCO-N-O</v>
      </c>
      <c r="F180" s="440" t="str">
        <f t="shared" si="90"/>
        <v>-</v>
      </c>
      <c r="G180" s="440" t="str">
        <f t="shared" si="91"/>
        <v>ANNUAL</v>
      </c>
      <c r="H180" s="441" t="str">
        <f t="shared" si="92"/>
        <v>UP</v>
      </c>
      <c r="I180" s="441">
        <f t="shared" si="93"/>
        <v>3</v>
      </c>
      <c r="J180" s="163">
        <f ca="1">IF($A180="*","",OFFSET(UPS!$C$37,AU180+AV180,SUMIF($A$10:$A$20,"*#"&amp;AS180,$AV$10:$AV$20)))</f>
        <v>0.36</v>
      </c>
      <c r="K180" s="163"/>
      <c r="AR180" s="42">
        <f t="shared" si="95"/>
        <v>9</v>
      </c>
      <c r="AS180" s="42">
        <f>AS179</f>
        <v>8</v>
      </c>
      <c r="AU180" s="42">
        <f ca="1">SUMIF(UPS!B$38:B$171,C180,UPS!BD$38:BD$171)</f>
        <v>77</v>
      </c>
      <c r="AV180" s="42">
        <f t="shared" si="96"/>
        <v>4</v>
      </c>
    </row>
    <row r="181" spans="1:48">
      <c r="B181" s="440" t="str">
        <f t="shared" si="88"/>
        <v>FLO_SHAR</v>
      </c>
      <c r="C181" s="440" t="str">
        <f ca="1">IF($A181="*","",OFFSET(ITEMS_UPS!$C$8,AR181,0))</f>
        <v>UREFOCRCO-N</v>
      </c>
      <c r="D181" s="440" t="str">
        <f ca="1">IF($A181="*","",IF(VLOOKUP("*#"&amp;$AS181,$A$10:$I$24,D$9+1,FALSE)="-","-",OFFSET(UPS!$C$37,AU181+AV181,SUMIF($A$10:$A$20,"*#"&amp;AS181,$AT$10:$AT$20))))</f>
        <v>OGS</v>
      </c>
      <c r="E181" s="440" t="str">
        <f t="shared" ca="1" si="89"/>
        <v>UREFOCRCO-N-O</v>
      </c>
      <c r="F181" s="440" t="str">
        <f t="shared" si="90"/>
        <v>-</v>
      </c>
      <c r="G181" s="440" t="str">
        <f t="shared" si="91"/>
        <v>ANNUAL</v>
      </c>
      <c r="H181" s="441" t="str">
        <f t="shared" si="92"/>
        <v>UP</v>
      </c>
      <c r="I181" s="441">
        <f t="shared" si="93"/>
        <v>3</v>
      </c>
      <c r="J181" s="163">
        <f ca="1">IF($A181="*","",OFFSET(UPS!$C$37,AU181+AV181,SUMIF($A$10:$A$20,"*#"&amp;AS181,$AV$10:$AV$20)))</f>
        <v>0.36</v>
      </c>
      <c r="K181" s="163"/>
      <c r="AR181" s="42">
        <f t="shared" si="95"/>
        <v>9</v>
      </c>
      <c r="AS181" s="42">
        <f>AS180</f>
        <v>8</v>
      </c>
      <c r="AU181" s="42">
        <f ca="1">SUMIF(UPS!B$38:B$171,C181,UPS!BD$38:BD$171)</f>
        <v>77</v>
      </c>
      <c r="AV181" s="42">
        <f t="shared" si="96"/>
        <v>5</v>
      </c>
    </row>
    <row r="182" spans="1:48">
      <c r="B182" s="440" t="str">
        <f t="shared" si="88"/>
        <v>FLO_SHAR</v>
      </c>
      <c r="C182" s="440" t="str">
        <f ca="1">IF($A182="*","",OFFSET(ITEMS_UPS!$C$8,AR182,0))</f>
        <v>UREFOCRCO-N</v>
      </c>
      <c r="D182" s="440" t="str">
        <f ca="1">IF($A182="*","",IF(VLOOKUP("*#"&amp;$AS182,$A$10:$I$24,D$9+1,FALSE)="-","-",OFFSET(UPS!$C$37,AU182+AV182,SUMIF($A$10:$A$20,"*#"&amp;AS182,$AT$10:$AT$20))))</f>
        <v>OHF</v>
      </c>
      <c r="E182" s="440" t="str">
        <f t="shared" ca="1" si="89"/>
        <v>UREFOCRCO-N-O</v>
      </c>
      <c r="F182" s="440" t="str">
        <f t="shared" si="90"/>
        <v>-</v>
      </c>
      <c r="G182" s="440" t="str">
        <f t="shared" si="91"/>
        <v>ANNUAL</v>
      </c>
      <c r="H182" s="441" t="str">
        <f t="shared" si="92"/>
        <v>UP</v>
      </c>
      <c r="I182" s="441">
        <f t="shared" si="93"/>
        <v>3</v>
      </c>
      <c r="J182" s="163">
        <f ca="1">IF($A182="*","",OFFSET(UPS!$C$37,AU182+AV182,SUMIF($A$10:$A$20,"*#"&amp;AS182,$AV$10:$AV$20)))</f>
        <v>0</v>
      </c>
      <c r="K182" s="163"/>
      <c r="AR182" s="42">
        <f t="shared" si="95"/>
        <v>9</v>
      </c>
      <c r="AS182" s="42">
        <f>AS181</f>
        <v>8</v>
      </c>
      <c r="AU182" s="42">
        <f ca="1">SUMIF(UPS!B$38:B$171,C182,UPS!BD$38:BD$171)</f>
        <v>77</v>
      </c>
      <c r="AV182" s="42">
        <f t="shared" si="96"/>
        <v>6</v>
      </c>
    </row>
    <row r="183" spans="1:48">
      <c r="B183" s="440" t="str">
        <f t="shared" si="88"/>
        <v>FLO_SHAR</v>
      </c>
      <c r="C183" s="440" t="str">
        <f ca="1">IF($A183="*","",OFFSET(ITEMS_UPS!$C$8,AR183,0))</f>
        <v>UREFOCRCO-N</v>
      </c>
      <c r="D183" s="440" t="str">
        <f ca="1">IF($A183="*","",IF(VLOOKUP("*#"&amp;$AS183,$A$10:$I$24,D$9+1,FALSE)="-","-",OFFSET(UPS!$C$37,AU183+AV183,SUMIF($A$10:$A$20,"*#"&amp;AS183,$AT$10:$AT$20))))</f>
        <v>OKE</v>
      </c>
      <c r="E183" s="440" t="str">
        <f t="shared" ca="1" si="89"/>
        <v>UREFOCRCO-N-O</v>
      </c>
      <c r="F183" s="440" t="str">
        <f t="shared" si="90"/>
        <v>-</v>
      </c>
      <c r="G183" s="440" t="str">
        <f t="shared" si="91"/>
        <v>ANNUAL</v>
      </c>
      <c r="H183" s="441" t="str">
        <f t="shared" si="92"/>
        <v>UP</v>
      </c>
      <c r="I183" s="441">
        <f t="shared" si="93"/>
        <v>3</v>
      </c>
      <c r="J183" s="163">
        <f ca="1">IF($A183="*","",OFFSET(UPS!$C$37,AU183+AV183,SUMIF($A$10:$A$20,"*#"&amp;AS183,$AV$10:$AV$20)))</f>
        <v>0.2</v>
      </c>
      <c r="K183" s="163"/>
      <c r="AR183" s="42">
        <f t="shared" si="95"/>
        <v>9</v>
      </c>
      <c r="AS183" s="42">
        <f>AS182</f>
        <v>8</v>
      </c>
      <c r="AU183" s="42">
        <f ca="1">SUMIF(UPS!B$38:B$171,C183,UPS!BD$38:BD$171)</f>
        <v>77</v>
      </c>
      <c r="AV183" s="42">
        <f t="shared" si="96"/>
        <v>7</v>
      </c>
    </row>
    <row r="184" spans="1:48">
      <c r="B184" s="440" t="str">
        <f t="shared" si="88"/>
        <v>FLO_EMIS</v>
      </c>
      <c r="C184" s="440" t="str">
        <f ca="1">IF($A184="*","",OFFSET(ITEMS_UPS!$C$8,AR184,0))</f>
        <v>UREFOCRCO-N</v>
      </c>
      <c r="D184" s="440" t="str">
        <f>$D$18</f>
        <v>UPSCO2S</v>
      </c>
      <c r="E184" s="440" t="str">
        <f t="shared" ca="1" si="89"/>
        <v>UREFOCRCO-N-O</v>
      </c>
      <c r="F184" s="440" t="str">
        <f t="shared" si="90"/>
        <v>-</v>
      </c>
      <c r="G184" s="440" t="str">
        <f t="shared" si="91"/>
        <v>ANNUAL</v>
      </c>
      <c r="H184" s="441" t="str">
        <f t="shared" si="92"/>
        <v>-</v>
      </c>
      <c r="I184" s="441">
        <f t="shared" si="93"/>
        <v>0</v>
      </c>
      <c r="J184" s="163">
        <f ca="1">IF($A184="*","",OFFSET(UPS!$C$37,AU184,SUMIF($A$10:$A$20,"*#"&amp;AS184,$AT$10:$AT$20)))</f>
        <v>4.2865158837537818</v>
      </c>
      <c r="K184" s="163"/>
      <c r="AR184" s="42">
        <f>AR182</f>
        <v>9</v>
      </c>
      <c r="AS184" s="42">
        <f>AS182+1</f>
        <v>9</v>
      </c>
      <c r="AU184" s="42">
        <f ca="1">SUMIF(UPS!B$38:B$171,C184,UPS!BD$38:BD$171)</f>
        <v>77</v>
      </c>
      <c r="AV184" s="42">
        <f t="shared" si="96"/>
        <v>8</v>
      </c>
    </row>
    <row r="185" spans="1:48">
      <c r="B185" s="440" t="str">
        <f t="shared" si="88"/>
        <v>FLO_EMIS</v>
      </c>
      <c r="C185" s="440" t="str">
        <f ca="1">IF($A185="*","",OFFSET(ITEMS_UPS!$C$8,AR185,0))</f>
        <v>UREFOCRCO-N</v>
      </c>
      <c r="D185" s="440" t="str">
        <f>$D$19</f>
        <v>UPSCH4S</v>
      </c>
      <c r="E185" s="440" t="str">
        <f t="shared" ca="1" si="89"/>
        <v>UREFOCRCO-N-O</v>
      </c>
      <c r="F185" s="440" t="str">
        <f t="shared" si="90"/>
        <v>-</v>
      </c>
      <c r="G185" s="440" t="str">
        <f t="shared" si="91"/>
        <v>ANNUAL</v>
      </c>
      <c r="H185" s="441" t="str">
        <f t="shared" si="92"/>
        <v>-</v>
      </c>
      <c r="I185" s="441">
        <f t="shared" si="93"/>
        <v>0</v>
      </c>
      <c r="J185" s="163">
        <f ca="1">IF($A185="*","",OFFSET(UPS!$C$37,AU185,SUMIF($A$10:$A$20,"*#"&amp;AS185,$AT$10:$AT$20)))</f>
        <v>0</v>
      </c>
      <c r="K185" s="163"/>
      <c r="AR185" s="42">
        <f>AR184</f>
        <v>9</v>
      </c>
      <c r="AS185" s="42">
        <f>AS184+1</f>
        <v>10</v>
      </c>
      <c r="AU185" s="42">
        <f ca="1">SUMIF(UPS!B$38:B$171,C185,UPS!BD$38:BD$171)</f>
        <v>77</v>
      </c>
    </row>
    <row r="186" spans="1:48">
      <c r="B186" s="440" t="str">
        <f t="shared" si="88"/>
        <v>NCAP_COST</v>
      </c>
      <c r="C186" s="440" t="str">
        <f ca="1">IF($A186="*","",OFFSET(ITEMS_UPS!$C$8,AR186,0))</f>
        <v>UREFOCRCO-N</v>
      </c>
      <c r="D186" s="440" t="str">
        <f ca="1">IF($A186="*","",IF(VLOOKUP("*#"&amp;$AS186,$A$10:$I$24,D$9+1,FALSE)="-","-",OFFSET(UPS!$C$37,AU186+AV186,SUMIF($A$10:$A$20,"*#"&amp;AS186,$AT$10:$AT$20))))</f>
        <v>-</v>
      </c>
      <c r="E186" s="440" t="str">
        <f t="shared" si="89"/>
        <v>-</v>
      </c>
      <c r="F186" s="440" t="str">
        <f t="shared" si="90"/>
        <v>-</v>
      </c>
      <c r="G186" s="440" t="str">
        <f>IF($A186="*","",VLOOKUP("*#"&amp;$AS186,$A$10:$I$24,G$9+1,FALSE))</f>
        <v>-</v>
      </c>
      <c r="H186" s="441" t="str">
        <f t="shared" si="92"/>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8"/>
        <v>NCAP_TLIFE</v>
      </c>
      <c r="C187" s="440" t="str">
        <f ca="1">IF($A187="*","",OFFSET(ITEMS_UPS!$C$8,AR187,0))</f>
        <v>UREFOCRCO-N</v>
      </c>
      <c r="D187" s="440" t="str">
        <f ca="1">IF($A187="*","",IF(VLOOKUP("*#"&amp;$AS187,$A$10:$I$24,D$9+1,FALSE)="-","-",OFFSET(UPS!$C$37,AU187+AV187,SUMIF($A$10:$A$20,"*#"&amp;AS187,$AT$10:$AT$20))))</f>
        <v>-</v>
      </c>
      <c r="E187" s="440" t="str">
        <f t="shared" si="89"/>
        <v>-</v>
      </c>
      <c r="F187" s="440" t="str">
        <f t="shared" si="90"/>
        <v>-</v>
      </c>
      <c r="G187" s="440" t="str">
        <f>IF($A187="*","",VLOOKUP("*#"&amp;$AS187,$A$10:$I$24,G$9+1,FALSE))</f>
        <v>-</v>
      </c>
      <c r="H187" s="441" t="str">
        <f t="shared" si="92"/>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8"/>
        <v>NCAP_ILED</v>
      </c>
      <c r="C188" s="440" t="str">
        <f ca="1">IF($A188="*","",OFFSET(ITEMS_UPS!$C$8,AR188,0))</f>
        <v>UREFOCRCO-N</v>
      </c>
      <c r="D188" s="440" t="str">
        <f ca="1">IF($A188="*","",IF(VLOOKUP("*#"&amp;$AS188,$A$10:$I$24,D$9+1,FALSE)="-","-",OFFSET(UPS!$C$37,AU188+AV188,SUMIF($A$10:$A$20,"*#"&amp;AS188,$AT$10:$AT$20))))</f>
        <v>-</v>
      </c>
      <c r="E188" s="440" t="str">
        <f t="shared" si="89"/>
        <v>-</v>
      </c>
      <c r="F188" s="440" t="str">
        <f t="shared" si="90"/>
        <v>-</v>
      </c>
      <c r="G188" s="440" t="str">
        <f>IF($A188="*","",VLOOKUP("*#"&amp;$AS188,$A$10:$I$24,G$9+1,FALSE))</f>
        <v>-</v>
      </c>
      <c r="H188" s="441" t="str">
        <f t="shared" si="92"/>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7">IF($A190="*","",IF(VLOOKUP("*"&amp;$AS190,$A$10:$I$24,F$9+1,FALSE)="-","-",C190&amp;"-"&amp;RIGHT(VLOOKUP("*"&amp;$AS190,$A$10:$I$24,F$9+1,FALSE),1)))</f>
        <v>-</v>
      </c>
      <c r="G190" s="440" t="s">
        <v>337</v>
      </c>
      <c r="H190" s="441" t="str">
        <f t="shared" ref="H190:H197" si="98">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7"/>
        <v>-</v>
      </c>
      <c r="G191" s="440" t="s">
        <v>337</v>
      </c>
      <c r="H191" s="441" t="str">
        <f t="shared" si="98"/>
        <v>-</v>
      </c>
      <c r="I191" s="500">
        <v>0</v>
      </c>
      <c r="J191" s="1115">
        <f>UPS!S173</f>
        <v>95.428011064048093</v>
      </c>
    </row>
    <row r="192" spans="1:48">
      <c r="B192" s="42" t="s">
        <v>357</v>
      </c>
      <c r="C192" s="42" t="str">
        <f>C191</f>
        <v>UHETCLE-E</v>
      </c>
      <c r="D192" s="42" t="str">
        <f>D185</f>
        <v>UPSCH4S</v>
      </c>
      <c r="E192" s="440" t="s">
        <v>360</v>
      </c>
      <c r="F192" s="440" t="str">
        <f t="shared" si="97"/>
        <v>-</v>
      </c>
      <c r="G192" s="440" t="s">
        <v>337</v>
      </c>
      <c r="H192" s="441" t="str">
        <f t="shared" si="98"/>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7"/>
        <v>-</v>
      </c>
      <c r="G193" s="440" t="s">
        <v>337</v>
      </c>
      <c r="H193" s="441" t="str">
        <f t="shared" si="98"/>
        <v>-</v>
      </c>
      <c r="I193" s="500">
        <v>0</v>
      </c>
      <c r="J193" s="499">
        <f>UPS!G174</f>
        <v>0.9009790909462162</v>
      </c>
    </row>
    <row r="194" spans="1:47">
      <c r="B194" s="42" t="s">
        <v>357</v>
      </c>
      <c r="C194" s="42" t="str">
        <f>C193</f>
        <v>UHETCLE-N</v>
      </c>
      <c r="D194" s="42" t="str">
        <f>D191</f>
        <v>UPSCO2S</v>
      </c>
      <c r="E194" s="440" t="s">
        <v>360</v>
      </c>
      <c r="F194" s="440" t="str">
        <f t="shared" si="97"/>
        <v>-</v>
      </c>
      <c r="G194" s="440" t="s">
        <v>337</v>
      </c>
      <c r="H194" s="441" t="str">
        <f t="shared" si="98"/>
        <v>-</v>
      </c>
      <c r="I194" s="500">
        <v>0</v>
      </c>
      <c r="J194" s="1115">
        <f>UPS!S174</f>
        <v>90.132216077072925</v>
      </c>
    </row>
    <row r="195" spans="1:47">
      <c r="B195" s="42" t="s">
        <v>357</v>
      </c>
      <c r="C195" s="42" t="str">
        <f>C194</f>
        <v>UHETCLE-N</v>
      </c>
      <c r="D195" s="42" t="str">
        <f>D192</f>
        <v>UPSCH4S</v>
      </c>
      <c r="E195" s="440" t="s">
        <v>360</v>
      </c>
      <c r="F195" s="440" t="str">
        <f t="shared" si="97"/>
        <v>-</v>
      </c>
      <c r="G195" s="440" t="s">
        <v>337</v>
      </c>
      <c r="H195" s="441" t="str">
        <f t="shared" si="98"/>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7"/>
        <v>-</v>
      </c>
      <c r="G197" s="440" t="s">
        <v>337</v>
      </c>
      <c r="H197" s="441" t="str">
        <f t="shared" si="98"/>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9">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100">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9"/>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100"/>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9"/>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100"/>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9"/>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100"/>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9"/>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100"/>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9"/>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100"/>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1">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2">IF($A207="*","",VLOOKUP("*#"&amp;$AS207,$A$10:$I$24,H$9+1,FALSE))</f>
        <v>UP</v>
      </c>
      <c r="I207" s="441">
        <f>IF($A207="*","",VLOOKUP("*#"&amp;$AS207,$A$10:$I$20,I$9+1,FALSE))</f>
        <v>3</v>
      </c>
      <c r="J207" s="163">
        <f ca="1">IF($A207="*","",OFFSET(UPS!$C$37,AU207,SUMIF($A$10:$A$20,"*#"&amp;AS207,$AT$10:$AT$20)))</f>
        <v>0.9</v>
      </c>
      <c r="K207" s="163"/>
      <c r="AR207" s="42">
        <f>AR205+1</f>
        <v>2</v>
      </c>
      <c r="AS207" s="42">
        <f t="shared" ref="AS207:AS212" si="103">AS200</f>
        <v>2</v>
      </c>
      <c r="AU207" s="42">
        <f ca="1">SUMIF(UPS!B$38:B$171,C207,UPS!BD$38:BD$171)</f>
        <v>91</v>
      </c>
    </row>
    <row r="208" spans="1:47">
      <c r="B208" s="440" t="str">
        <f t="shared" si="101"/>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2"/>
        <v>LO</v>
      </c>
      <c r="I208" s="441">
        <f>IF($A208="*","",VLOOKUP("*#"&amp;$AS208,$A$10:$I$24,I$9+1,FALSE))</f>
        <v>3</v>
      </c>
      <c r="J208" s="163">
        <f ca="1">IF($A208="*","",OFFSET(UPS!$C$37,AU208,SUMIF($A$10:$A$24,"*#"&amp;AS208,$AT$10:$AT$24)))</f>
        <v>0.5</v>
      </c>
      <c r="K208" s="163"/>
      <c r="AR208" s="42">
        <f>AR207</f>
        <v>2</v>
      </c>
      <c r="AS208" s="42">
        <f t="shared" si="103"/>
        <v>3</v>
      </c>
      <c r="AU208" s="42">
        <f ca="1">SUMIF(UPS!B$38:B$171,C208,UPS!BD$38:BD$171)</f>
        <v>91</v>
      </c>
    </row>
    <row r="209" spans="1:47">
      <c r="B209" s="440" t="str">
        <f t="shared" si="101"/>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2"/>
        <v>-</v>
      </c>
      <c r="I209" s="441">
        <f>IF($A209="*","",VLOOKUP("*#"&amp;$AS209,$A$10:$I$24,I$9+1,FALSE))</f>
        <v>0</v>
      </c>
      <c r="J209" s="163">
        <f ca="1">IF($A209="*","",OFFSET(UPS!$C$37,AU209,SUMIF($A$10:$A$24,"*#"&amp;AS209,$AT$10:$AT$24)))</f>
        <v>0.95899999999999996</v>
      </c>
      <c r="K209" s="163"/>
      <c r="AR209" s="42">
        <f>AR208</f>
        <v>2</v>
      </c>
      <c r="AS209" s="42">
        <f t="shared" si="103"/>
        <v>15</v>
      </c>
      <c r="AU209" s="42">
        <f ca="1">AU207</f>
        <v>91</v>
      </c>
    </row>
    <row r="210" spans="1:47">
      <c r="B210" s="440" t="str">
        <f t="shared" si="101"/>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2"/>
        <v>-</v>
      </c>
      <c r="I210" s="441">
        <f>IF($A210="*","",VLOOKUP("*#"&amp;$AS210,$A$10:$I$24,I$9+1,FALSE))</f>
        <v>0</v>
      </c>
      <c r="J210" s="163">
        <f ca="1">IF($A210="*","",OFFSET(UPS!$C$37,AU210,SUMIF($A$10:$A$24,"*#"&amp;AS210,$AT$10:$AT$24)))</f>
        <v>239.70848957012083</v>
      </c>
      <c r="AR210" s="42">
        <f>AR209</f>
        <v>2</v>
      </c>
      <c r="AS210" s="42">
        <f t="shared" si="103"/>
        <v>12</v>
      </c>
      <c r="AU210" s="42">
        <f ca="1">AU209</f>
        <v>91</v>
      </c>
    </row>
    <row r="211" spans="1:47">
      <c r="B211" s="440" t="str">
        <f t="shared" si="101"/>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2"/>
        <v>-</v>
      </c>
      <c r="I211" s="441">
        <f>IF($A211="*","",VLOOKUP("*#"&amp;$AS211,$A$10:$I$24,I$9+1,FALSE))</f>
        <v>0</v>
      </c>
      <c r="J211" s="163">
        <f ca="1">IF($A211="*","",OFFSET(UPS!$C$37,AU211,SUMIF($A$10:$A$24,"*#"&amp;AS211,$AT$10:$AT$24)))</f>
        <v>80</v>
      </c>
      <c r="AR211" s="42">
        <f>AR210</f>
        <v>2</v>
      </c>
      <c r="AS211" s="42">
        <f t="shared" si="103"/>
        <v>13</v>
      </c>
      <c r="AU211" s="42">
        <f ca="1">AU210</f>
        <v>91</v>
      </c>
    </row>
    <row r="212" spans="1:47">
      <c r="B212" s="440" t="str">
        <f t="shared" si="101"/>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2"/>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3"/>
        <v>14</v>
      </c>
      <c r="AU212" s="42">
        <f ca="1">AU211</f>
        <v>91</v>
      </c>
    </row>
    <row r="213" spans="1:47">
      <c r="A213" s="42" t="s">
        <v>310</v>
      </c>
    </row>
    <row r="214" spans="1:47">
      <c r="B214" s="440" t="str">
        <f t="shared" ref="B214:B219" si="104">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5">IF($A214="*","",VLOOKUP("*#"&amp;$AS214,$A$10:$I$24,H$9+1,FALSE))</f>
        <v>UP</v>
      </c>
      <c r="I214" s="441">
        <f>IF($A214="*","",VLOOKUP("*#"&amp;$AS214,$A$10:$I$20,I$9+1,FALSE))</f>
        <v>3</v>
      </c>
      <c r="J214" s="163">
        <f ca="1">IF($A214="*","",OFFSET(UPS!$C$37,AU214,SUMIF($A$10:$A$20,"*#"&amp;AS214,$AT$10:$AT$20)))</f>
        <v>0.9</v>
      </c>
      <c r="K214" s="163"/>
      <c r="AR214" s="42">
        <f>AR212+1</f>
        <v>3</v>
      </c>
      <c r="AS214" s="42">
        <f t="shared" ref="AS214:AS219" si="106">AS207</f>
        <v>2</v>
      </c>
      <c r="AU214" s="42">
        <f ca="1">SUMIF(UPS!B$38:B$171,C214,UPS!BD$38:BD$171)</f>
        <v>94</v>
      </c>
    </row>
    <row r="215" spans="1:47">
      <c r="B215" s="440" t="str">
        <f t="shared" si="104"/>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5"/>
        <v>LO</v>
      </c>
      <c r="I215" s="441">
        <f>IF($A215="*","",VLOOKUP("*#"&amp;$AS215,$A$10:$I$24,I$9+1,FALSE))</f>
        <v>3</v>
      </c>
      <c r="J215" s="163">
        <f ca="1">IF($A215="*","",OFFSET(UPS!$C$37,AU215,SUMIF($A$10:$A$24,"*#"&amp;AS215,$AT$10:$AT$24)))</f>
        <v>0.5</v>
      </c>
      <c r="K215" s="163"/>
      <c r="AR215" s="42">
        <f>AR214</f>
        <v>3</v>
      </c>
      <c r="AS215" s="42">
        <f t="shared" si="106"/>
        <v>3</v>
      </c>
      <c r="AU215" s="42">
        <f ca="1">SUMIF(UPS!B$38:B$171,C215,UPS!BD$38:BD$171)</f>
        <v>94</v>
      </c>
    </row>
    <row r="216" spans="1:47">
      <c r="B216" s="440" t="str">
        <f t="shared" si="104"/>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5"/>
        <v>-</v>
      </c>
      <c r="I216" s="441">
        <f>IF($A216="*","",VLOOKUP("*#"&amp;$AS216,$A$10:$I$24,I$9+1,FALSE))</f>
        <v>0</v>
      </c>
      <c r="J216" s="163">
        <f ca="1">IF($A216="*","",OFFSET(UPS!$C$37,AU216,SUMIF($A$10:$A$24,"*#"&amp;AS216,$AT$10:$AT$24)))</f>
        <v>0.95899999999999996</v>
      </c>
      <c r="K216" s="163"/>
      <c r="AR216" s="42">
        <f>AR215</f>
        <v>3</v>
      </c>
      <c r="AS216" s="42">
        <f t="shared" si="106"/>
        <v>15</v>
      </c>
      <c r="AU216" s="42">
        <f ca="1">AU214</f>
        <v>94</v>
      </c>
    </row>
    <row r="217" spans="1:47">
      <c r="B217" s="440" t="str">
        <f t="shared" si="104"/>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5"/>
        <v>-</v>
      </c>
      <c r="I217" s="441">
        <f>IF($A217="*","",VLOOKUP("*#"&amp;$AS217,$A$10:$I$24,I$9+1,FALSE))</f>
        <v>0</v>
      </c>
      <c r="J217" s="163">
        <f ca="1">IF($A217="*","",OFFSET(UPS!$C$37,AU217,SUMIF($A$10:$A$24,"*#"&amp;AS217,$AT$10:$AT$24)))</f>
        <v>1198.5424478506043</v>
      </c>
      <c r="AR217" s="42">
        <f>AR216</f>
        <v>3</v>
      </c>
      <c r="AS217" s="42">
        <f t="shared" si="106"/>
        <v>12</v>
      </c>
      <c r="AU217" s="42">
        <f ca="1">AU216</f>
        <v>94</v>
      </c>
    </row>
    <row r="218" spans="1:47">
      <c r="B218" s="440" t="str">
        <f t="shared" si="104"/>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5"/>
        <v>-</v>
      </c>
      <c r="I218" s="441">
        <f>IF($A218="*","",VLOOKUP("*#"&amp;$AS218,$A$10:$I$24,I$9+1,FALSE))</f>
        <v>0</v>
      </c>
      <c r="J218" s="163">
        <f ca="1">IF($A218="*","",OFFSET(UPS!$C$37,AU218,SUMIF($A$10:$A$24,"*#"&amp;AS218,$AT$10:$AT$24)))</f>
        <v>80</v>
      </c>
      <c r="AR218" s="42">
        <f>AR217</f>
        <v>3</v>
      </c>
      <c r="AS218" s="42">
        <f t="shared" si="106"/>
        <v>13</v>
      </c>
      <c r="AU218" s="42">
        <f ca="1">AU217</f>
        <v>94</v>
      </c>
    </row>
    <row r="219" spans="1:47">
      <c r="B219" s="440" t="str">
        <f t="shared" si="104"/>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5"/>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6"/>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7">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7"/>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7"/>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7"/>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7"/>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7"/>
        <v>14</v>
      </c>
      <c r="AU226" s="39">
        <f ca="1">AU225</f>
        <v>97</v>
      </c>
    </row>
    <row r="227" spans="1:47">
      <c r="A227" s="42" t="s">
        <v>310</v>
      </c>
      <c r="C227" s="440" t="str">
        <f ca="1">IF($A227="*","",OFFSET(ITEMS_UPS!$C$22,AR227,0))</f>
        <v/>
      </c>
    </row>
    <row r="228" spans="1:47">
      <c r="B228" s="440" t="str">
        <f t="shared" ref="B228:B233" si="108">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9">IF($A228="*","",VLOOKUP("*#"&amp;$AS228,$A$10:$I$24,H$9+1,FALSE))</f>
        <v>UP</v>
      </c>
      <c r="I228" s="441">
        <f>IF($A228="*","",VLOOKUP("*#"&amp;$AS228,$A$10:$I$20,I$9+1,FALSE))</f>
        <v>3</v>
      </c>
      <c r="J228" s="163">
        <f ca="1">IF($A228="*","",OFFSET(UPS!$C$37,AU228,SUMIF($A$10:$A$20,"*#"&amp;AS228,$AT$10:$AT$20)))</f>
        <v>0.9</v>
      </c>
      <c r="K228" s="163"/>
      <c r="AR228" s="42">
        <f>AR226+1</f>
        <v>5</v>
      </c>
      <c r="AS228" s="42">
        <f t="shared" ref="AS228:AS233" si="110">AS221</f>
        <v>2</v>
      </c>
      <c r="AU228" s="42">
        <f ca="1">SUMIF(UPS!B$38:B$171,C228,UPS!BD$38:BD$171)</f>
        <v>100</v>
      </c>
    </row>
    <row r="229" spans="1:47">
      <c r="B229" s="440" t="str">
        <f t="shared" si="108"/>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9"/>
        <v>LO</v>
      </c>
      <c r="I229" s="441">
        <f>IF($A229="*","",VLOOKUP("*#"&amp;$AS229,$A$10:$I$24,I$9+1,FALSE))</f>
        <v>3</v>
      </c>
      <c r="J229" s="163">
        <f ca="1">IF($A229="*","",OFFSET(UPS!$C$37,AU229,SUMIF($A$10:$A$24,"*#"&amp;AS229,$AT$10:$AT$24)))</f>
        <v>0.5</v>
      </c>
      <c r="K229" s="163"/>
      <c r="AR229" s="42">
        <f>AR228</f>
        <v>5</v>
      </c>
      <c r="AS229" s="42">
        <f t="shared" si="110"/>
        <v>3</v>
      </c>
      <c r="AU229" s="42">
        <f ca="1">SUMIF(UPS!B$38:B$171,C229,UPS!BD$38:BD$171)</f>
        <v>100</v>
      </c>
    </row>
    <row r="230" spans="1:47">
      <c r="B230" s="440" t="str">
        <f t="shared" si="108"/>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9"/>
        <v>-</v>
      </c>
      <c r="I230" s="441">
        <f>IF($A230="*","",VLOOKUP("*#"&amp;$AS230,$A$10:$I$24,I$9+1,FALSE))</f>
        <v>0</v>
      </c>
      <c r="J230" s="163">
        <f ca="1">IF($A230="*","",OFFSET(UPS!$C$37,AU230,SUMIF($A$10:$A$24,"*#"&amp;AS230,$AT$10:$AT$24)))</f>
        <v>0.95899999999999996</v>
      </c>
      <c r="K230" s="163"/>
      <c r="AR230" s="42">
        <f>AR229</f>
        <v>5</v>
      </c>
      <c r="AS230" s="42">
        <f t="shared" si="110"/>
        <v>15</v>
      </c>
      <c r="AU230" s="42">
        <f ca="1">AU228</f>
        <v>100</v>
      </c>
    </row>
    <row r="231" spans="1:47">
      <c r="B231" s="440" t="str">
        <f t="shared" si="108"/>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9"/>
        <v>-</v>
      </c>
      <c r="I231" s="441">
        <f>IF($A231="*","",VLOOKUP("*#"&amp;$AS231,$A$10:$I$24,I$9+1,FALSE))</f>
        <v>0</v>
      </c>
      <c r="J231" s="163">
        <f ca="1">IF($A231="*","",OFFSET(UPS!$C$37,AU231,SUMIF($A$10:$A$24,"*#"&amp;AS231,$AT$10:$AT$24)))</f>
        <v>239.70848957012083</v>
      </c>
      <c r="AR231" s="42">
        <f>AR230</f>
        <v>5</v>
      </c>
      <c r="AS231" s="42">
        <f t="shared" si="110"/>
        <v>12</v>
      </c>
      <c r="AU231" s="42">
        <f ca="1">AU230</f>
        <v>100</v>
      </c>
    </row>
    <row r="232" spans="1:47">
      <c r="B232" s="440" t="str">
        <f t="shared" si="108"/>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9"/>
        <v>-</v>
      </c>
      <c r="I232" s="441">
        <f>IF($A232="*","",VLOOKUP("*#"&amp;$AS232,$A$10:$I$24,I$9+1,FALSE))</f>
        <v>0</v>
      </c>
      <c r="J232" s="163">
        <f ca="1">IF($A232="*","",OFFSET(UPS!$C$37,AU232,SUMIF($A$10:$A$24,"*#"&amp;AS232,$AT$10:$AT$24)))</f>
        <v>80</v>
      </c>
      <c r="AR232" s="42">
        <f>AR231</f>
        <v>5</v>
      </c>
      <c r="AS232" s="42">
        <f t="shared" si="110"/>
        <v>13</v>
      </c>
      <c r="AU232" s="42">
        <f ca="1">AU231</f>
        <v>100</v>
      </c>
    </row>
    <row r="233" spans="1:47">
      <c r="B233" s="440" t="str">
        <f t="shared" si="108"/>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9"/>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10"/>
        <v>14</v>
      </c>
      <c r="AU233" s="42">
        <f ca="1">AU232</f>
        <v>100</v>
      </c>
    </row>
    <row r="234" spans="1:47">
      <c r="A234" s="42" t="s">
        <v>310</v>
      </c>
      <c r="C234" s="440" t="str">
        <f ca="1">IF($A234="*","",OFFSET(ITEMS_UPS!$C$22,AR234,0))</f>
        <v/>
      </c>
    </row>
    <row r="235" spans="1:47">
      <c r="B235" s="440" t="str">
        <f t="shared" ref="B235:B240" si="111">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2">IF($A235="*","",VLOOKUP("*#"&amp;$AS235,$A$10:$I$24,H$9+1,FALSE))</f>
        <v>UP</v>
      </c>
      <c r="I235" s="441">
        <f>IF($A235="*","",VLOOKUP("*#"&amp;$AS235,$A$10:$I$20,I$9+1,FALSE))</f>
        <v>3</v>
      </c>
      <c r="J235" s="163">
        <f ca="1">IF($A235="*","",OFFSET(UPS!$C$37,AU235,SUMIF($A$10:$A$20,"*#"&amp;AS235,$AT$10:$AT$20)))</f>
        <v>0.9</v>
      </c>
      <c r="K235" s="163"/>
      <c r="AR235" s="42">
        <f>AR233+1</f>
        <v>6</v>
      </c>
      <c r="AS235" s="42">
        <f t="shared" ref="AS235:AS240" si="113">AS228</f>
        <v>2</v>
      </c>
      <c r="AU235" s="42">
        <f ca="1">SUMIF(UPS!B$38:B$171,C235,UPS!BD$38:BD$171)</f>
        <v>103</v>
      </c>
    </row>
    <row r="236" spans="1:47">
      <c r="B236" s="440" t="str">
        <f t="shared" si="111"/>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2"/>
        <v>LO</v>
      </c>
      <c r="I236" s="441">
        <f>IF($A236="*","",VLOOKUP("*#"&amp;$AS236,$A$10:$I$24,I$9+1,FALSE))</f>
        <v>3</v>
      </c>
      <c r="J236" s="163">
        <f ca="1">IF($A236="*","",OFFSET(UPS!$C$37,AU236,SUMIF($A$10:$A$24,"*#"&amp;AS236,$AT$10:$AT$24)))</f>
        <v>0.05</v>
      </c>
      <c r="K236" s="163"/>
      <c r="AR236" s="42">
        <f>AR235</f>
        <v>6</v>
      </c>
      <c r="AS236" s="42">
        <f t="shared" si="113"/>
        <v>3</v>
      </c>
      <c r="AU236" s="42">
        <f ca="1">SUMIF(UPS!B$38:B$171,C236,UPS!BD$38:BD$171)</f>
        <v>103</v>
      </c>
    </row>
    <row r="237" spans="1:47">
      <c r="B237" s="440" t="str">
        <f t="shared" si="111"/>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2"/>
        <v>-</v>
      </c>
      <c r="I237" s="441">
        <f>IF($A237="*","",VLOOKUP("*#"&amp;$AS237,$A$10:$I$24,I$9+1,FALSE))</f>
        <v>0</v>
      </c>
      <c r="J237" s="163">
        <f ca="1">IF($A237="*","",OFFSET(UPS!$C$37,AU237,SUMIF($A$10:$A$24,"*#"&amp;AS237,$AT$10:$AT$24)))</f>
        <v>0.95899999999999996</v>
      </c>
      <c r="K237" s="163"/>
      <c r="AR237" s="42">
        <f>AR236</f>
        <v>6</v>
      </c>
      <c r="AS237" s="42">
        <f t="shared" si="113"/>
        <v>15</v>
      </c>
      <c r="AU237" s="42">
        <f ca="1">AU235</f>
        <v>103</v>
      </c>
    </row>
    <row r="238" spans="1:47">
      <c r="B238" s="440" t="str">
        <f t="shared" si="111"/>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2"/>
        <v>-</v>
      </c>
      <c r="I238" s="441">
        <f>IF($A238="*","",VLOOKUP("*#"&amp;$AS238,$A$10:$I$24,I$9+1,FALSE))</f>
        <v>0</v>
      </c>
      <c r="J238" s="163">
        <f ca="1">IF($A238="*","",OFFSET(UPS!$C$37,AU238,SUMIF($A$10:$A$24,"*#"&amp;AS238,$AT$10:$AT$24)))</f>
        <v>69.134925781250004</v>
      </c>
      <c r="AR238" s="42">
        <f>AR237</f>
        <v>6</v>
      </c>
      <c r="AS238" s="42">
        <f t="shared" si="113"/>
        <v>12</v>
      </c>
      <c r="AU238" s="42">
        <f ca="1">AU237</f>
        <v>103</v>
      </c>
    </row>
    <row r="239" spans="1:47">
      <c r="B239" s="440" t="str">
        <f t="shared" si="111"/>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2"/>
        <v>-</v>
      </c>
      <c r="I239" s="441">
        <f>IF($A239="*","",VLOOKUP("*#"&amp;$AS239,$A$10:$I$24,I$9+1,FALSE))</f>
        <v>0</v>
      </c>
      <c r="J239" s="163">
        <f ca="1">IF($A239="*","",OFFSET(UPS!$C$37,AU239,SUMIF($A$10:$A$24,"*#"&amp;AS239,$AT$10:$AT$24)))</f>
        <v>30</v>
      </c>
      <c r="AR239" s="42">
        <f>AR238</f>
        <v>6</v>
      </c>
      <c r="AS239" s="42">
        <f t="shared" si="113"/>
        <v>13</v>
      </c>
      <c r="AU239" s="42">
        <f ca="1">AU238</f>
        <v>103</v>
      </c>
    </row>
    <row r="240" spans="1:47">
      <c r="B240" s="440" t="str">
        <f t="shared" si="111"/>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2"/>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3"/>
        <v>14</v>
      </c>
      <c r="AU240" s="42">
        <f ca="1">AU239</f>
        <v>103</v>
      </c>
    </row>
    <row r="241" spans="1:48">
      <c r="A241" s="42" t="s">
        <v>310</v>
      </c>
      <c r="C241" s="440" t="str">
        <f ca="1">IF($A241="*","",OFFSET(ITEMS_UPS!$C$22,AR241,0))</f>
        <v/>
      </c>
    </row>
    <row r="242" spans="1:48">
      <c r="B242" s="440" t="str">
        <f t="shared" ref="B242:B247" si="114">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5">IF($A242="*","",VLOOKUP("*#"&amp;$AS242,$A$10:$I$24,H$9+1,FALSE))</f>
        <v>UP</v>
      </c>
      <c r="I242" s="441">
        <f>IF($A242="*","",VLOOKUP("*#"&amp;$AS242,$A$10:$I$20,I$9+1,FALSE))</f>
        <v>3</v>
      </c>
      <c r="J242" s="163">
        <f ca="1">IF($A242="*","",OFFSET(UPS!$C$37,AU242,SUMIF($A$10:$A$20,"*#"&amp;AS242,$AT$10:$AT$20)))</f>
        <v>0.9</v>
      </c>
      <c r="K242" s="163"/>
      <c r="AR242" s="42">
        <f>AR240+1</f>
        <v>7</v>
      </c>
      <c r="AS242" s="42">
        <f t="shared" ref="AS242:AS247" si="116">AS235</f>
        <v>2</v>
      </c>
      <c r="AU242" s="42">
        <f ca="1">SUMIF(UPS!B$38:B$171,C242,UPS!BD$38:BD$171)</f>
        <v>106</v>
      </c>
    </row>
    <row r="243" spans="1:48">
      <c r="B243" s="440" t="str">
        <f t="shared" si="114"/>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5"/>
        <v>LO</v>
      </c>
      <c r="I243" s="441">
        <f>IF($A243="*","",VLOOKUP("*#"&amp;$AS243,$A$10:$I$24,I$9+1,FALSE))</f>
        <v>3</v>
      </c>
      <c r="J243" s="163">
        <f ca="1">IF($A243="*","",OFFSET(UPS!$C$37,AU243,SUMIF($A$10:$A$24,"*#"&amp;AS243,$AT$10:$AT$24)))</f>
        <v>0.05</v>
      </c>
      <c r="K243" s="163"/>
      <c r="AR243" s="42">
        <f>AR242</f>
        <v>7</v>
      </c>
      <c r="AS243" s="42">
        <f t="shared" si="116"/>
        <v>3</v>
      </c>
      <c r="AU243" s="42">
        <f ca="1">SUMIF(UPS!B$38:B$171,C243,UPS!BD$38:BD$171)</f>
        <v>106</v>
      </c>
    </row>
    <row r="244" spans="1:48">
      <c r="B244" s="440" t="str">
        <f t="shared" si="114"/>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5"/>
        <v>-</v>
      </c>
      <c r="I244" s="441">
        <f>IF($A244="*","",VLOOKUP("*#"&amp;$AS244,$A$10:$I$24,I$9+1,FALSE))</f>
        <v>0</v>
      </c>
      <c r="J244" s="163">
        <f ca="1">IF($A244="*","",OFFSET(UPS!$C$37,AU244,SUMIF($A$10:$A$24,"*#"&amp;AS244,$AT$10:$AT$24)))</f>
        <v>0.95899999999999996</v>
      </c>
      <c r="K244" s="163"/>
      <c r="AR244" s="42">
        <f>AR243</f>
        <v>7</v>
      </c>
      <c r="AS244" s="42">
        <f t="shared" si="116"/>
        <v>15</v>
      </c>
      <c r="AU244" s="42">
        <f ca="1">AU242</f>
        <v>106</v>
      </c>
    </row>
    <row r="245" spans="1:48">
      <c r="B245" s="440" t="str">
        <f t="shared" si="114"/>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5"/>
        <v>-</v>
      </c>
      <c r="I245" s="441">
        <f>IF($A245="*","",VLOOKUP("*#"&amp;$AS245,$A$10:$I$24,I$9+1,FALSE))</f>
        <v>0</v>
      </c>
      <c r="J245" s="163">
        <f ca="1">IF($A245="*","",OFFSET(UPS!$C$37,AU245,SUMIF($A$10:$A$24,"*#"&amp;AS245,$AT$10:$AT$24)))</f>
        <v>92.820735398860336</v>
      </c>
      <c r="AR245" s="42">
        <f>AR244</f>
        <v>7</v>
      </c>
      <c r="AS245" s="42">
        <f t="shared" si="116"/>
        <v>12</v>
      </c>
      <c r="AU245" s="42">
        <f ca="1">AU244</f>
        <v>106</v>
      </c>
    </row>
    <row r="246" spans="1:48">
      <c r="B246" s="440" t="str">
        <f t="shared" si="114"/>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5"/>
        <v>-</v>
      </c>
      <c r="I246" s="441">
        <f>IF($A246="*","",VLOOKUP("*#"&amp;$AS246,$A$10:$I$24,I$9+1,FALSE))</f>
        <v>0</v>
      </c>
      <c r="J246" s="163">
        <f ca="1">IF($A246="*","",OFFSET(UPS!$C$37,AU246,SUMIF($A$10:$A$24,"*#"&amp;AS246,$AT$10:$AT$24)))</f>
        <v>15</v>
      </c>
      <c r="AR246" s="42">
        <f>AR245</f>
        <v>7</v>
      </c>
      <c r="AS246" s="42">
        <f t="shared" si="116"/>
        <v>13</v>
      </c>
      <c r="AU246" s="42">
        <f ca="1">AU245</f>
        <v>106</v>
      </c>
    </row>
    <row r="247" spans="1:48">
      <c r="B247" s="440" t="str">
        <f t="shared" si="114"/>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5"/>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6"/>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7">IF(A250="*","",VLOOKUP("*#"&amp;AS250,$A$9:$B$24,2,FALSE))</f>
        <v>ACT_COST</v>
      </c>
      <c r="C250" s="440" t="str">
        <f ca="1">IF($A250="*","",OFFSET(ITEMS_UPS!$C$8,AR250,0))</f>
        <v>USMRGASHGN</v>
      </c>
      <c r="D250" s="440" t="str">
        <f ca="1">IF($A250="*","",IF(VLOOKUP("*#"&amp;$AS250,$A$10:$I$24,D$9+1,FALSE)="-","-",OFFSET(UPS!$C$37,AU250+AV250,SUMIF($A$10:$A$20,"*#"&amp;AS250,$AT$10:$AT$20))))</f>
        <v>-</v>
      </c>
      <c r="E250" s="440" t="str">
        <f t="shared" ref="E250:E264" si="118">IF($A250="*","",IF(VLOOKUP("*#"&amp;$AS250,$A$10:$I$24,E$9+1,FALSE)="-","-",C250&amp;"-"&amp;RIGHT(VLOOKUP("*#"&amp;$AS250,$A$10:$I$24,E$9+1,FALSE),1)))</f>
        <v>-</v>
      </c>
      <c r="F250" s="440" t="str">
        <f t="shared" ref="F250:F264" si="119">IF($A250="*","",IF(VLOOKUP("*#"&amp;$AS250,$A$10:$I$24,F$9+1,FALSE)="-","-",C250&amp;"-"&amp;RIGHT(VLOOKUP("*#"&amp;$AS250,$A$10:$I$24,F$9+1,FALSE),1)))</f>
        <v>-</v>
      </c>
      <c r="G250" s="440" t="str">
        <f t="shared" ref="G250:G261" si="120">IF($A250="*","",VLOOKUP("*#"&amp;$AS250,$A$10:$I$20,G$9+1,FALSE))</f>
        <v>-</v>
      </c>
      <c r="H250" s="441" t="str">
        <f t="shared" ref="H250:H264" si="121">IF($A250="*","",VLOOKUP("*#"&amp;$AS250,$A$10:$I$24,H$9+1,FALSE))</f>
        <v>-</v>
      </c>
      <c r="I250" s="441">
        <f t="shared" ref="I250:I261" si="122">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7"/>
        <v>NCAP_AFA</v>
      </c>
      <c r="C251" s="440" t="str">
        <f ca="1">IF($A251="*","",OFFSET(ITEMS_UPS!$C$8,AR251,0))</f>
        <v>USMRGASHGN</v>
      </c>
      <c r="D251" s="440" t="str">
        <f ca="1">IF($A251="*","",IF(VLOOKUP("*#"&amp;$AS251,$A$10:$I$24,D$9+1,FALSE)="-","-",OFFSET(UPS!$C$37,AU251+AV251,SUMIF($A$10:$A$20,"*#"&amp;AS251,$AT$10:$AT$20))))</f>
        <v>-</v>
      </c>
      <c r="E251" s="440" t="str">
        <f t="shared" si="118"/>
        <v>-</v>
      </c>
      <c r="F251" s="440" t="str">
        <f t="shared" si="119"/>
        <v>-</v>
      </c>
      <c r="G251" s="440" t="str">
        <f t="shared" si="120"/>
        <v>ANNUAL</v>
      </c>
      <c r="H251" s="441" t="str">
        <f t="shared" si="121"/>
        <v>UP</v>
      </c>
      <c r="I251" s="441">
        <f t="shared" si="122"/>
        <v>3</v>
      </c>
      <c r="J251" s="163">
        <f ca="1">IF($A251="*","",OFFSET(UPS!$C$37,AU251,SUMIF($A$10:$A$20,"*#"&amp;AS251,$AT$10:$AT$20)))</f>
        <v>0.9</v>
      </c>
      <c r="K251" s="163"/>
      <c r="AR251" s="42">
        <f t="shared" ref="AR251:AR259" si="123">AR250</f>
        <v>23</v>
      </c>
      <c r="AS251" s="42">
        <f t="shared" ref="AS251:AS256" si="124">IF(AR251=AR250,AS250+1,1)</f>
        <v>2</v>
      </c>
      <c r="AU251" s="42">
        <f ca="1">SUMIF(UPS!B$38:B$171,C251,UPS!BD$38:BD$171)</f>
        <v>110</v>
      </c>
    </row>
    <row r="252" spans="1:48">
      <c r="B252" s="440" t="str">
        <f t="shared" si="117"/>
        <v>NCAP_AFA</v>
      </c>
      <c r="C252" s="440" t="str">
        <f ca="1">IF($A252="*","",OFFSET(ITEMS_UPS!$C$8,AR252,0))</f>
        <v>USMRGASHGN</v>
      </c>
      <c r="D252" s="440" t="str">
        <f ca="1">IF($A252="*","",IF(VLOOKUP("*#"&amp;$AS252,$A$10:$I$24,D$9+1,FALSE)="-","-",OFFSET(UPS!$C$37,AU252+AV252,SUMIF($A$10:$A$20,"*#"&amp;AS252,$AT$10:$AT$20))))</f>
        <v>-</v>
      </c>
      <c r="E252" s="440" t="str">
        <f t="shared" si="118"/>
        <v>-</v>
      </c>
      <c r="F252" s="440" t="str">
        <f t="shared" si="119"/>
        <v>-</v>
      </c>
      <c r="G252" s="440" t="str">
        <f t="shared" si="120"/>
        <v>ANNUAL</v>
      </c>
      <c r="H252" s="441" t="str">
        <f t="shared" si="121"/>
        <v>LO</v>
      </c>
      <c r="I252" s="441">
        <f t="shared" si="122"/>
        <v>3</v>
      </c>
      <c r="J252" s="163" t="str">
        <f ca="1">IF($A252="*","",OFFSET(UPS!$C$37,AU252,SUMIF($A$10:$A$20,"*#"&amp;AS252,$AT$10:$AT$20)))</f>
        <v/>
      </c>
      <c r="K252" s="163"/>
      <c r="AR252" s="42">
        <f t="shared" si="123"/>
        <v>23</v>
      </c>
      <c r="AS252" s="42">
        <f t="shared" si="124"/>
        <v>3</v>
      </c>
      <c r="AU252" s="42">
        <f ca="1">SUMIF(UPS!B$38:B$171,C252,UPS!BD$38:BD$171)</f>
        <v>110</v>
      </c>
    </row>
    <row r="253" spans="1:48">
      <c r="B253" s="440" t="str">
        <f t="shared" si="117"/>
        <v>NCAP_FOM</v>
      </c>
      <c r="C253" s="440" t="str">
        <f ca="1">IF($A253="*","",OFFSET(ITEMS_UPS!$C$8,AR253,0))</f>
        <v>USMRGASHGN</v>
      </c>
      <c r="D253" s="440" t="str">
        <f ca="1">IF($A253="*","",IF(VLOOKUP("*#"&amp;$AS253,$A$10:$I$24,D$9+1,FALSE)="-","-",OFFSET(UPS!$C$37,AU253+AV253,SUMIF($A$10:$A$20,"*#"&amp;AS253,$AT$10:$AT$20))))</f>
        <v>-</v>
      </c>
      <c r="E253" s="440" t="str">
        <f t="shared" si="118"/>
        <v>-</v>
      </c>
      <c r="F253" s="440" t="str">
        <f t="shared" si="119"/>
        <v>-</v>
      </c>
      <c r="G253" s="440" t="str">
        <f t="shared" si="120"/>
        <v>-</v>
      </c>
      <c r="H253" s="441" t="str">
        <f t="shared" si="121"/>
        <v>-</v>
      </c>
      <c r="I253" s="441">
        <f t="shared" si="122"/>
        <v>0</v>
      </c>
      <c r="J253" s="163">
        <f ca="1">IF($A253="*","",OFFSET(UPS!$C$37,AU253,SUMIF($A$10:$A$20,"*#"&amp;AS253,$AT$10:$AT$20)))</f>
        <v>5.6165845756230484</v>
      </c>
      <c r="K253" s="163"/>
      <c r="AR253" s="42">
        <f t="shared" si="123"/>
        <v>23</v>
      </c>
      <c r="AS253" s="42">
        <f t="shared" si="124"/>
        <v>4</v>
      </c>
      <c r="AU253" s="42">
        <f ca="1">SUMIF(UPS!B$38:B$171,C253,UPS!BD$38:BD$171)</f>
        <v>110</v>
      </c>
    </row>
    <row r="254" spans="1:48">
      <c r="B254" s="440" t="str">
        <f t="shared" si="117"/>
        <v>NCAP_BND</v>
      </c>
      <c r="C254" s="440" t="str">
        <f ca="1">IF($A254="*","",OFFSET(ITEMS_UPS!$C$8,AR254,0))</f>
        <v>USMRGASHGN</v>
      </c>
      <c r="D254" s="440" t="str">
        <f ca="1">IF($A254="*","",IF(VLOOKUP("*#"&amp;$AS254,$A$10:$I$24,D$9+1,FALSE)="-","-",OFFSET(UPS!$C$37,AU254+AV254,SUMIF($A$10:$A$20,"*#"&amp;AS254,$AT$10:$AT$20))))</f>
        <v>-</v>
      </c>
      <c r="E254" s="440" t="str">
        <f t="shared" si="118"/>
        <v>-</v>
      </c>
      <c r="F254" s="440" t="str">
        <f t="shared" si="119"/>
        <v>-</v>
      </c>
      <c r="G254" s="440" t="str">
        <f t="shared" si="120"/>
        <v>-</v>
      </c>
      <c r="H254" s="441" t="str">
        <f t="shared" si="121"/>
        <v>UP</v>
      </c>
      <c r="I254" s="441">
        <f t="shared" si="122"/>
        <v>3</v>
      </c>
      <c r="J254" s="163" t="str">
        <f ca="1">IF($A254="*","",OFFSET(UPS!$C$37,AU254,SUMIF($A$10:$A$20,"*#"&amp;AS254,$AT$10:$AT$20)))</f>
        <v/>
      </c>
      <c r="K254" s="163"/>
      <c r="M254" s="872"/>
      <c r="AR254" s="42">
        <f>AR252</f>
        <v>23</v>
      </c>
      <c r="AS254" s="42">
        <f t="shared" si="124"/>
        <v>5</v>
      </c>
      <c r="AU254" s="42">
        <f ca="1">SUMIF(UPS!B$38:B$171,C254,UPS!BD$38:BD$171)</f>
        <v>110</v>
      </c>
    </row>
    <row r="255" spans="1:48">
      <c r="B255" s="440" t="str">
        <f t="shared" si="117"/>
        <v>FLO_FUNC</v>
      </c>
      <c r="C255" s="440" t="str">
        <f ca="1">IF($A255="*","",OFFSET(ITEMS_UPS!$C$8,AR255,0))</f>
        <v>USMRGASHGN</v>
      </c>
      <c r="D255" s="440" t="str">
        <f ca="1">IF($A255="*","",IF(VLOOKUP("*#"&amp;$AS255,$A$10:$I$24,D$9+1,FALSE)="-","-",OFFSET(UPS!$C$37,AU255+AV255,SUMIF($A$10:$A$20,"*#"&amp;AS255,$AT$10:$AT$20))))</f>
        <v>-</v>
      </c>
      <c r="E255" s="440" t="str">
        <f t="shared" ca="1" si="118"/>
        <v>USMRGASHGN-I</v>
      </c>
      <c r="F255" s="440" t="str">
        <f t="shared" ca="1" si="119"/>
        <v>USMRGASHGN-O</v>
      </c>
      <c r="G255" s="440" t="str">
        <f t="shared" si="120"/>
        <v>ANNUAL</v>
      </c>
      <c r="H255" s="441" t="str">
        <f t="shared" si="121"/>
        <v>-</v>
      </c>
      <c r="I255" s="441">
        <f t="shared" si="122"/>
        <v>0</v>
      </c>
      <c r="J255" s="163">
        <f ca="1">IF($A255="*","",OFFSET(UPS!$C$37,AU255,SUMIF($A$10:$A$20,"*#"&amp;AS255,$AT$10:$AT$20)))</f>
        <v>0.8</v>
      </c>
      <c r="K255" s="163"/>
      <c r="AR255" s="42">
        <f t="shared" si="123"/>
        <v>23</v>
      </c>
      <c r="AS255" s="42">
        <f t="shared" si="124"/>
        <v>6</v>
      </c>
      <c r="AU255" s="42">
        <f ca="1">SUMIF(UPS!B$38:B$171,C255,UPS!BD$38:BD$171)</f>
        <v>110</v>
      </c>
    </row>
    <row r="256" spans="1:48">
      <c r="B256" s="440" t="str">
        <f t="shared" si="117"/>
        <v>FLO_SHAR</v>
      </c>
      <c r="C256" s="440" t="str">
        <f ca="1">IF($A256="*","",OFFSET(ITEMS_UPS!$C$8,AR256,0))</f>
        <v>USMRGASHGN</v>
      </c>
      <c r="D256" s="440" t="str">
        <f ca="1">IF($A256="*","",IF(VLOOKUP("*#"&amp;$AS256,$A$10:$I$24,D$9+1,FALSE)="-","-",OFFSET(UPS!$C$37,AU256+AV256,SUMIF($A$10:$A$20,"*#"&amp;AS256,$AT$10:$AT$20))))</f>
        <v>UPSGAS</v>
      </c>
      <c r="E256" s="440" t="str">
        <f t="shared" ca="1" si="118"/>
        <v>USMRGASHGN-I</v>
      </c>
      <c r="F256" s="440" t="str">
        <f t="shared" si="119"/>
        <v>-</v>
      </c>
      <c r="G256" s="440" t="str">
        <f t="shared" si="120"/>
        <v>ANNUAL</v>
      </c>
      <c r="H256" s="441" t="str">
        <f t="shared" si="121"/>
        <v>FX</v>
      </c>
      <c r="I256" s="441">
        <f t="shared" si="122"/>
        <v>3</v>
      </c>
      <c r="J256" s="163">
        <f ca="1">IF($A256="*","",OFFSET(UPS!$C$37,AU256+AV256,SUMIF($A$10:$A$20,"*#"&amp;AS256,$AV$10:$AV$20)))</f>
        <v>0.93659535804320382</v>
      </c>
      <c r="K256" s="163"/>
      <c r="AR256" s="42">
        <f t="shared" si="123"/>
        <v>23</v>
      </c>
      <c r="AS256" s="42">
        <f t="shared" si="124"/>
        <v>7</v>
      </c>
      <c r="AU256" s="42">
        <f ca="1">SUMIF(UPS!B$38:B$171,C256,UPS!BD$38:BD$171)</f>
        <v>110</v>
      </c>
      <c r="AV256" s="42">
        <v>0</v>
      </c>
    </row>
    <row r="257" spans="1:48">
      <c r="B257" s="440" t="str">
        <f t="shared" si="117"/>
        <v>FLO_SHAR</v>
      </c>
      <c r="C257" s="440" t="str">
        <f ca="1">IF($A257="*","",OFFSET(ITEMS_UPS!$C$8,AR257,0))</f>
        <v>USMRGASHGN</v>
      </c>
      <c r="D257" s="440" t="str">
        <f ca="1">IF($A257="*","",IF(VLOOKUP("*#"&amp;$AS257,$A$10:$I$24,D$9+1,FALSE)="-","-",OFFSET(UPS!$C$37,AU257+AV257,SUMIF($A$10:$A$20,"*#"&amp;AS257,$AT$10:$AT$20))))</f>
        <v>UPSHEN</v>
      </c>
      <c r="E257" s="440" t="str">
        <f t="shared" ca="1" si="118"/>
        <v>USMRGASHGN-I</v>
      </c>
      <c r="F257" s="440" t="str">
        <f t="shared" si="119"/>
        <v>-</v>
      </c>
      <c r="G257" s="440" t="str">
        <f t="shared" si="120"/>
        <v>ANNUAL</v>
      </c>
      <c r="H257" s="441" t="str">
        <f t="shared" si="121"/>
        <v>FX</v>
      </c>
      <c r="I257" s="441">
        <f t="shared" si="122"/>
        <v>3</v>
      </c>
      <c r="J257" s="163">
        <f ca="1">IF($A257="*","",OFFSET(UPS!$C$37,AU257+AV257,SUMIF($A$10:$A$20,"*#"&amp;AS257,$AV$10:$AV$20)))</f>
        <v>0</v>
      </c>
      <c r="K257" s="163"/>
      <c r="AR257" s="42">
        <f t="shared" si="123"/>
        <v>23</v>
      </c>
      <c r="AS257" s="42">
        <f>AS256</f>
        <v>7</v>
      </c>
      <c r="AU257" s="42">
        <f ca="1">SUMIF(UPS!B$38:B$171,C257,UPS!BD$38:BD$171)</f>
        <v>110</v>
      </c>
      <c r="AV257" s="42">
        <f>AV256+1</f>
        <v>1</v>
      </c>
    </row>
    <row r="258" spans="1:48">
      <c r="B258" s="440" t="str">
        <f t="shared" si="117"/>
        <v>FLO_SHAR</v>
      </c>
      <c r="C258" s="440" t="str">
        <f ca="1">IF($A258="*","",OFFSET(ITEMS_UPS!$C$8,AR258,0))</f>
        <v>USMRGASHGN</v>
      </c>
      <c r="D258" s="440" t="str">
        <f ca="1">IF($A258="*","",IF(VLOOKUP("*#"&amp;$AS258,$A$10:$I$24,D$9+1,FALSE)="-","-",OFFSET(UPS!$C$37,AU258+AV258,SUMIF($A$10:$A$20,"*#"&amp;AS258,$AT$10:$AT$20))))</f>
        <v>UPSELC</v>
      </c>
      <c r="E258" s="440" t="str">
        <f t="shared" ca="1" si="118"/>
        <v>USMRGASHGN-I</v>
      </c>
      <c r="F258" s="440" t="str">
        <f t="shared" si="119"/>
        <v>-</v>
      </c>
      <c r="G258" s="440" t="str">
        <f t="shared" si="120"/>
        <v>ANNUAL</v>
      </c>
      <c r="H258" s="441" t="str">
        <f t="shared" si="121"/>
        <v>FX</v>
      </c>
      <c r="I258" s="441">
        <f t="shared" si="122"/>
        <v>3</v>
      </c>
      <c r="J258" s="163">
        <f ca="1">IF($A258="*","",OFFSET(UPS!$C$37,AU258+AV258,SUMIF($A$10:$A$20,"*#"&amp;AS258,$AV$10:$AV$20)))</f>
        <v>6.3404641956796237E-2</v>
      </c>
      <c r="K258" s="163"/>
      <c r="AR258" s="42">
        <f t="shared" si="123"/>
        <v>23</v>
      </c>
      <c r="AS258" s="42">
        <v>7</v>
      </c>
      <c r="AU258" s="42">
        <f ca="1">SUMIF(UPS!B$38:B$171,C258,UPS!BD$38:BD$171)</f>
        <v>110</v>
      </c>
      <c r="AV258" s="42">
        <f>AV257+1</f>
        <v>2</v>
      </c>
    </row>
    <row r="259" spans="1:48">
      <c r="B259" s="440" t="str">
        <f t="shared" si="117"/>
        <v>FLO_SHAR</v>
      </c>
      <c r="C259" s="440" t="str">
        <f ca="1">IF($A259="*","",OFFSET(ITEMS_UPS!$C$8,AR259,0))</f>
        <v>USMRGASHGN</v>
      </c>
      <c r="D259" s="440" t="str">
        <f ca="1">IF($A259="*","",IF(VLOOKUP("*#"&amp;$AS259,$A$10:$I$24,D$9+1,FALSE)="-","-",OFFSET(UPS!$C$37,AU259+AV259,SUMIF($A$10:$A$20,"*#"&amp;AS259,$AT$10:$AT$20))))</f>
        <v>UPSHGN</v>
      </c>
      <c r="E259" s="440" t="str">
        <f t="shared" ca="1" si="118"/>
        <v>USMRGASHGN-O</v>
      </c>
      <c r="F259" s="440" t="str">
        <f t="shared" si="119"/>
        <v>-</v>
      </c>
      <c r="G259" s="440" t="str">
        <f t="shared" si="120"/>
        <v>ANNUAL</v>
      </c>
      <c r="H259" s="441" t="str">
        <f t="shared" si="121"/>
        <v>UP</v>
      </c>
      <c r="I259" s="441">
        <f t="shared" si="122"/>
        <v>3</v>
      </c>
      <c r="J259" s="163">
        <f ca="1">IF($A259="*","",OFFSET(UPS!$C$37,AU259+AV259,SUMIF($A$10:$A$20,"*#"&amp;AS259,$AV$10:$AV$20)))</f>
        <v>1</v>
      </c>
      <c r="K259" s="163"/>
      <c r="AR259" s="42">
        <f t="shared" si="123"/>
        <v>23</v>
      </c>
      <c r="AS259" s="42">
        <v>8</v>
      </c>
      <c r="AU259" s="42">
        <f ca="1">SUMIF(UPS!B$38:B$171,C259,UPS!BD$38:BD$171)</f>
        <v>110</v>
      </c>
      <c r="AV259" s="42">
        <f>AV258+1</f>
        <v>3</v>
      </c>
    </row>
    <row r="260" spans="1:48">
      <c r="B260" s="440" t="str">
        <f t="shared" si="117"/>
        <v>FLO_EMIS</v>
      </c>
      <c r="C260" s="440" t="str">
        <f ca="1">IF($A260="*","",OFFSET(ITEMS_UPS!$C$8,AR260,0))</f>
        <v>USMRGASHGN</v>
      </c>
      <c r="D260" s="440" t="str">
        <f>$D$18</f>
        <v>UPSCO2S</v>
      </c>
      <c r="E260" s="440" t="str">
        <f t="shared" ca="1" si="118"/>
        <v>USMRGASHGN-O</v>
      </c>
      <c r="F260" s="440" t="str">
        <f t="shared" si="119"/>
        <v>-</v>
      </c>
      <c r="G260" s="440" t="str">
        <f t="shared" si="120"/>
        <v>ANNUAL</v>
      </c>
      <c r="H260" s="441" t="str">
        <f t="shared" si="121"/>
        <v>-</v>
      </c>
      <c r="I260" s="441">
        <f t="shared" si="122"/>
        <v>0</v>
      </c>
      <c r="J260" s="163">
        <f ca="1">IF($A260="*","",OFFSET(UPS!$C$37,AU260,SUMIF($A$10:$A$20,"*#"&amp;AS260,$AT$10:$AT$20)))</f>
        <v>88.593333333333334</v>
      </c>
      <c r="K260" s="163"/>
      <c r="AR260" s="42">
        <f>AR259</f>
        <v>23</v>
      </c>
      <c r="AS260" s="42">
        <f>AS259+1</f>
        <v>9</v>
      </c>
      <c r="AU260" s="42">
        <f ca="1">SUMIF(UPS!B$38:B$171,C260,UPS!BD$38:BD$171)</f>
        <v>110</v>
      </c>
      <c r="AV260" s="42">
        <f t="shared" ref="AV260:AV261" si="125">AV259+1</f>
        <v>4</v>
      </c>
    </row>
    <row r="261" spans="1:48">
      <c r="B261" s="440" t="str">
        <f t="shared" si="117"/>
        <v>FLO_EMIS</v>
      </c>
      <c r="C261" s="440" t="str">
        <f ca="1">IF($A261="*","",OFFSET(ITEMS_UPS!$C$8,AR261,0))</f>
        <v>USMRGASHGN</v>
      </c>
      <c r="D261" s="440" t="str">
        <f>$D$19</f>
        <v>UPSCH4S</v>
      </c>
      <c r="E261" s="440" t="str">
        <f t="shared" ca="1" si="118"/>
        <v>USMRGASHGN-O</v>
      </c>
      <c r="F261" s="440" t="str">
        <f t="shared" si="119"/>
        <v>-</v>
      </c>
      <c r="G261" s="440" t="str">
        <f t="shared" si="120"/>
        <v>ANNUAL</v>
      </c>
      <c r="H261" s="441" t="str">
        <f t="shared" si="121"/>
        <v>-</v>
      </c>
      <c r="I261" s="441">
        <f t="shared" si="122"/>
        <v>0</v>
      </c>
      <c r="J261" s="163">
        <f ca="1">IF($A261="*","",OFFSET(UPS!$C$37,AU261,SUMIF($A$10:$A$20,"*#"&amp;AS261,$AT$10:$AT$20)))</f>
        <v>1.2177777777777774</v>
      </c>
      <c r="K261" s="163"/>
      <c r="AR261" s="42">
        <f>AR260</f>
        <v>23</v>
      </c>
      <c r="AS261" s="42">
        <f>AS260+1</f>
        <v>10</v>
      </c>
      <c r="AU261" s="42">
        <f ca="1">SUMIF(UPS!B$38:B$171,C261,UPS!BD$38:BD$171)</f>
        <v>110</v>
      </c>
      <c r="AV261" s="42">
        <f t="shared" si="125"/>
        <v>5</v>
      </c>
    </row>
    <row r="262" spans="1:48">
      <c r="B262" s="440" t="str">
        <f t="shared" si="117"/>
        <v>NCAP_COST</v>
      </c>
      <c r="C262" s="440" t="str">
        <f ca="1">IF($A262="*","",OFFSET(ITEMS_UPS!$C$8,AR262,0))</f>
        <v>USMRGASHGN</v>
      </c>
      <c r="D262" s="440" t="str">
        <f ca="1">IF($A262="*","",IF(VLOOKUP("*#"&amp;$AS262,$A$10:$I$24,D$9+1,FALSE)="-","-",OFFSET(UPS!$C$37,AU262+AV262,SUMIF($A$10:$A$20,"*#"&amp;AS262,$AT$10:$AT$20))))</f>
        <v>-</v>
      </c>
      <c r="E262" s="440" t="str">
        <f t="shared" si="118"/>
        <v>-</v>
      </c>
      <c r="F262" s="440" t="str">
        <f t="shared" si="119"/>
        <v>-</v>
      </c>
      <c r="G262" s="440" t="str">
        <f>IF($A262="*","",VLOOKUP("*#"&amp;$AS262,$A$10:$I$24,G$9+1,FALSE))</f>
        <v>-</v>
      </c>
      <c r="H262" s="441" t="str">
        <f t="shared" si="121"/>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7"/>
        <v>NCAP_TLIFE</v>
      </c>
      <c r="C263" s="440" t="str">
        <f ca="1">IF($A263="*","",OFFSET(ITEMS_UPS!$C$8,AR263,0))</f>
        <v>USMRGASHGN</v>
      </c>
      <c r="D263" s="440" t="str">
        <f ca="1">IF($A263="*","",IF(VLOOKUP("*#"&amp;$AS263,$A$10:$I$24,D$9+1,FALSE)="-","-",OFFSET(UPS!$C$37,AU263+AV263,SUMIF($A$10:$A$20,"*#"&amp;AS263,$AT$10:$AT$20))))</f>
        <v>-</v>
      </c>
      <c r="E263" s="440" t="str">
        <f t="shared" si="118"/>
        <v>-</v>
      </c>
      <c r="F263" s="440" t="str">
        <f t="shared" si="119"/>
        <v>-</v>
      </c>
      <c r="G263" s="440" t="str">
        <f>IF($A263="*","",VLOOKUP("*#"&amp;$AS263,$A$10:$I$24,G$9+1,FALSE))</f>
        <v>-</v>
      </c>
      <c r="H263" s="441" t="str">
        <f t="shared" si="121"/>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7"/>
        <v>NCAP_ILED</v>
      </c>
      <c r="C264" s="440" t="str">
        <f ca="1">IF($A264="*","",OFFSET(ITEMS_UPS!$C$8,AR264,0))</f>
        <v>USMRGASHGN</v>
      </c>
      <c r="D264" s="440" t="str">
        <f ca="1">IF($A264="*","",IF(VLOOKUP("*#"&amp;$AS264,$A$10:$I$24,D$9+1,FALSE)="-","-",OFFSET(UPS!$C$37,AU264+AV264,SUMIF($A$10:$A$20,"*#"&amp;AS264,$AT$10:$AT$20))))</f>
        <v>-</v>
      </c>
      <c r="E264" s="440" t="str">
        <f t="shared" si="118"/>
        <v>-</v>
      </c>
      <c r="F264" s="440" t="str">
        <f t="shared" si="119"/>
        <v>-</v>
      </c>
      <c r="G264" s="440" t="str">
        <f>IF($A264="*","",VLOOKUP("*#"&amp;$AS264,$A$10:$I$24,G$9+1,FALSE))</f>
        <v>-</v>
      </c>
      <c r="H264" s="441" t="str">
        <f t="shared" si="121"/>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6">IF(A266="*","",VLOOKUP("*#"&amp;AS266,$A$9:$B$24,2,FALSE))</f>
        <v>ACT_COST</v>
      </c>
      <c r="C266" s="440" t="str">
        <f ca="1">IF($A266="*","",OFFSET(ITEMS_UPS!$C$8,AR266,0))</f>
        <v>USMRGICHGN</v>
      </c>
      <c r="D266" s="440" t="str">
        <f ca="1">IF($A266="*","",IF(VLOOKUP("*#"&amp;$AS266,$A$10:$I$24,D$9+1,FALSE)="-","-",OFFSET(UPS!$C$37,AU266+AV266,SUMIF($A$10:$A$20,"*#"&amp;AS266,$AT$10:$AT$20))))</f>
        <v>-</v>
      </c>
      <c r="E266" s="440" t="str">
        <f t="shared" ref="E266:E280" si="127">IF($A266="*","",IF(VLOOKUP("*#"&amp;$AS266,$A$10:$I$24,E$9+1,FALSE)="-","-",C266&amp;"-"&amp;RIGHT(VLOOKUP("*#"&amp;$AS266,$A$10:$I$24,E$9+1,FALSE),1)))</f>
        <v>-</v>
      </c>
      <c r="F266" s="440" t="str">
        <f t="shared" ref="F266:F280" si="128">IF($A266="*","",IF(VLOOKUP("*#"&amp;$AS266,$A$10:$I$24,F$9+1,FALSE)="-","-",C266&amp;"-"&amp;RIGHT(VLOOKUP("*#"&amp;$AS266,$A$10:$I$24,F$9+1,FALSE),1)))</f>
        <v>-</v>
      </c>
      <c r="G266" s="440" t="str">
        <f t="shared" ref="G266:G277" si="129">IF($A266="*","",VLOOKUP("*#"&amp;$AS266,$A$10:$I$20,G$9+1,FALSE))</f>
        <v>-</v>
      </c>
      <c r="H266" s="441" t="str">
        <f t="shared" ref="H266:H280" si="130">IF($A266="*","",VLOOKUP("*#"&amp;$AS266,$A$10:$I$24,H$9+1,FALSE))</f>
        <v>-</v>
      </c>
      <c r="I266" s="441">
        <f t="shared" ref="I266:I277" si="131">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6"/>
        <v>NCAP_AFA</v>
      </c>
      <c r="C267" s="440" t="str">
        <f ca="1">IF($A267="*","",OFFSET(ITEMS_UPS!$C$8,AR267,0))</f>
        <v>USMRGICHGN</v>
      </c>
      <c r="D267" s="440" t="str">
        <f ca="1">IF($A267="*","",IF(VLOOKUP("*#"&amp;$AS267,$A$10:$I$24,D$9+1,FALSE)="-","-",OFFSET(UPS!$C$37,AU267+AV267,SUMIF($A$10:$A$20,"*#"&amp;AS267,$AT$10:$AT$20))))</f>
        <v>-</v>
      </c>
      <c r="E267" s="440" t="str">
        <f t="shared" si="127"/>
        <v>-</v>
      </c>
      <c r="F267" s="440" t="str">
        <f t="shared" si="128"/>
        <v>-</v>
      </c>
      <c r="G267" s="440" t="str">
        <f t="shared" si="129"/>
        <v>ANNUAL</v>
      </c>
      <c r="H267" s="441" t="str">
        <f t="shared" si="130"/>
        <v>UP</v>
      </c>
      <c r="I267" s="441">
        <f t="shared" si="131"/>
        <v>3</v>
      </c>
      <c r="J267" s="163">
        <f ca="1">IF($A267="*","",OFFSET(UPS!$C$37,AU267,SUMIF($A$10:$A$20,"*#"&amp;AS267,$AT$10:$AT$20)))</f>
        <v>0.9</v>
      </c>
      <c r="K267" s="163"/>
      <c r="AR267" s="42">
        <f t="shared" ref="AR267:AR277" si="132">AR266</f>
        <v>24</v>
      </c>
      <c r="AS267" s="42">
        <f t="shared" ref="AS267:AS272" si="133">IF(AR267=AR266,AS266+1,1)</f>
        <v>2</v>
      </c>
      <c r="AU267" s="42">
        <f ca="1">SUMIF(UPS!B$38:B$171,C267,UPS!BD$38:BD$171)</f>
        <v>116</v>
      </c>
    </row>
    <row r="268" spans="1:48">
      <c r="B268" s="440" t="str">
        <f t="shared" si="126"/>
        <v>NCAP_AFA</v>
      </c>
      <c r="C268" s="440" t="str">
        <f ca="1">IF($A268="*","",OFFSET(ITEMS_UPS!$C$8,AR268,0))</f>
        <v>USMRGICHGN</v>
      </c>
      <c r="D268" s="440" t="str">
        <f ca="1">IF($A268="*","",IF(VLOOKUP("*#"&amp;$AS268,$A$10:$I$24,D$9+1,FALSE)="-","-",OFFSET(UPS!$C$37,AU268+AV268,SUMIF($A$10:$A$20,"*#"&amp;AS268,$AT$10:$AT$20))))</f>
        <v>-</v>
      </c>
      <c r="E268" s="440" t="str">
        <f t="shared" si="127"/>
        <v>-</v>
      </c>
      <c r="F268" s="440" t="str">
        <f t="shared" si="128"/>
        <v>-</v>
      </c>
      <c r="G268" s="440" t="str">
        <f t="shared" si="129"/>
        <v>ANNUAL</v>
      </c>
      <c r="H268" s="441" t="str">
        <f t="shared" si="130"/>
        <v>LO</v>
      </c>
      <c r="I268" s="441">
        <f t="shared" si="131"/>
        <v>3</v>
      </c>
      <c r="J268" s="163" t="str">
        <f ca="1">IF($A268="*","",OFFSET(UPS!$C$37,AU268,SUMIF($A$10:$A$20,"*#"&amp;AS268,$AT$10:$AT$20)))</f>
        <v/>
      </c>
      <c r="K268" s="163"/>
      <c r="AR268" s="42">
        <f t="shared" si="132"/>
        <v>24</v>
      </c>
      <c r="AS268" s="42">
        <f t="shared" si="133"/>
        <v>3</v>
      </c>
      <c r="AU268" s="42">
        <f ca="1">SUMIF(UPS!B$38:B$171,C268,UPS!BD$38:BD$171)</f>
        <v>116</v>
      </c>
    </row>
    <row r="269" spans="1:48">
      <c r="B269" s="440" t="str">
        <f t="shared" si="126"/>
        <v>NCAP_FOM</v>
      </c>
      <c r="C269" s="440" t="str">
        <f ca="1">IF($A269="*","",OFFSET(ITEMS_UPS!$C$8,AR269,0))</f>
        <v>USMRGICHGN</v>
      </c>
      <c r="D269" s="440" t="str">
        <f ca="1">IF($A269="*","",IF(VLOOKUP("*#"&amp;$AS269,$A$10:$I$24,D$9+1,FALSE)="-","-",OFFSET(UPS!$C$37,AU269+AV269,SUMIF($A$10:$A$20,"*#"&amp;AS269,$AT$10:$AT$20))))</f>
        <v>-</v>
      </c>
      <c r="E269" s="440" t="str">
        <f t="shared" si="127"/>
        <v>-</v>
      </c>
      <c r="F269" s="440" t="str">
        <f t="shared" si="128"/>
        <v>-</v>
      </c>
      <c r="G269" s="440" t="str">
        <f t="shared" si="129"/>
        <v>-</v>
      </c>
      <c r="H269" s="441" t="str">
        <f t="shared" si="130"/>
        <v>-</v>
      </c>
      <c r="I269" s="441">
        <f t="shared" si="131"/>
        <v>0</v>
      </c>
      <c r="J269" s="163">
        <f ca="1">IF($A269="*","",OFFSET(UPS!$C$37,AU269,SUMIF($A$10:$A$20,"*#"&amp;AS269,$AT$10:$AT$20)))</f>
        <v>5.6165845756230484</v>
      </c>
      <c r="K269" s="163"/>
      <c r="AR269" s="42">
        <f t="shared" si="132"/>
        <v>24</v>
      </c>
      <c r="AS269" s="42">
        <f t="shared" si="133"/>
        <v>4</v>
      </c>
      <c r="AU269" s="42">
        <f ca="1">SUMIF(UPS!B$38:B$171,C269,UPS!BD$38:BD$171)</f>
        <v>116</v>
      </c>
    </row>
    <row r="270" spans="1:48">
      <c r="B270" s="440" t="str">
        <f t="shared" si="126"/>
        <v>NCAP_BND</v>
      </c>
      <c r="C270" s="440" t="str">
        <f ca="1">IF($A270="*","",OFFSET(ITEMS_UPS!$C$8,AR270,0))</f>
        <v>USMRGICHGN</v>
      </c>
      <c r="D270" s="440" t="str">
        <f ca="1">IF($A270="*","",IF(VLOOKUP("*#"&amp;$AS270,$A$10:$I$24,D$9+1,FALSE)="-","-",OFFSET(UPS!$C$37,AU270+AV270,SUMIF($A$10:$A$20,"*#"&amp;AS270,$AT$10:$AT$20))))</f>
        <v>-</v>
      </c>
      <c r="E270" s="440" t="str">
        <f t="shared" si="127"/>
        <v>-</v>
      </c>
      <c r="F270" s="440" t="str">
        <f t="shared" si="128"/>
        <v>-</v>
      </c>
      <c r="G270" s="440" t="str">
        <f t="shared" si="129"/>
        <v>-</v>
      </c>
      <c r="H270" s="441" t="str">
        <f t="shared" si="130"/>
        <v>UP</v>
      </c>
      <c r="I270" s="441">
        <f t="shared" si="131"/>
        <v>3</v>
      </c>
      <c r="J270" s="163" t="str">
        <f ca="1">IF($A270="*","",OFFSET(UPS!$C$37,AU270,SUMIF($A$10:$A$20,"*#"&amp;AS270,$AT$10:$AT$20)))</f>
        <v/>
      </c>
      <c r="K270" s="163"/>
      <c r="AR270" s="42">
        <f>AR268</f>
        <v>24</v>
      </c>
      <c r="AS270" s="42">
        <f t="shared" si="133"/>
        <v>5</v>
      </c>
      <c r="AU270" s="42">
        <f ca="1">SUMIF(UPS!B$38:B$171,C270,UPS!BD$38:BD$171)</f>
        <v>116</v>
      </c>
    </row>
    <row r="271" spans="1:48">
      <c r="B271" s="440" t="str">
        <f t="shared" si="126"/>
        <v>FLO_FUNC</v>
      </c>
      <c r="C271" s="440" t="str">
        <f ca="1">IF($A271="*","",OFFSET(ITEMS_UPS!$C$8,AR271,0))</f>
        <v>USMRGICHGN</v>
      </c>
      <c r="D271" s="440" t="str">
        <f ca="1">IF($A271="*","",IF(VLOOKUP("*#"&amp;$AS271,$A$10:$I$24,D$9+1,FALSE)="-","-",OFFSET(UPS!$C$37,AU271+AV271,SUMIF($A$10:$A$20,"*#"&amp;AS271,$AT$10:$AT$20))))</f>
        <v>-</v>
      </c>
      <c r="E271" s="440" t="str">
        <f t="shared" ca="1" si="127"/>
        <v>USMRGICHGN-I</v>
      </c>
      <c r="F271" s="440" t="str">
        <f t="shared" ca="1" si="128"/>
        <v>USMRGICHGN-O</v>
      </c>
      <c r="G271" s="440" t="str">
        <f t="shared" si="129"/>
        <v>ANNUAL</v>
      </c>
      <c r="H271" s="441" t="str">
        <f t="shared" si="130"/>
        <v>-</v>
      </c>
      <c r="I271" s="441">
        <f t="shared" si="131"/>
        <v>0</v>
      </c>
      <c r="J271" s="163">
        <f ca="1">IF($A271="*","",OFFSET(UPS!$C$37,AU271,SUMIF($A$10:$A$20,"*#"&amp;AS271,$AT$10:$AT$20)))</f>
        <v>0.8</v>
      </c>
      <c r="K271" s="163"/>
      <c r="AR271" s="42">
        <f t="shared" si="132"/>
        <v>24</v>
      </c>
      <c r="AS271" s="42">
        <f t="shared" si="133"/>
        <v>6</v>
      </c>
      <c r="AU271" s="42">
        <f ca="1">SUMIF(UPS!B$38:B$171,C271,UPS!BD$38:BD$171)</f>
        <v>116</v>
      </c>
    </row>
    <row r="272" spans="1:48">
      <c r="B272" s="440" t="str">
        <f t="shared" si="126"/>
        <v>FLO_SHAR</v>
      </c>
      <c r="C272" s="440" t="str">
        <f ca="1">IF($A272="*","",OFFSET(ITEMS_UPS!$C$8,AR272,0))</f>
        <v>USMRGICHGN</v>
      </c>
      <c r="D272" s="440" t="str">
        <f ca="1">IF($A272="*","",IF(VLOOKUP("*#"&amp;$AS272,$A$10:$I$24,D$9+1,FALSE)="-","-",OFFSET(UPS!$C$37,AU272+AV272,SUMIF($A$10:$A$20,"*#"&amp;AS272,$AT$10:$AT$20))))</f>
        <v>UPSGIC</v>
      </c>
      <c r="E272" s="440" t="str">
        <f t="shared" ca="1" si="127"/>
        <v>USMRGICHGN-I</v>
      </c>
      <c r="F272" s="440" t="str">
        <f t="shared" si="128"/>
        <v>-</v>
      </c>
      <c r="G272" s="440" t="str">
        <f t="shared" si="129"/>
        <v>ANNUAL</v>
      </c>
      <c r="H272" s="441" t="str">
        <f t="shared" si="130"/>
        <v>FX</v>
      </c>
      <c r="I272" s="441">
        <f t="shared" si="131"/>
        <v>3</v>
      </c>
      <c r="J272" s="163">
        <f ca="1">IF($A272="*","",OFFSET(UPS!$C$37,AU272+AV272,SUMIF($A$10:$A$20,"*#"&amp;AS272,$AV$10:$AV$20)))</f>
        <v>0.93659535804320382</v>
      </c>
      <c r="K272" s="163"/>
      <c r="AR272" s="42">
        <f t="shared" si="132"/>
        <v>24</v>
      </c>
      <c r="AS272" s="42">
        <f t="shared" si="133"/>
        <v>7</v>
      </c>
      <c r="AU272" s="42">
        <f ca="1">SUMIF(UPS!B$38:B$171,C272,UPS!BD$38:BD$171)</f>
        <v>116</v>
      </c>
      <c r="AV272" s="42">
        <v>0</v>
      </c>
    </row>
    <row r="273" spans="1:48">
      <c r="B273" s="440" t="str">
        <f t="shared" si="126"/>
        <v>FLO_SHAR</v>
      </c>
      <c r="C273" s="440" t="str">
        <f ca="1">IF($A273="*","",OFFSET(ITEMS_UPS!$C$8,AR273,0))</f>
        <v>USMRGICHGN</v>
      </c>
      <c r="D273" s="440" t="str">
        <f ca="1">IF($A273="*","",IF(VLOOKUP("*#"&amp;$AS273,$A$10:$I$24,D$9+1,FALSE)="-","-",OFFSET(UPS!$C$37,AU273+AV273,SUMIF($A$10:$A$20,"*#"&amp;AS273,$AT$10:$AT$20))))</f>
        <v>UPSHEN</v>
      </c>
      <c r="E273" s="440" t="str">
        <f t="shared" ca="1" si="127"/>
        <v>USMRGICHGN-I</v>
      </c>
      <c r="F273" s="440" t="str">
        <f t="shared" si="128"/>
        <v>-</v>
      </c>
      <c r="G273" s="440" t="str">
        <f t="shared" si="129"/>
        <v>ANNUAL</v>
      </c>
      <c r="H273" s="441" t="str">
        <f t="shared" si="130"/>
        <v>FX</v>
      </c>
      <c r="I273" s="441">
        <f t="shared" si="131"/>
        <v>3</v>
      </c>
      <c r="J273" s="163">
        <f ca="1">IF($A273="*","",OFFSET(UPS!$C$37,AU273+AV273,SUMIF($A$10:$A$20,"*#"&amp;AS273,$AV$10:$AV$20)))</f>
        <v>0</v>
      </c>
      <c r="K273" s="163"/>
      <c r="AR273" s="42">
        <f t="shared" si="132"/>
        <v>24</v>
      </c>
      <c r="AS273" s="42">
        <f>AS272</f>
        <v>7</v>
      </c>
      <c r="AU273" s="42">
        <f ca="1">SUMIF(UPS!B$38:B$171,C273,UPS!BD$38:BD$171)</f>
        <v>116</v>
      </c>
      <c r="AV273" s="42">
        <f>AV272+1</f>
        <v>1</v>
      </c>
    </row>
    <row r="274" spans="1:48">
      <c r="B274" s="440" t="str">
        <f t="shared" si="126"/>
        <v>FLO_SHAR</v>
      </c>
      <c r="C274" s="440" t="str">
        <f ca="1">IF($A274="*","",OFFSET(ITEMS_UPS!$C$8,AR274,0))</f>
        <v>USMRGICHGN</v>
      </c>
      <c r="D274" s="440" t="str">
        <f ca="1">IF($A274="*","",IF(VLOOKUP("*#"&amp;$AS274,$A$10:$I$24,D$9+1,FALSE)="-","-",OFFSET(UPS!$C$37,AU274+AV274,SUMIF($A$10:$A$20,"*#"&amp;AS274,$AT$10:$AT$20))))</f>
        <v>UPSELC</v>
      </c>
      <c r="E274" s="440" t="str">
        <f t="shared" ca="1" si="127"/>
        <v>USMRGICHGN-I</v>
      </c>
      <c r="F274" s="440" t="str">
        <f t="shared" si="128"/>
        <v>-</v>
      </c>
      <c r="G274" s="440" t="str">
        <f t="shared" si="129"/>
        <v>ANNUAL</v>
      </c>
      <c r="H274" s="441" t="str">
        <f t="shared" si="130"/>
        <v>FX</v>
      </c>
      <c r="I274" s="441">
        <f t="shared" si="131"/>
        <v>3</v>
      </c>
      <c r="J274" s="163">
        <f ca="1">IF($A274="*","",OFFSET(UPS!$C$37,AU274+AV274,SUMIF($A$10:$A$20,"*#"&amp;AS274,$AV$10:$AV$20)))</f>
        <v>6.3404641956796237E-2</v>
      </c>
      <c r="K274" s="163"/>
      <c r="AR274" s="42">
        <f t="shared" si="132"/>
        <v>24</v>
      </c>
      <c r="AS274" s="42">
        <v>7</v>
      </c>
      <c r="AU274" s="42">
        <f ca="1">SUMIF(UPS!B$38:B$171,C274,UPS!BD$38:BD$171)</f>
        <v>116</v>
      </c>
      <c r="AV274" s="42">
        <f t="shared" ref="AV274:AV276" si="134">AV273+1</f>
        <v>2</v>
      </c>
    </row>
    <row r="275" spans="1:48">
      <c r="B275" s="440" t="str">
        <f t="shared" si="126"/>
        <v>FLO_SHAR</v>
      </c>
      <c r="C275" s="440" t="str">
        <f ca="1">IF($A275="*","",OFFSET(ITEMS_UPS!$C$8,AR275,0))</f>
        <v>USMRGICHGN</v>
      </c>
      <c r="D275" s="440" t="str">
        <f ca="1">IF($A275="*","",IF(VLOOKUP("*#"&amp;$AS275,$A$10:$I$24,D$9+1,FALSE)="-","-",OFFSET(UPS!$C$37,AU275+AV275,SUMIF($A$10:$A$20,"*#"&amp;AS275,$AT$10:$AT$20))))</f>
        <v>UPSHGN</v>
      </c>
      <c r="E275" s="440" t="str">
        <f t="shared" ca="1" si="127"/>
        <v>USMRGICHGN-O</v>
      </c>
      <c r="F275" s="440" t="str">
        <f t="shared" si="128"/>
        <v>-</v>
      </c>
      <c r="G275" s="440" t="str">
        <f t="shared" si="129"/>
        <v>ANNUAL</v>
      </c>
      <c r="H275" s="441" t="str">
        <f t="shared" si="130"/>
        <v>UP</v>
      </c>
      <c r="I275" s="441">
        <f t="shared" si="131"/>
        <v>3</v>
      </c>
      <c r="J275" s="163">
        <f ca="1">IF($A275="*","",OFFSET(UPS!$C$37,AU275+AV275,SUMIF($A$10:$A$20,"*#"&amp;AS275,$AV$10:$AV$20)))</f>
        <v>1</v>
      </c>
      <c r="K275" s="163"/>
      <c r="AR275" s="42">
        <f t="shared" si="132"/>
        <v>24</v>
      </c>
      <c r="AS275" s="42">
        <v>8</v>
      </c>
      <c r="AU275" s="42">
        <f ca="1">SUMIF(UPS!B$38:B$171,C275,UPS!BD$38:BD$171)</f>
        <v>116</v>
      </c>
      <c r="AV275" s="42">
        <f t="shared" si="134"/>
        <v>3</v>
      </c>
    </row>
    <row r="276" spans="1:48">
      <c r="B276" s="440" t="str">
        <f t="shared" si="126"/>
        <v>FLO_EMIS</v>
      </c>
      <c r="C276" s="440" t="str">
        <f ca="1">IF($A276="*","",OFFSET(ITEMS_UPS!$C$8,AR276,0))</f>
        <v>USMRGICHGN</v>
      </c>
      <c r="D276" s="440" t="str">
        <f>$D$18</f>
        <v>UPSCO2S</v>
      </c>
      <c r="E276" s="440" t="str">
        <f t="shared" ca="1" si="127"/>
        <v>USMRGICHGN-O</v>
      </c>
      <c r="F276" s="440" t="str">
        <f t="shared" si="128"/>
        <v>-</v>
      </c>
      <c r="G276" s="440" t="str">
        <f t="shared" si="129"/>
        <v>ANNUAL</v>
      </c>
      <c r="H276" s="441" t="str">
        <f t="shared" si="130"/>
        <v>-</v>
      </c>
      <c r="I276" s="441">
        <f t="shared" si="131"/>
        <v>0</v>
      </c>
      <c r="J276" s="163">
        <f ca="1">IF($A276="*","",OFFSET(UPS!$C$37,AU276,SUMIF($A$10:$A$20,"*#"&amp;AS276,$AT$10:$AT$20)))</f>
        <v>88.593333333333334</v>
      </c>
      <c r="K276" s="163"/>
      <c r="AR276" s="42">
        <f t="shared" si="132"/>
        <v>24</v>
      </c>
      <c r="AS276" s="42">
        <f>AS275+1</f>
        <v>9</v>
      </c>
      <c r="AU276" s="42">
        <f ca="1">AU275</f>
        <v>116</v>
      </c>
      <c r="AV276" s="42">
        <f t="shared" si="134"/>
        <v>4</v>
      </c>
    </row>
    <row r="277" spans="1:48">
      <c r="B277" s="440" t="str">
        <f t="shared" si="126"/>
        <v>FLO_EMIS</v>
      </c>
      <c r="C277" s="440" t="str">
        <f ca="1">IF($A277="*","",OFFSET(ITEMS_UPS!$C$8,AR277,0))</f>
        <v>USMRGICHGN</v>
      </c>
      <c r="D277" s="440" t="str">
        <f>$D$19</f>
        <v>UPSCH4S</v>
      </c>
      <c r="E277" s="440" t="str">
        <f t="shared" ca="1" si="127"/>
        <v>USMRGICHGN-O</v>
      </c>
      <c r="F277" s="440" t="str">
        <f t="shared" si="128"/>
        <v>-</v>
      </c>
      <c r="G277" s="440" t="str">
        <f t="shared" si="129"/>
        <v>ANNUAL</v>
      </c>
      <c r="H277" s="441" t="str">
        <f t="shared" si="130"/>
        <v>-</v>
      </c>
      <c r="I277" s="441">
        <f t="shared" si="131"/>
        <v>0</v>
      </c>
      <c r="J277" s="163">
        <f ca="1">IF($A277="*","",OFFSET(UPS!$C$37,AU277,SUMIF($A$10:$A$20,"*#"&amp;AS277,$AT$10:$AT$20)))</f>
        <v>1.2177777777777774</v>
      </c>
      <c r="K277" s="163"/>
      <c r="AR277" s="42">
        <f t="shared" si="132"/>
        <v>24</v>
      </c>
      <c r="AS277" s="42">
        <f>AS276+1</f>
        <v>10</v>
      </c>
      <c r="AU277" s="42">
        <f ca="1">SUMIF(UPS!B$38:B$171,C277,UPS!BD$38:BD$171)</f>
        <v>116</v>
      </c>
      <c r="AV277" s="42">
        <f>AV276+1</f>
        <v>5</v>
      </c>
    </row>
    <row r="278" spans="1:48">
      <c r="B278" s="440" t="str">
        <f t="shared" si="126"/>
        <v>NCAP_COST</v>
      </c>
      <c r="C278" s="440" t="str">
        <f ca="1">IF($A278="*","",OFFSET(ITEMS_UPS!$C$8,AR278,0))</f>
        <v>USMRGICHGN</v>
      </c>
      <c r="D278" s="440" t="str">
        <f ca="1">IF($A278="*","",IF(VLOOKUP("*#"&amp;$AS278,$A$10:$I$24,D$9+1,FALSE)="-","-",OFFSET(UPS!$C$37,AU278+AV278,SUMIF($A$10:$A$20,"*#"&amp;AS278,$AT$10:$AT$20))))</f>
        <v>-</v>
      </c>
      <c r="E278" s="440" t="str">
        <f t="shared" si="127"/>
        <v>-</v>
      </c>
      <c r="F278" s="440" t="str">
        <f t="shared" si="128"/>
        <v>-</v>
      </c>
      <c r="G278" s="440" t="str">
        <f>IF($A278="*","",VLOOKUP("*#"&amp;$AS278,$A$10:$I$24,G$9+1,FALSE))</f>
        <v>-</v>
      </c>
      <c r="H278" s="441" t="str">
        <f t="shared" si="130"/>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6"/>
        <v>NCAP_TLIFE</v>
      </c>
      <c r="C279" s="440" t="str">
        <f ca="1">IF($A279="*","",OFFSET(ITEMS_UPS!$C$8,AR279,0))</f>
        <v>USMRGICHGN</v>
      </c>
      <c r="D279" s="440" t="str">
        <f ca="1">IF($A279="*","",IF(VLOOKUP("*#"&amp;$AS279,$A$10:$I$24,D$9+1,FALSE)="-","-",OFFSET(UPS!$C$37,AU279+AV279,SUMIF($A$10:$A$20,"*#"&amp;AS279,$AT$10:$AT$20))))</f>
        <v>-</v>
      </c>
      <c r="E279" s="440" t="str">
        <f t="shared" si="127"/>
        <v>-</v>
      </c>
      <c r="F279" s="440" t="str">
        <f t="shared" si="128"/>
        <v>-</v>
      </c>
      <c r="G279" s="440" t="str">
        <f>IF($A279="*","",VLOOKUP("*#"&amp;$AS279,$A$10:$I$24,G$9+1,FALSE))</f>
        <v>-</v>
      </c>
      <c r="H279" s="441" t="str">
        <f t="shared" si="130"/>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6"/>
        <v>NCAP_ILED</v>
      </c>
      <c r="C280" s="440" t="str">
        <f ca="1">IF($A280="*","",OFFSET(ITEMS_UPS!$C$8,AR280,0))</f>
        <v>USMRGICHGN</v>
      </c>
      <c r="D280" s="440" t="str">
        <f ca="1">IF($A280="*","",IF(VLOOKUP("*#"&amp;$AS280,$A$10:$I$24,D$9+1,FALSE)="-","-",OFFSET(UPS!$C$37,AU280+AV280,SUMIF($A$10:$A$20,"*#"&amp;AS280,$AT$10:$AT$20))))</f>
        <v>-</v>
      </c>
      <c r="E280" s="440" t="str">
        <f t="shared" si="127"/>
        <v>-</v>
      </c>
      <c r="F280" s="440" t="str">
        <f t="shared" si="128"/>
        <v>-</v>
      </c>
      <c r="G280" s="440" t="str">
        <f>IF($A280="*","",VLOOKUP("*#"&amp;$AS280,$A$10:$I$24,G$9+1,FALSE))</f>
        <v>-</v>
      </c>
      <c r="H280" s="441" t="str">
        <f t="shared" si="130"/>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5">IF(A282="*","",VLOOKUP("*#"&amp;AS282,$A$9:$B$24,2,FALSE))</f>
        <v>ACT_COST</v>
      </c>
      <c r="C282" s="440" t="str">
        <f ca="1">IF($A282="*","",OFFSET(ITEMS_UPS!$C$8,AR282,0))</f>
        <v>UCOGCLEHGN</v>
      </c>
      <c r="D282" s="440" t="str">
        <f ca="1">IF($A282="*","",IF(VLOOKUP("*#"&amp;$AS282,$A$10:$I$24,D$9+1,FALSE)="-","-",OFFSET(UPS!$C$37,AU282+AV282,SUMIF($A$10:$A$20,"*#"&amp;AS282,$AT$10:$AT$20))))</f>
        <v>-</v>
      </c>
      <c r="E282" s="440" t="str">
        <f t="shared" ref="E282:E296" si="136">IF($A282="*","",IF(VLOOKUP("*#"&amp;$AS282,$A$10:$I$24,E$9+1,FALSE)="-","-",C282&amp;"-"&amp;RIGHT(VLOOKUP("*#"&amp;$AS282,$A$10:$I$24,E$9+1,FALSE),1)))</f>
        <v>-</v>
      </c>
      <c r="F282" s="440" t="str">
        <f t="shared" ref="F282:F296" si="137">IF($A282="*","",IF(VLOOKUP("*#"&amp;$AS282,$A$10:$I$24,F$9+1,FALSE)="-","-",C282&amp;"-"&amp;RIGHT(VLOOKUP("*#"&amp;$AS282,$A$10:$I$24,F$9+1,FALSE),1)))</f>
        <v>-</v>
      </c>
      <c r="G282" s="440" t="str">
        <f t="shared" ref="G282:G293" si="138">IF($A282="*","",VLOOKUP("*#"&amp;$AS282,$A$10:$I$20,G$9+1,FALSE))</f>
        <v>-</v>
      </c>
      <c r="H282" s="441" t="str">
        <f t="shared" ref="H282:H296" si="139">IF($A282="*","",VLOOKUP("*#"&amp;$AS282,$A$10:$I$24,H$9+1,FALSE))</f>
        <v>-</v>
      </c>
      <c r="I282" s="441">
        <f t="shared" ref="I282:I293" si="140">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5"/>
        <v>NCAP_AFA</v>
      </c>
      <c r="C283" s="440" t="str">
        <f ca="1">IF($A283="*","",OFFSET(ITEMS_UPS!$C$8,AR283,0))</f>
        <v>UCOGCLEHGN</v>
      </c>
      <c r="D283" s="440" t="str">
        <f ca="1">IF($A283="*","",IF(VLOOKUP("*#"&amp;$AS283,$A$10:$I$24,D$9+1,FALSE)="-","-",OFFSET(UPS!$C$37,AU283+AV283,SUMIF($A$10:$A$20,"*#"&amp;AS283,$AT$10:$AT$20))))</f>
        <v>-</v>
      </c>
      <c r="E283" s="440" t="str">
        <f t="shared" si="136"/>
        <v>-</v>
      </c>
      <c r="F283" s="440" t="str">
        <f t="shared" si="137"/>
        <v>-</v>
      </c>
      <c r="G283" s="440" t="str">
        <f t="shared" si="138"/>
        <v>ANNUAL</v>
      </c>
      <c r="H283" s="441" t="str">
        <f t="shared" si="139"/>
        <v>UP</v>
      </c>
      <c r="I283" s="441">
        <f t="shared" si="140"/>
        <v>3</v>
      </c>
      <c r="J283" s="163">
        <f ca="1">IF($A283="*","",OFFSET(UPS!$C$37,AU283,SUMIF($A$10:$A$20,"*#"&amp;AS283,$AT$10:$AT$20)))</f>
        <v>0.9</v>
      </c>
      <c r="K283" s="163"/>
      <c r="AR283" s="42">
        <f>AR282</f>
        <v>25</v>
      </c>
      <c r="AS283" s="42">
        <f t="shared" ref="AS283:AS288" si="141">IF(AR283=AR282,AS282+1,1)</f>
        <v>2</v>
      </c>
      <c r="AU283" s="42">
        <f ca="1">SUMIF(UPS!B$38:B$171,C283,UPS!BD$38:BD$171)</f>
        <v>122</v>
      </c>
    </row>
    <row r="284" spans="1:48">
      <c r="B284" s="440" t="str">
        <f t="shared" si="135"/>
        <v>NCAP_AFA</v>
      </c>
      <c r="C284" s="440" t="str">
        <f ca="1">IF($A284="*","",OFFSET(ITEMS_UPS!$C$8,AR284,0))</f>
        <v>UCOGCLEHGN</v>
      </c>
      <c r="D284" s="440" t="str">
        <f ca="1">IF($A284="*","",IF(VLOOKUP("*#"&amp;$AS284,$A$10:$I$24,D$9+1,FALSE)="-","-",OFFSET(UPS!$C$37,AU284+AV284,SUMIF($A$10:$A$20,"*#"&amp;AS284,$AT$10:$AT$20))))</f>
        <v>-</v>
      </c>
      <c r="E284" s="440" t="str">
        <f t="shared" si="136"/>
        <v>-</v>
      </c>
      <c r="F284" s="440" t="str">
        <f t="shared" si="137"/>
        <v>-</v>
      </c>
      <c r="G284" s="440" t="str">
        <f t="shared" si="138"/>
        <v>ANNUAL</v>
      </c>
      <c r="H284" s="441" t="str">
        <f t="shared" si="139"/>
        <v>LO</v>
      </c>
      <c r="I284" s="441">
        <f t="shared" si="140"/>
        <v>3</v>
      </c>
      <c r="J284" s="163" t="str">
        <f ca="1">IF($A284="*","",OFFSET(UPS!$C$37,AU284,SUMIF($A$10:$A$20,"*#"&amp;AS284,$AT$10:$AT$20)))</f>
        <v/>
      </c>
      <c r="K284" s="163"/>
      <c r="AR284" s="42">
        <f>AR283</f>
        <v>25</v>
      </c>
      <c r="AS284" s="42">
        <f t="shared" si="141"/>
        <v>3</v>
      </c>
      <c r="AU284" s="42">
        <f ca="1">SUMIF(UPS!B$38:B$171,C284,UPS!BD$38:BD$171)</f>
        <v>122</v>
      </c>
    </row>
    <row r="285" spans="1:48">
      <c r="B285" s="440" t="str">
        <f t="shared" si="135"/>
        <v>NCAP_FOM</v>
      </c>
      <c r="C285" s="440" t="str">
        <f ca="1">IF($A285="*","",OFFSET(ITEMS_UPS!$C$8,AR285,0))</f>
        <v>UCOGCLEHGN</v>
      </c>
      <c r="D285" s="440" t="str">
        <f ca="1">IF($A285="*","",IF(VLOOKUP("*#"&amp;$AS285,$A$10:$I$24,D$9+1,FALSE)="-","-",OFFSET(UPS!$C$37,AU285+AV285,SUMIF($A$10:$A$20,"*#"&amp;AS285,$AT$10:$AT$20))))</f>
        <v>-</v>
      </c>
      <c r="E285" s="440" t="str">
        <f t="shared" si="136"/>
        <v>-</v>
      </c>
      <c r="F285" s="440" t="str">
        <f t="shared" si="137"/>
        <v>-</v>
      </c>
      <c r="G285" s="440" t="str">
        <f t="shared" si="138"/>
        <v>-</v>
      </c>
      <c r="H285" s="441" t="str">
        <f t="shared" si="139"/>
        <v>-</v>
      </c>
      <c r="I285" s="441">
        <f t="shared" si="140"/>
        <v>0</v>
      </c>
      <c r="J285" s="163">
        <f ca="1">IF($A285="*","",OFFSET(UPS!$C$37,AU285,SUMIF($A$10:$A$20,"*#"&amp;AS285,$AT$10:$AT$20)))</f>
        <v>28.082922878115237</v>
      </c>
      <c r="K285" s="163"/>
      <c r="AR285" s="42">
        <f>AR284</f>
        <v>25</v>
      </c>
      <c r="AS285" s="42">
        <f t="shared" si="141"/>
        <v>4</v>
      </c>
      <c r="AU285" s="42">
        <f ca="1">SUMIF(UPS!B$38:B$171,C285,UPS!BD$38:BD$171)</f>
        <v>122</v>
      </c>
    </row>
    <row r="286" spans="1:48">
      <c r="B286" s="440" t="str">
        <f t="shared" si="135"/>
        <v>NCAP_BND</v>
      </c>
      <c r="C286" s="440" t="str">
        <f ca="1">IF($A286="*","",OFFSET(ITEMS_UPS!$C$8,AR286,0))</f>
        <v>UCOGCLEHGN</v>
      </c>
      <c r="D286" s="440" t="str">
        <f ca="1">IF($A286="*","",IF(VLOOKUP("*#"&amp;$AS286,$A$10:$I$24,D$9+1,FALSE)="-","-",OFFSET(UPS!$C$37,AU286+AV286,SUMIF($A$10:$A$20,"*#"&amp;AS286,$AT$10:$AT$20))))</f>
        <v>-</v>
      </c>
      <c r="E286" s="440" t="str">
        <f t="shared" si="136"/>
        <v>-</v>
      </c>
      <c r="F286" s="440" t="str">
        <f t="shared" si="137"/>
        <v>-</v>
      </c>
      <c r="G286" s="440" t="str">
        <f t="shared" si="138"/>
        <v>-</v>
      </c>
      <c r="H286" s="441" t="str">
        <f t="shared" si="139"/>
        <v>UP</v>
      </c>
      <c r="I286" s="441">
        <f t="shared" si="140"/>
        <v>3</v>
      </c>
      <c r="J286" s="163" t="str">
        <f ca="1">IF($A286="*","",OFFSET(UPS!$C$37,AU286,SUMIF($A$10:$A$20,"*#"&amp;AS286,$AT$10:$AT$20)))</f>
        <v/>
      </c>
      <c r="K286" s="163"/>
      <c r="AR286" s="42">
        <f>AR284</f>
        <v>25</v>
      </c>
      <c r="AS286" s="42">
        <f t="shared" si="141"/>
        <v>5</v>
      </c>
      <c r="AU286" s="42">
        <f ca="1">SUMIF(UPS!B$38:B$171,C286,UPS!BD$38:BD$171)</f>
        <v>122</v>
      </c>
    </row>
    <row r="287" spans="1:48" s="163" customFormat="1">
      <c r="B287" s="440" t="str">
        <f t="shared" si="135"/>
        <v>FLO_FUNC</v>
      </c>
      <c r="C287" s="440" t="str">
        <f ca="1">IF($A287="*","",OFFSET(ITEMS_UPS!$C$8,AR287,0))</f>
        <v>UCOGCLEHGN</v>
      </c>
      <c r="D287" s="440" t="str">
        <f ca="1">IF($A287="*","",IF(VLOOKUP("*#"&amp;$AS287,$A$10:$I$24,D$9+1,FALSE)="-","-",OFFSET(UPS!$C$37,AU287+AV287,SUMIF($A$10:$A$20,"*#"&amp;AS287,$AT$10:$AT$20))))</f>
        <v>-</v>
      </c>
      <c r="E287" s="440" t="str">
        <f t="shared" ca="1" si="136"/>
        <v>UCOGCLEHGN-I</v>
      </c>
      <c r="F287" s="440" t="str">
        <f t="shared" ca="1" si="137"/>
        <v>UCOGCLEHGN-O</v>
      </c>
      <c r="G287" s="440" t="str">
        <f t="shared" si="138"/>
        <v>ANNUAL</v>
      </c>
      <c r="H287" s="441" t="str">
        <f t="shared" si="139"/>
        <v>-</v>
      </c>
      <c r="I287" s="441">
        <f t="shared" si="140"/>
        <v>0</v>
      </c>
      <c r="J287" s="163">
        <f ca="1">IF($A287="*","",OFFSET(UPS!$C$37,AU287,SUMIF($A$10:$A$20,"*#"&amp;AS287,$AT$10:$AT$20)))</f>
        <v>0.65</v>
      </c>
      <c r="AR287" s="163">
        <f>AR286</f>
        <v>25</v>
      </c>
      <c r="AS287" s="42">
        <f t="shared" si="141"/>
        <v>6</v>
      </c>
      <c r="AU287" s="163">
        <f ca="1">AU286</f>
        <v>122</v>
      </c>
      <c r="AV287" s="42"/>
    </row>
    <row r="288" spans="1:48">
      <c r="B288" s="440" t="str">
        <f t="shared" si="135"/>
        <v>FLO_SHAR</v>
      </c>
      <c r="C288" s="440" t="str">
        <f ca="1">IF($A288="*","",OFFSET(ITEMS_UPS!$C$8,AR288,0))</f>
        <v>UCOGCLEHGN</v>
      </c>
      <c r="D288" s="440" t="str">
        <f ca="1">IF($A288="*","",IF(VLOOKUP("*#"&amp;$AS288,$A$10:$I$24,D$9+1,FALSE)="-","-",OFFSET(UPS!$C$37,AU288+AV288,SUMIF($A$10:$A$20,"*#"&amp;AS288,$AT$10:$AT$20))))</f>
        <v>UPSCLE</v>
      </c>
      <c r="E288" s="440" t="str">
        <f t="shared" ca="1" si="136"/>
        <v>UCOGCLEHGN-I</v>
      </c>
      <c r="F288" s="440" t="str">
        <f t="shared" si="137"/>
        <v>-</v>
      </c>
      <c r="G288" s="440" t="str">
        <f t="shared" si="138"/>
        <v>ANNUAL</v>
      </c>
      <c r="H288" s="441" t="str">
        <f t="shared" si="139"/>
        <v>FX</v>
      </c>
      <c r="I288" s="441">
        <f t="shared" si="140"/>
        <v>3</v>
      </c>
      <c r="J288" s="163">
        <f ca="1">IF($A288="*","",OFFSET(UPS!$C$37,AU288+AV288,SUMIF($A$10:$A$20,"*#"&amp;AS288,$AV$10:$AV$20)))</f>
        <v>0.69555865300183184</v>
      </c>
      <c r="K288" s="163"/>
      <c r="AR288" s="42">
        <f>AR286</f>
        <v>25</v>
      </c>
      <c r="AS288" s="42">
        <f t="shared" si="141"/>
        <v>7</v>
      </c>
      <c r="AU288" s="42">
        <f ca="1">SUMIF(UPS!B$38:B$171,C288,UPS!BD$38:BD$171)</f>
        <v>122</v>
      </c>
      <c r="AV288" s="42">
        <v>0</v>
      </c>
    </row>
    <row r="289" spans="1:51">
      <c r="B289" s="440" t="str">
        <f t="shared" si="135"/>
        <v>FLO_SHAR</v>
      </c>
      <c r="C289" s="440" t="str">
        <f ca="1">IF($A289="*","",OFFSET(ITEMS_UPS!$C$8,AR289,0))</f>
        <v>UCOGCLEHGN</v>
      </c>
      <c r="D289" s="440" t="str">
        <f ca="1">IF($A289="*","",IF(VLOOKUP("*#"&amp;$AS289,$A$10:$I$24,D$9+1,FALSE)="-","-",OFFSET(UPS!$C$37,AU289+AV289,SUMIF($A$10:$A$20,"*#"&amp;AS289,$AT$10:$AT$20))))</f>
        <v>UPSHEN</v>
      </c>
      <c r="E289" s="440" t="str">
        <f t="shared" ca="1" si="136"/>
        <v>UCOGCLEHGN-I</v>
      </c>
      <c r="F289" s="440" t="str">
        <f t="shared" si="137"/>
        <v>-</v>
      </c>
      <c r="G289" s="440" t="str">
        <f t="shared" si="138"/>
        <v>ANNUAL</v>
      </c>
      <c r="H289" s="441" t="str">
        <f t="shared" si="139"/>
        <v>FX</v>
      </c>
      <c r="I289" s="441">
        <f t="shared" si="140"/>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5"/>
        <v>FLO_SHAR</v>
      </c>
      <c r="C290" s="440" t="str">
        <f ca="1">IF($A290="*","",OFFSET(ITEMS_UPS!$C$8,AR290,0))</f>
        <v>UCOGCLEHGN</v>
      </c>
      <c r="D290" s="440" t="str">
        <f ca="1">IF($A290="*","",IF(VLOOKUP("*#"&amp;$AS290,$A$10:$I$24,D$9+1,FALSE)="-","-",OFFSET(UPS!$C$37,AU290+AV290,SUMIF($A$10:$A$20,"*#"&amp;AS290,$AT$10:$AT$20))))</f>
        <v>UPSELC</v>
      </c>
      <c r="E290" s="440" t="str">
        <f t="shared" ca="1" si="136"/>
        <v>UCOGCLEHGN-I</v>
      </c>
      <c r="F290" s="440" t="str">
        <f t="shared" si="137"/>
        <v>-</v>
      </c>
      <c r="G290" s="440" t="str">
        <f t="shared" si="138"/>
        <v>ANNUAL</v>
      </c>
      <c r="H290" s="441" t="str">
        <f t="shared" si="139"/>
        <v>FX</v>
      </c>
      <c r="I290" s="441">
        <f t="shared" si="140"/>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2">AV289+1</f>
        <v>2</v>
      </c>
    </row>
    <row r="291" spans="1:51">
      <c r="B291" s="440" t="str">
        <f t="shared" si="135"/>
        <v>FLO_SHAR</v>
      </c>
      <c r="C291" s="440" t="str">
        <f ca="1">IF($A291="*","",OFFSET(ITEMS_UPS!$C$8,AR291,0))</f>
        <v>UCOGCLEHGN</v>
      </c>
      <c r="D291" s="440" t="str">
        <f ca="1">IF($A291="*","",IF(VLOOKUP("*#"&amp;$AS291,$A$10:$I$24,D$9+1,FALSE)="-","-",OFFSET(UPS!$C$37,AU291+AV291,SUMIF($A$10:$A$20,"*#"&amp;AS291,$AT$10:$AT$20))))</f>
        <v>UPSHGN</v>
      </c>
      <c r="E291" s="440" t="str">
        <f t="shared" ca="1" si="136"/>
        <v>UCOGCLEHGN-O</v>
      </c>
      <c r="F291" s="440" t="str">
        <f t="shared" si="137"/>
        <v>-</v>
      </c>
      <c r="G291" s="440" t="str">
        <f t="shared" si="138"/>
        <v>ANNUAL</v>
      </c>
      <c r="H291" s="441" t="str">
        <f t="shared" si="139"/>
        <v>UP</v>
      </c>
      <c r="I291" s="441">
        <f t="shared" si="140"/>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3">AR289</f>
        <v>25</v>
      </c>
      <c r="AS291" s="42">
        <v>8</v>
      </c>
      <c r="AU291" s="42">
        <f ca="1">SUMIF(UPS!B$38:B$171,C291,UPS!BD$38:BD$171)</f>
        <v>122</v>
      </c>
      <c r="AV291" s="42">
        <f t="shared" si="142"/>
        <v>3</v>
      </c>
    </row>
    <row r="292" spans="1:51">
      <c r="B292" s="440" t="str">
        <f t="shared" si="135"/>
        <v>FLO_EMIS</v>
      </c>
      <c r="C292" s="440" t="str">
        <f ca="1">IF($A292="*","",OFFSET(ITEMS_UPS!$C$8,AR292,0))</f>
        <v>UCOGCLEHGN</v>
      </c>
      <c r="D292" s="440" t="str">
        <f>$D$18</f>
        <v>UPSCO2S</v>
      </c>
      <c r="E292" s="440" t="str">
        <f t="shared" ca="1" si="136"/>
        <v>UCOGCLEHGN-O</v>
      </c>
      <c r="F292" s="440" t="str">
        <f t="shared" si="137"/>
        <v>-</v>
      </c>
      <c r="G292" s="440" t="str">
        <f t="shared" si="138"/>
        <v>ANNUAL</v>
      </c>
      <c r="H292" s="441" t="str">
        <f t="shared" si="139"/>
        <v>-</v>
      </c>
      <c r="I292" s="441">
        <f t="shared" si="140"/>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3"/>
        <v>25</v>
      </c>
      <c r="AS292" s="42">
        <f>AS291+1</f>
        <v>9</v>
      </c>
      <c r="AU292" s="42">
        <f ca="1">SUMIF(UPS!B$38:B$171,C292,UPS!BD$38:BD$171)</f>
        <v>122</v>
      </c>
      <c r="AY292" s="42" t="str">
        <f>D292</f>
        <v>UPSCO2S</v>
      </c>
    </row>
    <row r="293" spans="1:51">
      <c r="B293" s="440" t="str">
        <f t="shared" si="135"/>
        <v>FLO_EMIS</v>
      </c>
      <c r="C293" s="440" t="str">
        <f ca="1">IF($A293="*","",OFFSET(ITEMS_UPS!$C$8,AR293,0))</f>
        <v>UCOGCLEHGN</v>
      </c>
      <c r="D293" s="440" t="str">
        <f>$D$19</f>
        <v>UPSCH4S</v>
      </c>
      <c r="E293" s="440" t="str">
        <f t="shared" ca="1" si="136"/>
        <v>UCOGCLEHGN-O</v>
      </c>
      <c r="F293" s="440" t="str">
        <f t="shared" si="137"/>
        <v>-</v>
      </c>
      <c r="G293" s="440" t="str">
        <f t="shared" si="138"/>
        <v>ANNUAL</v>
      </c>
      <c r="H293" s="441" t="str">
        <f t="shared" si="139"/>
        <v>-</v>
      </c>
      <c r="I293" s="441">
        <f t="shared" si="140"/>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3"/>
        <v>25</v>
      </c>
      <c r="AS293" s="42">
        <f>AS292+1</f>
        <v>10</v>
      </c>
      <c r="AU293" s="42">
        <f ca="1">SUMIF(UPS!B$38:B$171,C293,UPS!BD$38:BD$171)</f>
        <v>122</v>
      </c>
      <c r="AY293" s="42" t="str">
        <f>D293</f>
        <v>UPSCH4S</v>
      </c>
    </row>
    <row r="294" spans="1:51">
      <c r="B294" s="440" t="str">
        <f t="shared" si="135"/>
        <v>NCAP_COST</v>
      </c>
      <c r="C294" s="440" t="str">
        <f ca="1">IF($A294="*","",OFFSET(ITEMS_UPS!$C$8,AR294,0))</f>
        <v>UCOGCLEHGN</v>
      </c>
      <c r="D294" s="440" t="str">
        <f ca="1">IF($A294="*","",IF(VLOOKUP("*#"&amp;$AS294,$A$10:$I$24,D$9+1,FALSE)="-","-",OFFSET(UPS!$C$37,AU294+AV294,SUMIF($A$10:$A$20,"*#"&amp;AS294,$AT$10:$AT$20))))</f>
        <v>-</v>
      </c>
      <c r="E294" s="440" t="str">
        <f t="shared" si="136"/>
        <v>-</v>
      </c>
      <c r="F294" s="440" t="str">
        <f t="shared" si="137"/>
        <v>-</v>
      </c>
      <c r="G294" s="440" t="str">
        <f>IF($A294="*","",VLOOKUP("*#"&amp;$AS294,$A$10:$I$24,G$9+1,FALSE))</f>
        <v>-</v>
      </c>
      <c r="H294" s="441" t="str">
        <f t="shared" si="139"/>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3"/>
        <v>25</v>
      </c>
      <c r="AS294" s="42">
        <f>AS293+2</f>
        <v>12</v>
      </c>
      <c r="AU294" s="42">
        <f ca="1">SUMIF(UPS!B$38:B$171,C294,UPS!BD$38:BD$171)</f>
        <v>122</v>
      </c>
    </row>
    <row r="295" spans="1:51">
      <c r="B295" s="440" t="str">
        <f t="shared" si="135"/>
        <v>NCAP_TLIFE</v>
      </c>
      <c r="C295" s="440" t="str">
        <f ca="1">IF($A295="*","",OFFSET(ITEMS_UPS!$C$8,AR295,0))</f>
        <v>UCOGCLEHGN</v>
      </c>
      <c r="D295" s="440" t="str">
        <f ca="1">IF($A295="*","",IF(VLOOKUP("*#"&amp;$AS295,$A$10:$I$24,D$9+1,FALSE)="-","-",OFFSET(UPS!$C$37,AU295+AV295,SUMIF($A$10:$A$20,"*#"&amp;AS295,$AT$10:$AT$20))))</f>
        <v>-</v>
      </c>
      <c r="E295" s="440" t="str">
        <f t="shared" si="136"/>
        <v>-</v>
      </c>
      <c r="F295" s="440" t="str">
        <f t="shared" si="137"/>
        <v>-</v>
      </c>
      <c r="G295" s="440" t="str">
        <f>IF($A295="*","",VLOOKUP("*#"&amp;$AS295,$A$10:$I$24,G$9+1,FALSE))</f>
        <v>-</v>
      </c>
      <c r="H295" s="441" t="str">
        <f t="shared" si="139"/>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3"/>
        <v>25</v>
      </c>
      <c r="AS295" s="42">
        <f>AS294+1</f>
        <v>13</v>
      </c>
      <c r="AU295" s="42">
        <f ca="1">SUMIF(UPS!B$38:B$171,C295,UPS!BD$38:BD$171)</f>
        <v>122</v>
      </c>
    </row>
    <row r="296" spans="1:51">
      <c r="B296" s="440" t="str">
        <f t="shared" si="135"/>
        <v>NCAP_ILED</v>
      </c>
      <c r="C296" s="440" t="str">
        <f ca="1">IF($A296="*","",OFFSET(ITEMS_UPS!$C$8,AR296,0))</f>
        <v>UCOGCLEHGN</v>
      </c>
      <c r="D296" s="440" t="str">
        <f ca="1">IF($A296="*","",IF(VLOOKUP("*#"&amp;$AS296,$A$10:$I$24,D$9+1,FALSE)="-","-",OFFSET(UPS!$C$37,AU296+AV296,SUMIF($A$10:$A$20,"*#"&amp;AS296,$AT$10:$AT$20))))</f>
        <v>-</v>
      </c>
      <c r="E296" s="440" t="str">
        <f t="shared" si="136"/>
        <v>-</v>
      </c>
      <c r="F296" s="440" t="str">
        <f t="shared" si="137"/>
        <v>-</v>
      </c>
      <c r="G296" s="440" t="str">
        <f>IF($A296="*","",VLOOKUP("*#"&amp;$AS296,$A$10:$I$24,G$9+1,FALSE))</f>
        <v>-</v>
      </c>
      <c r="H296" s="441" t="str">
        <f t="shared" si="139"/>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3"/>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4">IF(A298="*","",VLOOKUP("*#"&amp;AS298,$A$9:$B$24,2,FALSE))</f>
        <v>ACT_COST</v>
      </c>
      <c r="C298" s="440" t="str">
        <f ca="1">IF($A298="*","",OFFSET(ITEMS_UPS!$C$8,AR298,0))</f>
        <v>UELEP1HGN</v>
      </c>
      <c r="D298" s="440" t="str">
        <f ca="1">IF($A298="*","",IF(VLOOKUP("*#"&amp;$AS298,$A$10:$I$24,D$9+1,FALSE)="-","-",OFFSET(UPS!$C$37,AU298+AV298,SUMIF($A$10:$A$20,"*#"&amp;AS298,$AT$10:$AT$20))))</f>
        <v>-</v>
      </c>
      <c r="E298" s="440" t="str">
        <f t="shared" ref="E298:E309" si="145">IF($A298="*","",IF(VLOOKUP("*#"&amp;$AS298,$A$10:$I$24,E$9+1,FALSE)="-","-",C298&amp;"-"&amp;RIGHT(VLOOKUP("*#"&amp;$AS298,$A$10:$I$24,E$9+1,FALSE),1)))</f>
        <v>-</v>
      </c>
      <c r="F298" s="440" t="str">
        <f t="shared" ref="F298:F309" si="146">IF($A298="*","",IF(VLOOKUP("*#"&amp;$AS298,$A$10:$I$24,F$9+1,FALSE)="-","-",C298&amp;"-"&amp;RIGHT(VLOOKUP("*#"&amp;$AS298,$A$10:$I$24,F$9+1,FALSE),1)))</f>
        <v>-</v>
      </c>
      <c r="G298" s="440" t="str">
        <f t="shared" ref="G298:G306" si="147">IF($A298="*","",VLOOKUP("*#"&amp;$AS298,$A$10:$I$20,G$9+1,FALSE))</f>
        <v>-</v>
      </c>
      <c r="H298" s="441" t="str">
        <f t="shared" ref="H298:H314" si="148">IF($A298="*","",VLOOKUP("*#"&amp;$AS298,$A$10:$I$24,H$9+1,FALSE))</f>
        <v>-</v>
      </c>
      <c r="I298" s="441">
        <f t="shared" ref="I298:I306" si="149">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4"/>
        <v>NCAP_AFA</v>
      </c>
      <c r="C299" s="440" t="str">
        <f ca="1">IF($A299="*","",OFFSET(ITEMS_UPS!$C$8,AR299,0))</f>
        <v>UELEP1HGN</v>
      </c>
      <c r="D299" s="440" t="str">
        <f ca="1">IF($A299="*","",IF(VLOOKUP("*#"&amp;$AS299,$A$10:$I$24,D$9+1,FALSE)="-","-",OFFSET(UPS!$C$37,AU299+AV299,SUMIF($A$10:$A$20,"*#"&amp;AS299,$AT$10:$AT$20))))</f>
        <v>-</v>
      </c>
      <c r="E299" s="440" t="str">
        <f t="shared" si="145"/>
        <v>-</v>
      </c>
      <c r="F299" s="440" t="str">
        <f t="shared" si="146"/>
        <v>-</v>
      </c>
      <c r="G299" s="440" t="str">
        <f t="shared" si="147"/>
        <v>ANNUAL</v>
      </c>
      <c r="H299" s="441" t="str">
        <f t="shared" si="148"/>
        <v>UP</v>
      </c>
      <c r="I299" s="441">
        <f t="shared" si="149"/>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4"/>
        <v>NCAP_AFA</v>
      </c>
      <c r="C300" s="440" t="str">
        <f ca="1">IF($A300="*","",OFFSET(ITEMS_UPS!$C$8,AR300,0))</f>
        <v>UELEP1HGN</v>
      </c>
      <c r="D300" s="440" t="str">
        <f ca="1">IF($A300="*","",IF(VLOOKUP("*#"&amp;$AS300,$A$10:$I$24,D$9+1,FALSE)="-","-",OFFSET(UPS!$C$37,AU300+AV300,SUMIF($A$10:$A$20,"*#"&amp;AS300,$AT$10:$AT$20))))</f>
        <v>-</v>
      </c>
      <c r="E300" s="440" t="str">
        <f t="shared" si="145"/>
        <v>-</v>
      </c>
      <c r="F300" s="440" t="str">
        <f t="shared" si="146"/>
        <v>-</v>
      </c>
      <c r="G300" s="440" t="str">
        <f t="shared" si="147"/>
        <v>ANNUAL</v>
      </c>
      <c r="H300" s="441" t="str">
        <f t="shared" si="148"/>
        <v>LO</v>
      </c>
      <c r="I300" s="441">
        <f t="shared" si="149"/>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4"/>
        <v>NCAP_FOM</v>
      </c>
      <c r="C301" s="440" t="str">
        <f ca="1">IF($A301="*","",OFFSET(ITEMS_UPS!$C$8,AR301,0))</f>
        <v>UELEP1HGN</v>
      </c>
      <c r="D301" s="440" t="str">
        <f ca="1">IF($A301="*","",IF(VLOOKUP("*#"&amp;$AS301,$A$10:$I$24,D$9+1,FALSE)="-","-",OFFSET(UPS!$C$37,AU301+AV301,SUMIF($A$10:$A$20,"*#"&amp;AS301,$AT$10:$AT$20))))</f>
        <v>-</v>
      </c>
      <c r="E301" s="440" t="str">
        <f t="shared" si="145"/>
        <v>-</v>
      </c>
      <c r="F301" s="440" t="str">
        <f t="shared" si="146"/>
        <v>-</v>
      </c>
      <c r="G301" s="440" t="str">
        <f t="shared" si="147"/>
        <v>-</v>
      </c>
      <c r="H301" s="441" t="str">
        <f t="shared" si="148"/>
        <v>-</v>
      </c>
      <c r="I301" s="441">
        <f t="shared" si="149"/>
        <v>0</v>
      </c>
      <c r="J301" s="163">
        <f ca="1">IF($A301="*","",OFFSET(UPS!$C$37,AU301,SUMIF($A$10:$A$20,"*#"&amp;AS301,$AT$10:$AT$20)))</f>
        <v>294.63025210084032</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294.63025210084032</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203.19327731092434</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111.75630252100839</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94.065699006875491</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76.37509549274256</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4"/>
        <v>FLO_FUNC</v>
      </c>
      <c r="C302" s="440" t="str">
        <f ca="1">IF($A302="*","",OFFSET(ITEMS_UPS!$C$8,AR302,0))</f>
        <v>UELEP1HGN</v>
      </c>
      <c r="D302" s="440" t="str">
        <f ca="1">IF($A302="*","",IF(VLOOKUP("*#"&amp;$AS302,$A$10:$I$24,D$9+1,FALSE)="-","-",OFFSET(UPS!$C$37,AU302+AV302,SUMIF($A$10:$A$20,"*#"&amp;AS302,$AT$10:$AT$20))))</f>
        <v>-</v>
      </c>
      <c r="E302" s="440" t="str">
        <f t="shared" ca="1" si="145"/>
        <v>UELEP1HGN-I</v>
      </c>
      <c r="F302" s="440" t="str">
        <f t="shared" ca="1" si="146"/>
        <v>UELEP1HGN-O</v>
      </c>
      <c r="G302" s="440" t="str">
        <f t="shared" si="147"/>
        <v>ANNUAL</v>
      </c>
      <c r="H302" s="441" t="str">
        <f t="shared" si="148"/>
        <v>-</v>
      </c>
      <c r="I302" s="441">
        <f t="shared" si="149"/>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4"/>
        <v>FLO_SHAR</v>
      </c>
      <c r="C303" s="440" t="str">
        <f ca="1">IF($A303="*","",OFFSET(ITEMS_UPS!$C$8,AR303,0))</f>
        <v>UELEP1HGN</v>
      </c>
      <c r="D303" s="440" t="str">
        <f ca="1">IF($A303="*","",IF(VLOOKUP("*#"&amp;$AS303,$A$10:$I$24,D$9+1,FALSE)="-","-",OFFSET(UPS!$C$37,AU303+AV303,SUMIF($A$10:$A$20,"*#"&amp;AS303,$AT$10:$AT$20))))</f>
        <v>UPSELC</v>
      </c>
      <c r="E303" s="440" t="str">
        <f t="shared" ca="1" si="145"/>
        <v>UELEP1HGN-I</v>
      </c>
      <c r="F303" s="440" t="str">
        <f t="shared" si="146"/>
        <v>-</v>
      </c>
      <c r="G303" s="440" t="str">
        <f t="shared" si="147"/>
        <v>ANNUAL</v>
      </c>
      <c r="H303" s="441" t="str">
        <f t="shared" si="148"/>
        <v>FX</v>
      </c>
      <c r="I303" s="441">
        <f t="shared" si="149"/>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4"/>
        <v>FLO_SHAR</v>
      </c>
      <c r="C304" s="440" t="str">
        <f ca="1">IF($A304="*","",OFFSET(ITEMS_UPS!$C$8,AR304,0))</f>
        <v>UELEP1HGN</v>
      </c>
      <c r="D304" s="440" t="str">
        <f ca="1">IF($A304="*","",IF(VLOOKUP("*#"&amp;$AS304,$A$10:$I$24,D$9+1,FALSE)="-","-",OFFSET(UPS!$C$37,AU304+AV304,SUMIF($A$10:$A$20,"*#"&amp;AS304,$AT$10:$AT$20))))</f>
        <v>UPSHGN</v>
      </c>
      <c r="E304" s="440" t="str">
        <f t="shared" ca="1" si="145"/>
        <v>UELEP1HGN-O</v>
      </c>
      <c r="F304" s="440" t="str">
        <f t="shared" si="146"/>
        <v>-</v>
      </c>
      <c r="G304" s="440" t="str">
        <f t="shared" si="147"/>
        <v>ANNUAL</v>
      </c>
      <c r="H304" s="441" t="str">
        <f t="shared" si="148"/>
        <v>UP</v>
      </c>
      <c r="I304" s="441">
        <f t="shared" si="149"/>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50">AR303</f>
        <v>26</v>
      </c>
      <c r="AS304" s="42">
        <f>IF(AR304=AR303,AS303+1,1)</f>
        <v>8</v>
      </c>
      <c r="AU304" s="42">
        <f ca="1">SUMIF(UPS!B$38:B$171,C304,UPS!BD$38:BD$171)</f>
        <v>128</v>
      </c>
      <c r="AV304" s="42">
        <v>1</v>
      </c>
    </row>
    <row r="305" spans="1:51">
      <c r="B305" s="440" t="str">
        <f t="shared" si="144"/>
        <v>FLO_EMIS</v>
      </c>
      <c r="C305" s="440" t="str">
        <f ca="1">IF($A305="*","",OFFSET(ITEMS_UPS!$C$8,AR305,0))</f>
        <v>UELEP1HGN</v>
      </c>
      <c r="D305" s="440" t="str">
        <f>$D$18</f>
        <v>UPSCO2S</v>
      </c>
      <c r="E305" s="440" t="str">
        <f t="shared" ca="1" si="145"/>
        <v>UELEP1HGN-O</v>
      </c>
      <c r="F305" s="440" t="str">
        <f t="shared" si="146"/>
        <v>-</v>
      </c>
      <c r="G305" s="440" t="str">
        <f t="shared" si="147"/>
        <v>ANNUAL</v>
      </c>
      <c r="H305" s="441" t="str">
        <f t="shared" si="148"/>
        <v>-</v>
      </c>
      <c r="I305" s="441">
        <f t="shared" si="149"/>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50"/>
        <v>26</v>
      </c>
      <c r="AS305" s="42">
        <f>AS304+1</f>
        <v>9</v>
      </c>
      <c r="AU305" s="42">
        <f ca="1">SUMIF(UPS!B$38:B$171,C305,UPS!BD$38:BD$171)</f>
        <v>128</v>
      </c>
      <c r="AY305" s="42" t="str">
        <f>D305</f>
        <v>UPSCO2S</v>
      </c>
    </row>
    <row r="306" spans="1:51">
      <c r="B306" s="440" t="str">
        <f t="shared" si="144"/>
        <v>FLO_EMIS</v>
      </c>
      <c r="C306" s="440" t="str">
        <f ca="1">IF($A306="*","",OFFSET(ITEMS_UPS!$C$8,AR306,0))</f>
        <v>UELEP1HGN</v>
      </c>
      <c r="D306" s="440" t="str">
        <f>$D$19</f>
        <v>UPSCH4S</v>
      </c>
      <c r="E306" s="440" t="str">
        <f t="shared" ca="1" si="145"/>
        <v>UELEP1HGN-O</v>
      </c>
      <c r="F306" s="440" t="str">
        <f t="shared" si="146"/>
        <v>-</v>
      </c>
      <c r="G306" s="440" t="str">
        <f t="shared" si="147"/>
        <v>ANNUAL</v>
      </c>
      <c r="H306" s="441" t="str">
        <f t="shared" si="148"/>
        <v>-</v>
      </c>
      <c r="I306" s="441">
        <f t="shared" si="149"/>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50"/>
        <v>26</v>
      </c>
      <c r="AS306" s="42">
        <f>AS305+1</f>
        <v>10</v>
      </c>
      <c r="AU306" s="42">
        <f ca="1">SUMIF(UPS!B$38:B$171,C306,UPS!BD$38:BD$171)</f>
        <v>128</v>
      </c>
      <c r="AY306" s="42" t="str">
        <f>D306</f>
        <v>UPSCH4S</v>
      </c>
    </row>
    <row r="307" spans="1:51">
      <c r="B307" s="440" t="str">
        <f t="shared" si="144"/>
        <v>NCAP_COST</v>
      </c>
      <c r="C307" s="440" t="str">
        <f ca="1">IF($A307="*","",OFFSET(ITEMS_UPS!$C$8,AR307,0))</f>
        <v>UELEP1HGN</v>
      </c>
      <c r="D307" s="440" t="str">
        <f ca="1">IF($A307="*","",IF(VLOOKUP("*#"&amp;$AS307,$A$10:$I$24,D$9+1,FALSE)="-","-",OFFSET(UPS!$C$37,AU307+AV307,SUMIF($A$10:$A$20,"*#"&amp;AS307,$AT$10:$AT$20))))</f>
        <v>-</v>
      </c>
      <c r="E307" s="440" t="str">
        <f t="shared" si="145"/>
        <v>-</v>
      </c>
      <c r="F307" s="440" t="str">
        <f t="shared" si="146"/>
        <v>-</v>
      </c>
      <c r="G307" s="440" t="str">
        <f>IF($A307="*","",VLOOKUP("*#"&amp;$AS307,$A$10:$I$24,G$9+1,FALSE))</f>
        <v>-</v>
      </c>
      <c r="H307" s="441" t="str">
        <f t="shared" si="148"/>
        <v>-</v>
      </c>
      <c r="I307" s="441">
        <f>IF($A307="*","",VLOOKUP("*#"&amp;$AS307,$A$10:$I$24,I$9+1,FALSE))</f>
        <v>0</v>
      </c>
      <c r="J307" s="163">
        <f ca="1">IF($A307="*","",OFFSET(UPS!$C$37,AU307,SUMIF($A$10:$A$24,"*#"&amp;AS307,$AT$10:$AT$24)))</f>
        <v>19642.016806722688</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19642.016806722688</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13546.218487394957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7450.4201680672268</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6271.0466004583659</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5091.6730328495041</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50"/>
        <v>26</v>
      </c>
      <c r="AS307" s="42">
        <f>AS306+2</f>
        <v>12</v>
      </c>
      <c r="AU307" s="42">
        <f ca="1">SUMIF(UPS!B$38:B$171,C307,UPS!BD$38:BD$171)</f>
        <v>128</v>
      </c>
    </row>
    <row r="308" spans="1:51">
      <c r="B308" s="440" t="str">
        <f t="shared" si="144"/>
        <v>NCAP_TLIFE</v>
      </c>
      <c r="C308" s="440" t="str">
        <f ca="1">IF($A308="*","",OFFSET(ITEMS_UPS!$C$8,AR308,0))</f>
        <v>UELEP1HGN</v>
      </c>
      <c r="D308" s="440" t="str">
        <f ca="1">IF($A308="*","",IF(VLOOKUP("*#"&amp;$AS308,$A$10:$I$24,D$9+1,FALSE)="-","-",OFFSET(UPS!$C$37,AU308+AV308,SUMIF($A$10:$A$20,"*#"&amp;AS308,$AT$10:$AT$20))))</f>
        <v>-</v>
      </c>
      <c r="E308" s="440" t="str">
        <f t="shared" si="145"/>
        <v>-</v>
      </c>
      <c r="F308" s="440" t="str">
        <f t="shared" si="146"/>
        <v>-</v>
      </c>
      <c r="G308" s="440" t="str">
        <f>IF($A308="*","",VLOOKUP("*#"&amp;$AS308,$A$10:$I$24,G$9+1,FALSE))</f>
        <v>-</v>
      </c>
      <c r="H308" s="441" t="str">
        <f t="shared" si="148"/>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50"/>
        <v>26</v>
      </c>
      <c r="AS308" s="42">
        <f>AS307+1</f>
        <v>13</v>
      </c>
      <c r="AU308" s="42">
        <f ca="1">SUMIF(UPS!B$38:B$171,C308,UPS!BD$38:BD$171)</f>
        <v>128</v>
      </c>
    </row>
    <row r="309" spans="1:51">
      <c r="B309" s="440" t="str">
        <f t="shared" si="144"/>
        <v>NCAP_ILED</v>
      </c>
      <c r="C309" s="440" t="str">
        <f ca="1">IF($A309="*","",OFFSET(ITEMS_UPS!$C$8,AR309,0))</f>
        <v>UELEP1HGN</v>
      </c>
      <c r="D309" s="440" t="str">
        <f ca="1">IF($A309="*","",IF(VLOOKUP("*#"&amp;$AS309,$A$10:$I$24,D$9+1,FALSE)="-","-",OFFSET(UPS!$C$37,AU309+AV309,SUMIF($A$10:$A$20,"*#"&amp;AS309,$AT$10:$AT$20))))</f>
        <v>-</v>
      </c>
      <c r="E309" s="440" t="str">
        <f t="shared" si="145"/>
        <v>-</v>
      </c>
      <c r="F309" s="440" t="str">
        <f t="shared" si="146"/>
        <v>-</v>
      </c>
      <c r="G309" s="440" t="str">
        <f>IF($A309="*","",VLOOKUP("*#"&amp;$AS309,$A$10:$I$24,G$9+1,FALSE))</f>
        <v>-</v>
      </c>
      <c r="H309" s="441" t="str">
        <f t="shared" si="148"/>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50"/>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1">IF(A311="*","",VLOOKUP("*#"&amp;AS311,$A$9:$B$24,2,FALSE))</f>
        <v>ACT_COST</v>
      </c>
      <c r="C311" s="440" t="str">
        <f ca="1">IF($A311="*","",OFFSET(ITEMS_UPS!$C$8,AR311,0))</f>
        <v>UELEA1HGN</v>
      </c>
      <c r="D311" s="440" t="str">
        <f ca="1">IF($A311="*","",IF(VLOOKUP("*#"&amp;$AS311,$A$10:$I$24,D$9+1,FALSE)="-","-",OFFSET(UPS!$C$37,AU311+AV311,SUMIF($A$10:$A$20,"*#"&amp;AS311,$AT$10:$AT$20))))</f>
        <v>-</v>
      </c>
      <c r="E311" s="440" t="str">
        <f t="shared" ref="E311:E322" si="152">IF($A311="*","",IF(VLOOKUP("*#"&amp;$AS311,$A$10:$I$24,E$9+1,FALSE)="-","-",C311&amp;"-"&amp;RIGHT(VLOOKUP("*#"&amp;$AS311,$A$10:$I$24,E$9+1,FALSE),1)))</f>
        <v>-</v>
      </c>
      <c r="F311" s="440" t="str">
        <f t="shared" ref="F311:F322" si="153">IF($A311="*","",IF(VLOOKUP("*#"&amp;$AS311,$A$10:$I$24,F$9+1,FALSE)="-","-",C311&amp;"-"&amp;RIGHT(VLOOKUP("*#"&amp;$AS311,$A$10:$I$24,F$9+1,FALSE),1)))</f>
        <v>-</v>
      </c>
      <c r="G311" s="440" t="str">
        <f t="shared" ref="G311:G319" si="154">IF($A311="*","",VLOOKUP("*#"&amp;$AS311,$A$10:$I$20,G$9+1,FALSE))</f>
        <v>-</v>
      </c>
      <c r="H311" s="441" t="str">
        <f t="shared" si="148"/>
        <v>-</v>
      </c>
      <c r="I311" s="441">
        <f t="shared" ref="I311:I319" si="155">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1"/>
        <v>NCAP_AFA</v>
      </c>
      <c r="C312" s="440" t="str">
        <f ca="1">IF($A312="*","",OFFSET(ITEMS_UPS!$C$8,AR312,0))</f>
        <v>UELEA1HGN</v>
      </c>
      <c r="D312" s="440" t="str">
        <f ca="1">IF($A312="*","",IF(VLOOKUP("*#"&amp;$AS312,$A$10:$I$24,D$9+1,FALSE)="-","-",OFFSET(UPS!$C$37,AU312+AV312,SUMIF($A$10:$A$20,"*#"&amp;AS312,$AT$10:$AT$20))))</f>
        <v>-</v>
      </c>
      <c r="E312" s="440" t="str">
        <f t="shared" si="152"/>
        <v>-</v>
      </c>
      <c r="F312" s="440" t="str">
        <f t="shared" si="153"/>
        <v>-</v>
      </c>
      <c r="G312" s="440" t="str">
        <f t="shared" si="154"/>
        <v>ANNUAL</v>
      </c>
      <c r="H312" s="441" t="str">
        <f t="shared" si="148"/>
        <v>UP</v>
      </c>
      <c r="I312" s="441">
        <f t="shared" si="155"/>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50"/>
        <v>27</v>
      </c>
      <c r="AS312" s="42">
        <f>IF(AR312=AR311,AS311+1,1)</f>
        <v>2</v>
      </c>
      <c r="AU312" s="42">
        <f ca="1">SUMIF(UPS!B$38:B$171,C312,UPS!BD$38:BD$171)</f>
        <v>131</v>
      </c>
    </row>
    <row r="313" spans="1:51">
      <c r="B313" s="440" t="str">
        <f t="shared" si="151"/>
        <v>NCAP_AFA</v>
      </c>
      <c r="C313" s="440" t="str">
        <f ca="1">IF($A313="*","",OFFSET(ITEMS_UPS!$C$8,AR313,0))</f>
        <v>UELEA1HGN</v>
      </c>
      <c r="D313" s="440" t="str">
        <f ca="1">IF($A313="*","",IF(VLOOKUP("*#"&amp;$AS313,$A$10:$I$24,D$9+1,FALSE)="-","-",OFFSET(UPS!$C$37,AU313+AV313,SUMIF($A$10:$A$20,"*#"&amp;AS313,$AT$10:$AT$20))))</f>
        <v>-</v>
      </c>
      <c r="E313" s="440" t="str">
        <f t="shared" si="152"/>
        <v>-</v>
      </c>
      <c r="F313" s="440" t="str">
        <f t="shared" si="153"/>
        <v>-</v>
      </c>
      <c r="G313" s="440" t="str">
        <f t="shared" si="154"/>
        <v>ANNUAL</v>
      </c>
      <c r="H313" s="441" t="str">
        <f t="shared" si="148"/>
        <v>LO</v>
      </c>
      <c r="I313" s="441">
        <f t="shared" si="155"/>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50"/>
        <v>27</v>
      </c>
      <c r="AS313" s="42">
        <f t="shared" ref="AS313:AS324" si="156">IF(AR313=AR312,AS312+1,1)</f>
        <v>3</v>
      </c>
      <c r="AU313" s="42">
        <f ca="1">SUMIF(UPS!B$38:B$171,C313,UPS!BD$38:BD$171)</f>
        <v>131</v>
      </c>
    </row>
    <row r="314" spans="1:51">
      <c r="B314" s="440" t="str">
        <f t="shared" si="151"/>
        <v>NCAP_FOM</v>
      </c>
      <c r="C314" s="440" t="str">
        <f ca="1">IF($A314="*","",OFFSET(ITEMS_UPS!$C$8,AR314,0))</f>
        <v>UELEA1HGN</v>
      </c>
      <c r="D314" s="440" t="str">
        <f ca="1">IF($A314="*","",IF(VLOOKUP("*#"&amp;$AS314,$A$10:$I$24,D$9+1,FALSE)="-","-",OFFSET(UPS!$C$37,AU314+AV314,SUMIF($A$10:$A$20,"*#"&amp;AS314,$AT$10:$AT$20))))</f>
        <v>-</v>
      </c>
      <c r="E314" s="440" t="str">
        <f t="shared" si="152"/>
        <v>-</v>
      </c>
      <c r="F314" s="440" t="str">
        <f t="shared" si="153"/>
        <v>-</v>
      </c>
      <c r="G314" s="440" t="str">
        <f t="shared" si="154"/>
        <v>-</v>
      </c>
      <c r="H314" s="441" t="str">
        <f t="shared" si="148"/>
        <v>-</v>
      </c>
      <c r="I314" s="441">
        <f t="shared" si="155"/>
        <v>0</v>
      </c>
      <c r="J314" s="163">
        <f ca="1">IF($A314="*","",OFFSET(UPS!$C$37,AU314,SUMIF($A$10:$A$20,"*#"&amp;AS314,$AT$10:$AT$20)))</f>
        <v>193.03361344537814</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193.03361344537814</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142.23529411764704</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91.436974789915965</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72.854341736694693</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54.271708683473392</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50"/>
        <v>27</v>
      </c>
      <c r="AS314" s="42">
        <f t="shared" si="156"/>
        <v>4</v>
      </c>
      <c r="AU314" s="42">
        <f ca="1">SUMIF(UPS!B$38:B$171,C314,UPS!BD$38:BD$171)</f>
        <v>131</v>
      </c>
    </row>
    <row r="315" spans="1:51">
      <c r="B315" s="440" t="str">
        <f t="shared" si="151"/>
        <v>NCAP_BND</v>
      </c>
      <c r="C315" s="440" t="str">
        <f ca="1">IF($A315="*","",OFFSET(ITEMS_UPS!$C$8,AR315,0))</f>
        <v>UELEA1HGN</v>
      </c>
      <c r="D315" s="440" t="str">
        <f ca="1">IF($A315="*","",IF(VLOOKUP("*#"&amp;$AS315,$A$10:$I$24,D$9+1,FALSE)="-","-",OFFSET(UPS!$C$37,AU315+AV315,SUMIF($A$10:$A$20,"*#"&amp;AS315,$AT$10:$AT$20))))</f>
        <v>-</v>
      </c>
      <c r="E315" s="440" t="str">
        <f t="shared" si="152"/>
        <v>-</v>
      </c>
      <c r="F315" s="440" t="str">
        <f t="shared" si="153"/>
        <v>-</v>
      </c>
      <c r="G315" s="440" t="str">
        <f t="shared" si="154"/>
        <v>-</v>
      </c>
      <c r="H315" s="441" t="str">
        <f t="shared" ref="H315:H322" si="157">IF($A315="*","",VLOOKUP("*#"&amp;$AS315,$A$10:$I$24,H$9+1,FALSE))</f>
        <v>UP</v>
      </c>
      <c r="I315" s="441">
        <f t="shared" si="155"/>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50"/>
        <v>27</v>
      </c>
      <c r="AS315" s="42">
        <f t="shared" si="156"/>
        <v>5</v>
      </c>
      <c r="AU315" s="42">
        <f ca="1">SUMIF(UPS!B$38:B$171,C315,UPS!BD$38:BD$171)</f>
        <v>131</v>
      </c>
    </row>
    <row r="316" spans="1:51">
      <c r="B316" s="440" t="str">
        <f t="shared" si="151"/>
        <v>FLO_FUNC</v>
      </c>
      <c r="C316" s="440" t="str">
        <f ca="1">IF($A316="*","",OFFSET(ITEMS_UPS!$C$8,AR316,0))</f>
        <v>UELEA1HGN</v>
      </c>
      <c r="D316" s="440" t="str">
        <f ca="1">IF($A316="*","",IF(VLOOKUP("*#"&amp;$AS316,$A$10:$I$24,D$9+1,FALSE)="-","-",OFFSET(UPS!$C$37,AU316+AV316,SUMIF($A$10:$A$20,"*#"&amp;AS316,$AT$10:$AT$20))))</f>
        <v>-</v>
      </c>
      <c r="E316" s="440" t="str">
        <f t="shared" ca="1" si="152"/>
        <v>UELEA1HGN-I</v>
      </c>
      <c r="F316" s="440" t="str">
        <f t="shared" ca="1" si="153"/>
        <v>UELEA1HGN-O</v>
      </c>
      <c r="G316" s="440" t="str">
        <f t="shared" si="154"/>
        <v>ANNUAL</v>
      </c>
      <c r="H316" s="441" t="str">
        <f t="shared" si="157"/>
        <v>-</v>
      </c>
      <c r="I316" s="441">
        <f t="shared" si="155"/>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50"/>
        <v>27</v>
      </c>
      <c r="AS316" s="42">
        <f t="shared" si="156"/>
        <v>6</v>
      </c>
      <c r="AU316" s="42">
        <f ca="1">SUMIF(UPS!B$38:B$171,C316,UPS!BD$38:BD$171)</f>
        <v>131</v>
      </c>
    </row>
    <row r="317" spans="1:51">
      <c r="B317" s="440" t="str">
        <f t="shared" si="151"/>
        <v>FLO_SHAR</v>
      </c>
      <c r="C317" s="440" t="str">
        <f ca="1">IF($A317="*","",OFFSET(ITEMS_UPS!$C$8,AR317,0))</f>
        <v>UELEA1HGN</v>
      </c>
      <c r="D317" s="440" t="str">
        <f ca="1">IF($A317="*","",IF(VLOOKUP("*#"&amp;$AS317,$A$10:$I$24,D$9+1,FALSE)="-","-",OFFSET(UPS!$C$37,AU317+AV317,SUMIF($A$10:$A$20,"*#"&amp;AS317,$AT$10:$AT$20))))</f>
        <v>UPSELC</v>
      </c>
      <c r="E317" s="440" t="str">
        <f t="shared" ca="1" si="152"/>
        <v>UELEA1HGN-I</v>
      </c>
      <c r="F317" s="440" t="str">
        <f t="shared" si="153"/>
        <v>-</v>
      </c>
      <c r="G317" s="440" t="str">
        <f t="shared" si="154"/>
        <v>ANNUAL</v>
      </c>
      <c r="H317" s="441" t="str">
        <f t="shared" si="157"/>
        <v>FX</v>
      </c>
      <c r="I317" s="441">
        <f t="shared" si="155"/>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50"/>
        <v>27</v>
      </c>
      <c r="AS317" s="42">
        <f t="shared" si="156"/>
        <v>7</v>
      </c>
      <c r="AU317" s="42">
        <f ca="1">SUMIF(UPS!B$38:B$171,C317,UPS!BD$38:BD$171)</f>
        <v>131</v>
      </c>
      <c r="AV317" s="42">
        <v>0</v>
      </c>
    </row>
    <row r="318" spans="1:51">
      <c r="B318" s="440" t="str">
        <f t="shared" si="151"/>
        <v>FLO_SHAR</v>
      </c>
      <c r="C318" s="440" t="str">
        <f ca="1">IF($A318="*","",OFFSET(ITEMS_UPS!$C$8,AR318,0))</f>
        <v>UELEA1HGN</v>
      </c>
      <c r="D318" s="440" t="str">
        <f ca="1">IF($A318="*","",IF(VLOOKUP("*#"&amp;$AS318,$A$10:$I$24,D$9+1,FALSE)="-","-",OFFSET(UPS!$C$37,AU318+AV318,SUMIF($A$10:$A$20,"*#"&amp;AS318,$AT$10:$AT$20))))</f>
        <v>UPSHGN</v>
      </c>
      <c r="E318" s="440" t="str">
        <f t="shared" ca="1" si="152"/>
        <v>UELEA1HGN-O</v>
      </c>
      <c r="F318" s="440" t="str">
        <f t="shared" si="153"/>
        <v>-</v>
      </c>
      <c r="G318" s="440" t="str">
        <f t="shared" si="154"/>
        <v>ANNUAL</v>
      </c>
      <c r="H318" s="441" t="str">
        <f t="shared" si="157"/>
        <v>UP</v>
      </c>
      <c r="I318" s="441">
        <f t="shared" si="155"/>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50"/>
        <v>27</v>
      </c>
      <c r="AS318" s="42">
        <f t="shared" si="156"/>
        <v>8</v>
      </c>
      <c r="AU318" s="42">
        <f ca="1">SUMIF(UPS!B$38:B$171,C318,UPS!BD$38:BD$171)</f>
        <v>131</v>
      </c>
      <c r="AV318" s="42">
        <v>1</v>
      </c>
    </row>
    <row r="319" spans="1:51">
      <c r="B319" s="440" t="str">
        <f t="shared" si="151"/>
        <v>FLO_EMIS</v>
      </c>
      <c r="C319" s="440" t="str">
        <f ca="1">IF($A319="*","",OFFSET(ITEMS_UPS!$C$8,AR319,0))</f>
        <v>UELEA1HGN</v>
      </c>
      <c r="D319" s="440" t="str">
        <f>$D$18</f>
        <v>UPSCO2S</v>
      </c>
      <c r="E319" s="440" t="str">
        <f t="shared" ca="1" si="152"/>
        <v>UELEA1HGN-O</v>
      </c>
      <c r="F319" s="440" t="str">
        <f t="shared" si="153"/>
        <v>-</v>
      </c>
      <c r="G319" s="440" t="str">
        <f t="shared" si="154"/>
        <v>ANNUAL</v>
      </c>
      <c r="H319" s="441" t="str">
        <f t="shared" si="157"/>
        <v>-</v>
      </c>
      <c r="I319" s="441">
        <f t="shared" si="155"/>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50"/>
        <v>27</v>
      </c>
      <c r="AS319" s="42">
        <f t="shared" si="156"/>
        <v>9</v>
      </c>
      <c r="AU319" s="42">
        <f ca="1">SUMIF(UPS!B$38:B$171,C319,UPS!BD$38:BD$171)</f>
        <v>131</v>
      </c>
    </row>
    <row r="320" spans="1:51">
      <c r="B320" s="440" t="str">
        <f t="shared" si="151"/>
        <v>FLO_EMIS</v>
      </c>
      <c r="C320" s="440" t="str">
        <f ca="1">IF($A320="*","",OFFSET(ITEMS_UPS!$C$8,AR320,0))</f>
        <v>UELEA1HGN</v>
      </c>
      <c r="D320" s="440" t="str">
        <f>$D$19</f>
        <v>UPSCH4S</v>
      </c>
      <c r="E320" s="440" t="str">
        <f t="shared" ca="1" si="152"/>
        <v>UELEA1HGN-O</v>
      </c>
      <c r="F320" s="440" t="str">
        <f t="shared" si="153"/>
        <v>-</v>
      </c>
      <c r="G320" s="440" t="str">
        <f>IF($A320="*","",VLOOKUP("*#"&amp;$AS320,$A$10:$I$24,G$9+1,FALSE))</f>
        <v>ANNUAL</v>
      </c>
      <c r="H320" s="441" t="str">
        <f t="shared" si="157"/>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50"/>
        <v>27</v>
      </c>
      <c r="AS320" s="42">
        <f t="shared" si="156"/>
        <v>10</v>
      </c>
      <c r="AU320" s="42">
        <f ca="1">SUMIF(UPS!B$38:B$171,C320,UPS!BD$38:BD$171)</f>
        <v>131</v>
      </c>
    </row>
    <row r="321" spans="1:47">
      <c r="B321" s="440" t="str">
        <f t="shared" si="151"/>
        <v>PRC_RESID</v>
      </c>
      <c r="C321" s="440" t="str">
        <f ca="1">IF($A321="*","",OFFSET(ITEMS_UPS!$C$8,AR321,0))</f>
        <v>UELEA1HGN</v>
      </c>
      <c r="D321" s="440" t="str">
        <f ca="1">IF($A321="*","",IF(VLOOKUP("*#"&amp;$AS321,$A$10:$I$24,D$9+1,FALSE)="-","-",OFFSET(UPS!$C$37,AU321+AV321,SUMIF($A$10:$A$20,"*#"&amp;AS321,$AT$10:$AT$20))))</f>
        <v>-</v>
      </c>
      <c r="E321" s="440" t="str">
        <f t="shared" si="152"/>
        <v>-</v>
      </c>
      <c r="F321" s="440" t="str">
        <f t="shared" si="153"/>
        <v>-</v>
      </c>
      <c r="G321" s="440" t="str">
        <f>IF($A321="*","",VLOOKUP("*#"&amp;$AS321,$A$10:$I$24,G$9+1,FALSE))</f>
        <v>-</v>
      </c>
      <c r="H321" s="441" t="str">
        <f t="shared" si="157"/>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50"/>
        <v>27</v>
      </c>
      <c r="AS321" s="42">
        <f t="shared" si="156"/>
        <v>11</v>
      </c>
      <c r="AU321" s="42">
        <f ca="1">SUMIF(UPS!B$38:B$171,C321,UPS!BD$38:BD$171)</f>
        <v>131</v>
      </c>
    </row>
    <row r="322" spans="1:47">
      <c r="B322" s="440" t="str">
        <f t="shared" si="151"/>
        <v>NCAP_COST</v>
      </c>
      <c r="C322" s="440" t="str">
        <f ca="1">IF($A322="*","",OFFSET(ITEMS_UPS!$C$8,AR322,0))</f>
        <v>UELEA1HGN</v>
      </c>
      <c r="D322" s="440" t="str">
        <f ca="1">IF($A322="*","",IF(VLOOKUP("*#"&amp;$AS322,$A$10:$I$24,D$9+1,FALSE)="-","-",OFFSET(UPS!$C$37,AU322+AV322,SUMIF($A$10:$A$20,"*#"&amp;AS322,$AT$10:$AT$20))))</f>
        <v>-</v>
      </c>
      <c r="E322" s="440" t="str">
        <f t="shared" si="152"/>
        <v>-</v>
      </c>
      <c r="F322" s="440" t="str">
        <f t="shared" si="153"/>
        <v>-</v>
      </c>
      <c r="G322" s="440" t="str">
        <f>IF($A322="*","",VLOOKUP("*#"&amp;$AS322,$A$10:$I$24,G$9+1,FALSE))</f>
        <v>-</v>
      </c>
      <c r="H322" s="441" t="str">
        <f t="shared" si="157"/>
        <v>-</v>
      </c>
      <c r="I322" s="441">
        <f>IF($A322="*","",VLOOKUP("*#"&amp;$AS322,$A$10:$I$24,I$9+1,FALSE))</f>
        <v>0</v>
      </c>
      <c r="J322" s="163">
        <f ca="1">IF($A322="*","",OFFSET(UPS!$C$37,AU322,SUMIF($A$10:$A$24,"*#"&amp;AS322,$AT$10:$AT$24)))</f>
        <v>12868.90756302521</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12868.90756302521</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9482.3529411764703</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6095.7983193277314</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4856.9561157796461</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3618.1139122315594</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50"/>
        <v>27</v>
      </c>
      <c r="AS322" s="42">
        <f t="shared" si="156"/>
        <v>12</v>
      </c>
      <c r="AU322" s="42">
        <f ca="1">SUMIF(UPS!B$38:B$171,C322,UPS!BD$38:BD$171)</f>
        <v>131</v>
      </c>
    </row>
    <row r="323" spans="1:47">
      <c r="B323" s="440" t="str">
        <f t="shared" ref="B323:B324" si="158">IF(A323="*","",VLOOKUP("*#"&amp;AS323,$A$9:$B$24,2,FALSE))</f>
        <v>NCAP_TLIFE</v>
      </c>
      <c r="C323" s="440" t="str">
        <f ca="1">IF($A323="*","",OFFSET(ITEMS_UPS!$C$8,AR323,0))</f>
        <v>UELEA1HGN</v>
      </c>
      <c r="D323" s="440" t="str">
        <f ca="1">IF($A323="*","",IF(VLOOKUP("*#"&amp;$AS323,$A$10:$I$24,D$9+1,FALSE)="-","-",OFFSET(UPS!$C$37,AU323+AV323,SUMIF($A$10:$A$20,"*#"&amp;AS323,$AT$10:$AT$20))))</f>
        <v>-</v>
      </c>
      <c r="E323" s="440" t="str">
        <f t="shared" ref="E323:E324" si="159">IF($A323="*","",IF(VLOOKUP("*#"&amp;$AS323,$A$10:$I$24,E$9+1,FALSE)="-","-",C323&amp;"-"&amp;RIGHT(VLOOKUP("*#"&amp;$AS323,$A$10:$I$24,E$9+1,FALSE),1)))</f>
        <v>-</v>
      </c>
      <c r="F323" s="440" t="str">
        <f t="shared" ref="F323:F324" si="160">IF($A323="*","",IF(VLOOKUP("*#"&amp;$AS323,$A$10:$I$24,F$9+1,FALSE)="-","-",C323&amp;"-"&amp;RIGHT(VLOOKUP("*#"&amp;$AS323,$A$10:$I$24,F$9+1,FALSE),1)))</f>
        <v>-</v>
      </c>
      <c r="G323" s="440" t="str">
        <f t="shared" ref="G323:I324" si="161">IF($A323="*","",VLOOKUP("*#"&amp;$AS323,$A$10:$I$24,G$9+1,FALSE))</f>
        <v>-</v>
      </c>
      <c r="H323" s="441" t="str">
        <f t="shared" si="161"/>
        <v>-</v>
      </c>
      <c r="I323" s="441">
        <f t="shared" si="161"/>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50"/>
        <v>27</v>
      </c>
      <c r="AS323" s="42">
        <f t="shared" si="156"/>
        <v>13</v>
      </c>
      <c r="AU323" s="42">
        <f ca="1">SUMIF(UPS!B$38:B$171,C323,UPS!BD$38:BD$171)</f>
        <v>131</v>
      </c>
    </row>
    <row r="324" spans="1:47">
      <c r="B324" s="440" t="str">
        <f t="shared" si="158"/>
        <v>NCAP_ILED</v>
      </c>
      <c r="C324" s="440" t="str">
        <f ca="1">IF($A324="*","",OFFSET(ITEMS_UPS!$C$8,AR324,0))</f>
        <v>UELEA1HGN</v>
      </c>
      <c r="D324" s="440" t="str">
        <f ca="1">IF($A324="*","",IF(VLOOKUP("*#"&amp;$AS324,$A$10:$I$24,D$9+1,FALSE)="-","-",OFFSET(UPS!$C$37,AU324+AV324,SUMIF($A$10:$A$20,"*#"&amp;AS324,$AT$10:$AT$20))))</f>
        <v>-</v>
      </c>
      <c r="E324" s="440" t="str">
        <f t="shared" si="159"/>
        <v>-</v>
      </c>
      <c r="F324" s="440" t="str">
        <f t="shared" si="160"/>
        <v>-</v>
      </c>
      <c r="G324" s="440" t="str">
        <f t="shared" si="161"/>
        <v>-</v>
      </c>
      <c r="H324" s="441" t="str">
        <f t="shared" si="161"/>
        <v>-</v>
      </c>
      <c r="I324" s="441">
        <f t="shared" si="161"/>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50"/>
        <v>27</v>
      </c>
      <c r="AS324" s="42">
        <f t="shared" si="156"/>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election activeCell="B340" sqref="B340"/>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31.535999999999998</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31.535999999999998</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47"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9" t="s">
        <v>2199</v>
      </c>
      <c r="C2" s="1930"/>
      <c r="D2" s="1930"/>
      <c r="E2" s="1930"/>
      <c r="F2" s="1930"/>
      <c r="G2" s="1930"/>
      <c r="H2" s="1930"/>
      <c r="I2" s="1930"/>
      <c r="J2" s="1930"/>
      <c r="K2" s="1930"/>
      <c r="L2" s="1930"/>
      <c r="M2" s="1930"/>
      <c r="N2" s="1930"/>
      <c r="O2" s="1930"/>
      <c r="P2" s="1930"/>
      <c r="Q2" s="1930"/>
      <c r="R2" s="1930"/>
      <c r="S2" s="1930"/>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31" t="s">
        <v>2200</v>
      </c>
      <c r="C4" s="1930"/>
      <c r="D4" s="1930"/>
      <c r="E4" s="1930"/>
      <c r="F4" s="1930"/>
      <c r="G4" s="1930"/>
      <c r="H4" s="1930"/>
      <c r="I4" s="1930"/>
      <c r="J4" s="1930"/>
      <c r="K4" s="1930"/>
      <c r="L4" s="1930"/>
      <c r="M4" s="1930"/>
      <c r="N4" s="1930"/>
      <c r="O4" s="1930"/>
      <c r="P4" s="1930"/>
      <c r="Q4" s="1930"/>
      <c r="R4" s="1930"/>
      <c r="S4" s="1930"/>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2" t="s">
        <v>943</v>
      </c>
      <c r="C7" s="1934"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3"/>
      <c r="C8" s="1933"/>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5" t="s">
        <v>2268</v>
      </c>
      <c r="C21" s="1936"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3"/>
      <c r="C22" s="1933"/>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7" t="s">
        <v>2043</v>
      </c>
      <c r="D4" s="1938"/>
      <c r="E4" s="1939"/>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2022-02-23T11:58:43Z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