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defaultThemeVersion="166925"/>
  <mc:AlternateContent xmlns:mc="http://schemas.openxmlformats.org/markup-compatibility/2006">
    <mc:Choice Requires="x15">
      <x15ac:absPath xmlns:x15ac="http://schemas.microsoft.com/office/spreadsheetml/2010/11/ac" url="C:\Models\SATIMGE\Model Documentation\SATIM\Energy Balance\"/>
    </mc:Choice>
  </mc:AlternateContent>
  <xr:revisionPtr revIDLastSave="0" documentId="13_ncr:1_{216CC037-6844-4DCD-838F-A1217254528C}" xr6:coauthVersionLast="47" xr6:coauthVersionMax="47" xr10:uidLastSave="{00000000-0000-0000-0000-000000000000}"/>
  <bookViews>
    <workbookView xWindow="-1485" yWindow="-18255" windowWidth="28770" windowHeight="15570" xr2:uid="{BA5F48AB-374C-4CFF-8664-8A062C7CF67D}"/>
  </bookViews>
  <sheets>
    <sheet name="gas"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59" i="1" l="1"/>
  <c r="AG61" i="1"/>
  <c r="N36" i="1"/>
  <c r="M32" i="1"/>
  <c r="N32" i="1"/>
  <c r="N29" i="1"/>
  <c r="N48" i="1" l="1"/>
  <c r="O65" i="1"/>
  <c r="O64" i="1"/>
  <c r="P63" i="1"/>
  <c r="O63" i="1"/>
  <c r="N44" i="1" s="1"/>
  <c r="U60" i="1"/>
  <c r="AG54" i="1" s="1"/>
  <c r="U59" i="1"/>
  <c r="U56" i="1"/>
  <c r="N51" i="1"/>
  <c r="O50" i="1"/>
  <c r="N50" i="1"/>
  <c r="N49" i="1"/>
  <c r="N47" i="1" s="1"/>
  <c r="C47" i="1"/>
  <c r="C46" i="1"/>
  <c r="N45" i="1"/>
  <c r="C45" i="1"/>
  <c r="C44" i="1"/>
  <c r="N43" i="1"/>
  <c r="U53" i="1" s="1"/>
  <c r="C43" i="1"/>
  <c r="C42" i="1"/>
  <c r="C41" i="1"/>
  <c r="C40" i="1"/>
  <c r="N39" i="1"/>
  <c r="N38" i="1"/>
  <c r="N37" i="1"/>
  <c r="A36" i="1"/>
  <c r="J36" i="1" s="1"/>
  <c r="A35" i="1"/>
  <c r="A34" i="1"/>
  <c r="J34" i="1" s="1"/>
  <c r="N33" i="1"/>
  <c r="A33" i="1"/>
  <c r="J33" i="1" s="1"/>
  <c r="U8" i="1"/>
  <c r="A32" i="1"/>
  <c r="G31" i="1" a="1"/>
  <c r="G31" i="1" s="1"/>
  <c r="A31" i="1"/>
  <c r="R37" i="1" s="1"/>
  <c r="N30" i="1"/>
  <c r="A30" i="1"/>
  <c r="J30" i="1" s="1"/>
  <c r="A29" i="1"/>
  <c r="A28" i="1"/>
  <c r="A27" i="1"/>
  <c r="R33" i="1" s="1"/>
  <c r="A26" i="1"/>
  <c r="A25" i="1"/>
  <c r="U24" i="1"/>
  <c r="A24" i="1"/>
  <c r="J24" i="1" s="1"/>
  <c r="U23" i="1"/>
  <c r="A23" i="1"/>
  <c r="J23" i="1" s="1"/>
  <c r="I22" i="1" a="1"/>
  <c r="I22" i="1" s="1"/>
  <c r="A22" i="1"/>
  <c r="J22" i="1" s="1"/>
  <c r="G21" i="1" a="1"/>
  <c r="G21" i="1" s="1"/>
  <c r="A21" i="1"/>
  <c r="J21" i="1" s="1"/>
  <c r="I20" i="1" a="1"/>
  <c r="I20" i="1" s="1"/>
  <c r="G20" i="1" a="1"/>
  <c r="G20" i="1" s="1"/>
  <c r="A20" i="1"/>
  <c r="R27" i="1" s="1"/>
  <c r="G19" i="1" a="1"/>
  <c r="G19" i="1" s="1"/>
  <c r="A19" i="1"/>
  <c r="J19" i="1" s="1"/>
  <c r="U18" i="1"/>
  <c r="A18" i="1"/>
  <c r="J18" i="1" s="1"/>
  <c r="A17" i="1"/>
  <c r="U16" i="1"/>
  <c r="A16" i="1"/>
  <c r="I16" i="1" s="1" a="1"/>
  <c r="I16" i="1" s="1"/>
  <c r="A15" i="1"/>
  <c r="F15" i="1" s="1" a="1"/>
  <c r="F15" i="1" s="1"/>
  <c r="A14" i="1"/>
  <c r="A13" i="1"/>
  <c r="J13" i="1" s="1"/>
  <c r="U12" i="1"/>
  <c r="A12" i="1"/>
  <c r="A11" i="1"/>
  <c r="J11" i="1" s="1"/>
  <c r="A10" i="1"/>
  <c r="G10" i="1" s="1" a="1"/>
  <c r="G10" i="1" s="1"/>
  <c r="A9" i="1"/>
  <c r="J9" i="1" s="1"/>
  <c r="A8" i="1"/>
  <c r="U7" i="1"/>
  <c r="J7" i="1"/>
  <c r="I7" i="1" a="1"/>
  <c r="I7" i="1" s="1"/>
  <c r="G7" i="1" a="1"/>
  <c r="G7" i="1" s="1"/>
  <c r="A7" i="1"/>
  <c r="E7" i="1" s="1" a="1"/>
  <c r="E7" i="1" s="1"/>
  <c r="A6" i="1"/>
  <c r="G6" i="1" s="1" a="1"/>
  <c r="G6" i="1" s="1"/>
  <c r="A5" i="1"/>
  <c r="J5" i="1" s="1"/>
  <c r="J4" i="1"/>
  <c r="I4" i="1"/>
  <c r="I36" i="1" s="1" a="1"/>
  <c r="I36" i="1" s="1"/>
  <c r="H4" i="1"/>
  <c r="G4" i="1"/>
  <c r="G36" i="1" s="1" a="1"/>
  <c r="G36" i="1" s="1"/>
  <c r="F4" i="1"/>
  <c r="F34" i="1" s="1" a="1"/>
  <c r="F34" i="1" s="1"/>
  <c r="E4" i="1"/>
  <c r="E34" i="1" s="1" a="1"/>
  <c r="E34" i="1" s="1"/>
  <c r="D4" i="1"/>
  <c r="D36" i="1" s="1" a="1"/>
  <c r="D36" i="1" s="1"/>
  <c r="C4" i="1"/>
  <c r="C27" i="1" s="1" a="1"/>
  <c r="C27" i="1" s="1"/>
  <c r="J31" i="1" l="1"/>
  <c r="R40" i="1"/>
  <c r="J20" i="1"/>
  <c r="G8" i="1" a="1"/>
  <c r="G8" i="1" s="1"/>
  <c r="R28" i="1"/>
  <c r="G22" i="1" a="1"/>
  <c r="G22" i="1" s="1"/>
  <c r="I5" i="1" a="1"/>
  <c r="I5" i="1" s="1"/>
  <c r="G12" i="1" a="1"/>
  <c r="G12" i="1" s="1"/>
  <c r="D6" i="1" a="1"/>
  <c r="D6" i="1" s="1"/>
  <c r="D16" i="1" a="1"/>
  <c r="D16" i="1" s="1"/>
  <c r="H25" i="1" a="1"/>
  <c r="H25" i="1" s="1"/>
  <c r="H29" i="1" a="1"/>
  <c r="H29" i="1" s="1"/>
  <c r="H35" i="1" a="1"/>
  <c r="H35" i="1" s="1"/>
  <c r="H16" i="1" a="1"/>
  <c r="H16" i="1" s="1"/>
  <c r="E6" i="1" a="1"/>
  <c r="E6" i="1" s="1"/>
  <c r="E16" i="1" a="1"/>
  <c r="E16" i="1" s="1"/>
  <c r="E19" i="1" a="1"/>
  <c r="E19" i="1" s="1"/>
  <c r="E26" i="1" a="1"/>
  <c r="E26" i="1" s="1"/>
  <c r="R29" i="1"/>
  <c r="H32" i="1" a="1"/>
  <c r="H32" i="1" s="1"/>
  <c r="I35" i="1" a="1"/>
  <c r="I35" i="1" s="1"/>
  <c r="E21" i="1" a="1"/>
  <c r="E21" i="1" s="1"/>
  <c r="E23" i="1" a="1"/>
  <c r="E23" i="1" s="1"/>
  <c r="F26" i="1" a="1"/>
  <c r="F26" i="1" s="1"/>
  <c r="I32" i="1" a="1"/>
  <c r="I32" i="1" s="1"/>
  <c r="E36" i="1" a="1"/>
  <c r="E36" i="1" s="1"/>
  <c r="G23" i="1" a="1"/>
  <c r="G23" i="1" s="1"/>
  <c r="E30" i="1" a="1"/>
  <c r="E30" i="1" s="1"/>
  <c r="H6" i="1" a="1"/>
  <c r="H6" i="1" s="1"/>
  <c r="G13" i="1" a="1"/>
  <c r="G13" i="1" s="1"/>
  <c r="J16" i="1"/>
  <c r="H19" i="1" a="1"/>
  <c r="H19" i="1" s="1"/>
  <c r="E27" i="1" a="1"/>
  <c r="E27" i="1" s="1"/>
  <c r="G30" i="1" a="1"/>
  <c r="G30" i="1" s="1"/>
  <c r="G16" i="1" a="1"/>
  <c r="G16" i="1" s="1"/>
  <c r="H8" i="1" a="1"/>
  <c r="H8" i="1" s="1"/>
  <c r="D5" i="1" a="1"/>
  <c r="D5" i="1" s="1"/>
  <c r="I6" i="1" a="1"/>
  <c r="I6" i="1" s="1"/>
  <c r="E9" i="1" a="1"/>
  <c r="E9" i="1" s="1"/>
  <c r="I13" i="1" a="1"/>
  <c r="I13" i="1" s="1"/>
  <c r="I19" i="1" a="1"/>
  <c r="I19" i="1" s="1"/>
  <c r="H21" i="1" a="1"/>
  <c r="H21" i="1" s="1"/>
  <c r="H23" i="1" a="1"/>
  <c r="H23" i="1" s="1"/>
  <c r="G27" i="1" a="1"/>
  <c r="G27" i="1" s="1"/>
  <c r="I30" i="1" a="1"/>
  <c r="I30" i="1" s="1"/>
  <c r="E33" i="1" a="1"/>
  <c r="E33" i="1" s="1"/>
  <c r="R36" i="1"/>
  <c r="H12" i="1" a="1"/>
  <c r="H12" i="1" s="1"/>
  <c r="F6" i="1" a="1"/>
  <c r="F6" i="1" s="1"/>
  <c r="F13" i="1" a="1"/>
  <c r="F13" i="1" s="1"/>
  <c r="E5" i="1" a="1"/>
  <c r="E5" i="1" s="1"/>
  <c r="J6" i="1"/>
  <c r="F17" i="1" a="1"/>
  <c r="F17" i="1" s="1"/>
  <c r="I21" i="1" a="1"/>
  <c r="I21" i="1" s="1"/>
  <c r="I23" i="1" a="1"/>
  <c r="I23" i="1" s="1"/>
  <c r="I27" i="1" a="1"/>
  <c r="I27" i="1" s="1"/>
  <c r="E13" i="1" a="1"/>
  <c r="E13" i="1" s="1"/>
  <c r="F5" i="1" a="1"/>
  <c r="F5" i="1" s="1"/>
  <c r="H10" i="1" a="1"/>
  <c r="H10" i="1" s="1"/>
  <c r="G14" i="1" a="1"/>
  <c r="G14" i="1" s="1"/>
  <c r="G17" i="1" a="1"/>
  <c r="G17" i="1" s="1"/>
  <c r="U19" i="1"/>
  <c r="U17" i="1" s="1"/>
  <c r="G5" i="1" a="1"/>
  <c r="G5" i="1" s="1"/>
  <c r="D7" i="1" a="1"/>
  <c r="D7" i="1" s="1"/>
  <c r="H14" i="1" a="1"/>
  <c r="H14" i="1" s="1"/>
  <c r="I18" i="1" a="1"/>
  <c r="I18" i="1" s="1"/>
  <c r="J27" i="1"/>
  <c r="R30" i="1"/>
  <c r="E11" i="1" a="1"/>
  <c r="E11" i="1" s="1"/>
  <c r="E15" i="1" a="1"/>
  <c r="E15" i="1" s="1"/>
  <c r="D18" i="1" a="1"/>
  <c r="D18" i="1" s="1"/>
  <c r="E20" i="1" a="1"/>
  <c r="E20" i="1" s="1"/>
  <c r="E22" i="1" a="1"/>
  <c r="E22" i="1" s="1"/>
  <c r="E28" i="1" a="1"/>
  <c r="E28" i="1" s="1"/>
  <c r="E24" i="1" a="1"/>
  <c r="E24" i="1" s="1"/>
  <c r="F28" i="1" a="1"/>
  <c r="F28" i="1" s="1"/>
  <c r="E31" i="1" a="1"/>
  <c r="E31" i="1" s="1"/>
  <c r="G34" i="1" a="1"/>
  <c r="G34" i="1" s="1"/>
  <c r="U15" i="1"/>
  <c r="U52" i="1"/>
  <c r="N52" i="1"/>
  <c r="D27" i="1" a="1"/>
  <c r="D27" i="1" s="1"/>
  <c r="U33" i="1" s="1"/>
  <c r="C29" i="1" a="1"/>
  <c r="C29" i="1" s="1"/>
  <c r="I29" i="1" a="1"/>
  <c r="I29" i="1" s="1"/>
  <c r="C8" i="1" a="1"/>
  <c r="C8" i="1" s="1"/>
  <c r="I8" i="1" a="1"/>
  <c r="I8" i="1" s="1"/>
  <c r="F9" i="1" a="1"/>
  <c r="F9" i="1" s="1"/>
  <c r="C10" i="1" a="1"/>
  <c r="C10" i="1" s="1"/>
  <c r="I10" i="1" a="1"/>
  <c r="I10" i="1" s="1"/>
  <c r="F11" i="1" a="1"/>
  <c r="F11" i="1" s="1"/>
  <c r="C12" i="1" a="1"/>
  <c r="C12" i="1" s="1"/>
  <c r="I12" i="1" a="1"/>
  <c r="I12" i="1" s="1"/>
  <c r="G15" i="1" a="1"/>
  <c r="G15" i="1" s="1"/>
  <c r="H17" i="1" a="1"/>
  <c r="H17" i="1" s="1"/>
  <c r="E18" i="1" a="1"/>
  <c r="E18" i="1" s="1"/>
  <c r="F24" i="1" a="1"/>
  <c r="F24" i="1" s="1"/>
  <c r="G26" i="1" a="1"/>
  <c r="G26" i="1" s="1"/>
  <c r="G28" i="1" a="1"/>
  <c r="G28" i="1" s="1"/>
  <c r="D32" i="1" a="1"/>
  <c r="D32" i="1" s="1"/>
  <c r="J32" i="1"/>
  <c r="D35" i="1" a="1"/>
  <c r="D35" i="1" s="1"/>
  <c r="J35" i="1"/>
  <c r="I14" i="1" a="1"/>
  <c r="I14" i="1" s="1"/>
  <c r="D14" i="1" a="1"/>
  <c r="D14" i="1" s="1"/>
  <c r="J14" i="1"/>
  <c r="C23" i="1" a="1"/>
  <c r="C23" i="1" s="1"/>
  <c r="F30" i="1" a="1"/>
  <c r="F30" i="1" s="1"/>
  <c r="H31" i="1" a="1"/>
  <c r="H31" i="1" s="1"/>
  <c r="F33" i="1" a="1"/>
  <c r="F33" i="1" s="1"/>
  <c r="H34" i="1" a="1"/>
  <c r="H34" i="1" s="1"/>
  <c r="M35" i="1"/>
  <c r="N35" i="1" s="1"/>
  <c r="F36" i="1" a="1"/>
  <c r="F36" i="1" s="1"/>
  <c r="C32" i="1" a="1"/>
  <c r="C32" i="1" s="1"/>
  <c r="C6" i="1" a="1"/>
  <c r="C6" i="1" s="1"/>
  <c r="T8" i="1" s="1"/>
  <c r="F7" i="1" a="1"/>
  <c r="F7" i="1" s="1"/>
  <c r="C19" i="1" a="1"/>
  <c r="C19" i="1" s="1"/>
  <c r="F20" i="1" a="1"/>
  <c r="F20" i="1" s="1"/>
  <c r="C21" i="1" a="1"/>
  <c r="C21" i="1" s="1"/>
  <c r="F22" i="1" a="1"/>
  <c r="F22" i="1" s="1"/>
  <c r="D25" i="1" a="1"/>
  <c r="D25" i="1" s="1"/>
  <c r="J25" i="1"/>
  <c r="N19" i="1" s="1"/>
  <c r="D29" i="1" a="1"/>
  <c r="D29" i="1" s="1"/>
  <c r="J29" i="1"/>
  <c r="D8" i="1" a="1"/>
  <c r="D8" i="1" s="1"/>
  <c r="J8" i="1"/>
  <c r="G9" i="1" a="1"/>
  <c r="G9" i="1" s="1"/>
  <c r="D10" i="1" a="1"/>
  <c r="D10" i="1" s="1"/>
  <c r="J10" i="1"/>
  <c r="G11" i="1" a="1"/>
  <c r="G11" i="1" s="1"/>
  <c r="D12" i="1" a="1"/>
  <c r="D12" i="1" s="1"/>
  <c r="J12" i="1"/>
  <c r="H15" i="1" a="1"/>
  <c r="H15" i="1" s="1"/>
  <c r="C17" i="1" a="1"/>
  <c r="C17" i="1" s="1"/>
  <c r="T17" i="1" s="1"/>
  <c r="I17" i="1" a="1"/>
  <c r="I17" i="1" s="1"/>
  <c r="F18" i="1" a="1"/>
  <c r="F18" i="1" s="1"/>
  <c r="G24" i="1" a="1"/>
  <c r="G24" i="1" s="1"/>
  <c r="H26" i="1" a="1"/>
  <c r="H26" i="1" s="1"/>
  <c r="H28" i="1" a="1"/>
  <c r="H28" i="1" s="1"/>
  <c r="E32" i="1" a="1"/>
  <c r="E32" i="1" s="1"/>
  <c r="E35" i="1" a="1"/>
  <c r="E35" i="1" s="1"/>
  <c r="R38" i="1"/>
  <c r="C14" i="1" a="1"/>
  <c r="C14" i="1" s="1"/>
  <c r="E14" i="1" a="1"/>
  <c r="E14" i="1" s="1"/>
  <c r="F27" i="1" a="1"/>
  <c r="F27" i="1" s="1"/>
  <c r="E29" i="1" a="1"/>
  <c r="E29" i="1" s="1"/>
  <c r="C31" i="1" a="1"/>
  <c r="C31" i="1" s="1"/>
  <c r="I31" i="1" a="1"/>
  <c r="I31" i="1" s="1"/>
  <c r="R32" i="1"/>
  <c r="G33" i="1" a="1"/>
  <c r="G33" i="1" s="1"/>
  <c r="C34" i="1" a="1"/>
  <c r="C34" i="1" s="1"/>
  <c r="I34" i="1" a="1"/>
  <c r="I34" i="1" s="1"/>
  <c r="R35" i="1"/>
  <c r="R41" i="1"/>
  <c r="H13" i="1" a="1"/>
  <c r="H13" i="1" s="1"/>
  <c r="F16" i="1" a="1"/>
  <c r="F16" i="1" s="1"/>
  <c r="D19" i="1" a="1"/>
  <c r="D19" i="1" s="1"/>
  <c r="D21" i="1" a="1"/>
  <c r="D21" i="1" s="1"/>
  <c r="D23" i="1" a="1"/>
  <c r="D23" i="1" s="1"/>
  <c r="E25" i="1" a="1"/>
  <c r="E25" i="1" s="1"/>
  <c r="E8" i="1" a="1"/>
  <c r="E8" i="1" s="1"/>
  <c r="H9" i="1" a="1"/>
  <c r="H9" i="1" s="1"/>
  <c r="E10" i="1" a="1"/>
  <c r="E10" i="1" s="1"/>
  <c r="H11" i="1" a="1"/>
  <c r="H11" i="1" s="1"/>
  <c r="E12" i="1" a="1"/>
  <c r="E12" i="1" s="1"/>
  <c r="C15" i="1" a="1"/>
  <c r="C15" i="1" s="1"/>
  <c r="T13" i="1" s="1"/>
  <c r="I15" i="1" a="1"/>
  <c r="I15" i="1" s="1"/>
  <c r="D17" i="1" a="1"/>
  <c r="D17" i="1" s="1"/>
  <c r="J17" i="1"/>
  <c r="G18" i="1" a="1"/>
  <c r="G18" i="1" s="1"/>
  <c r="H24" i="1" a="1"/>
  <c r="H24" i="1" s="1"/>
  <c r="C26" i="1" a="1"/>
  <c r="C26" i="1" s="1"/>
  <c r="I26" i="1" a="1"/>
  <c r="I26" i="1" s="1"/>
  <c r="C28" i="1" a="1"/>
  <c r="C28" i="1" s="1"/>
  <c r="I28" i="1" a="1"/>
  <c r="I28" i="1" s="1"/>
  <c r="F32" i="1" a="1"/>
  <c r="F32" i="1" s="1"/>
  <c r="F35" i="1" a="1"/>
  <c r="F35" i="1" s="1"/>
  <c r="I25" i="1" a="1"/>
  <c r="I25" i="1" s="1"/>
  <c r="H22" i="1" a="1"/>
  <c r="H22" i="1" s="1"/>
  <c r="F29" i="1" a="1"/>
  <c r="F29" i="1" s="1"/>
  <c r="H30" i="1" a="1"/>
  <c r="H30" i="1" s="1"/>
  <c r="D31" i="1" a="1"/>
  <c r="D31" i="1" s="1"/>
  <c r="H33" i="1" a="1"/>
  <c r="H33" i="1" s="1"/>
  <c r="D34" i="1" a="1"/>
  <c r="D34" i="1" s="1"/>
  <c r="H36" i="1" a="1"/>
  <c r="H36" i="1" s="1"/>
  <c r="C39" i="1"/>
  <c r="C25" i="1" a="1"/>
  <c r="C25" i="1" s="1"/>
  <c r="H5" i="1" a="1"/>
  <c r="H5" i="1" s="1"/>
  <c r="H7" i="1" a="1"/>
  <c r="H7" i="1" s="1"/>
  <c r="C13" i="1" a="1"/>
  <c r="C13" i="1" s="1"/>
  <c r="F14" i="1" a="1"/>
  <c r="F14" i="1" s="1"/>
  <c r="H20" i="1" a="1"/>
  <c r="H20" i="1" s="1"/>
  <c r="F25" i="1" a="1"/>
  <c r="F25" i="1" s="1"/>
  <c r="F8" i="1" a="1"/>
  <c r="F8" i="1" s="1"/>
  <c r="C9" i="1" a="1"/>
  <c r="C9" i="1" s="1"/>
  <c r="I9" i="1" a="1"/>
  <c r="I9" i="1" s="1"/>
  <c r="F10" i="1" a="1"/>
  <c r="F10" i="1" s="1"/>
  <c r="C11" i="1" a="1"/>
  <c r="C11" i="1" s="1"/>
  <c r="I11" i="1" a="1"/>
  <c r="I11" i="1" s="1"/>
  <c r="F12" i="1" a="1"/>
  <c r="F12" i="1" s="1"/>
  <c r="D15" i="1" a="1"/>
  <c r="D15" i="1" s="1"/>
  <c r="J15" i="1"/>
  <c r="E17" i="1" a="1"/>
  <c r="E17" i="1" s="1"/>
  <c r="H18" i="1" a="1"/>
  <c r="H18" i="1" s="1"/>
  <c r="C24" i="1" a="1"/>
  <c r="C24" i="1" s="1"/>
  <c r="I24" i="1" a="1"/>
  <c r="I24" i="1" s="1"/>
  <c r="D26" i="1" a="1"/>
  <c r="D26" i="1" s="1"/>
  <c r="J26" i="1"/>
  <c r="D28" i="1" a="1"/>
  <c r="D28" i="1" s="1"/>
  <c r="J28" i="1"/>
  <c r="R31" i="1"/>
  <c r="G32" i="1" a="1"/>
  <c r="G32" i="1" s="1"/>
  <c r="R34" i="1"/>
  <c r="G35" i="1" a="1"/>
  <c r="G35" i="1" s="1"/>
  <c r="C5" i="1" a="1"/>
  <c r="C5" i="1" s="1"/>
  <c r="T6" i="1" s="1"/>
  <c r="C7" i="1" a="1"/>
  <c r="C7" i="1" s="1"/>
  <c r="D13" i="1" a="1"/>
  <c r="D13" i="1" s="1"/>
  <c r="F19" i="1" a="1"/>
  <c r="F19" i="1" s="1"/>
  <c r="C20" i="1" a="1"/>
  <c r="C20" i="1" s="1"/>
  <c r="U27" i="1" s="1"/>
  <c r="F21" i="1" a="1"/>
  <c r="F21" i="1" s="1"/>
  <c r="H27" i="1" a="1"/>
  <c r="H27" i="1" s="1"/>
  <c r="C30" i="1" a="1"/>
  <c r="C30" i="1" s="1"/>
  <c r="C33" i="1" a="1"/>
  <c r="C33" i="1" s="1"/>
  <c r="I33" i="1" a="1"/>
  <c r="I33" i="1" s="1"/>
  <c r="C36" i="1" a="1"/>
  <c r="C36" i="1" s="1"/>
  <c r="U42" i="1" s="1"/>
  <c r="R42" i="1"/>
  <c r="C35" i="1" a="1"/>
  <c r="C35" i="1" s="1"/>
  <c r="U41" i="1" s="1"/>
  <c r="C22" i="1" a="1"/>
  <c r="C22" i="1" s="1"/>
  <c r="U28" i="1" s="1"/>
  <c r="F23" i="1" a="1"/>
  <c r="F23" i="1" s="1"/>
  <c r="G25" i="1" a="1"/>
  <c r="G25" i="1" s="1"/>
  <c r="G29" i="1" a="1"/>
  <c r="G29" i="1" s="1"/>
  <c r="D9" i="1" a="1"/>
  <c r="D9" i="1" s="1"/>
  <c r="D11" i="1" a="1"/>
  <c r="D11" i="1" s="1"/>
  <c r="C18" i="1" a="1"/>
  <c r="C18" i="1" s="1"/>
  <c r="C38" i="1" s="1"/>
  <c r="G38" i="1" s="1"/>
  <c r="D24" i="1" a="1"/>
  <c r="D24" i="1" s="1"/>
  <c r="C16" i="1" a="1"/>
  <c r="C16" i="1" s="1"/>
  <c r="D20" i="1" a="1"/>
  <c r="D20" i="1" s="1"/>
  <c r="D22" i="1" a="1"/>
  <c r="D22" i="1" s="1"/>
  <c r="D30" i="1" a="1"/>
  <c r="D30" i="1" s="1"/>
  <c r="F31" i="1" a="1"/>
  <c r="F31" i="1" s="1"/>
  <c r="D33" i="1" a="1"/>
  <c r="D33" i="1" s="1"/>
  <c r="D38" i="1" l="1"/>
  <c r="U38" i="1"/>
  <c r="T38" i="1" s="1"/>
  <c r="U30" i="1"/>
  <c r="T30" i="1" s="1"/>
  <c r="E38" i="1"/>
  <c r="F38" i="1" s="1"/>
  <c r="H38" i="1"/>
  <c r="I38" i="1" s="1"/>
  <c r="U68" i="1"/>
  <c r="T33" i="1"/>
  <c r="T27" i="1"/>
  <c r="U64" i="1"/>
  <c r="U37" i="1"/>
  <c r="T37" i="1" s="1"/>
  <c r="U35" i="1"/>
  <c r="T35" i="1" s="1"/>
  <c r="U6" i="1"/>
  <c r="T5" i="1"/>
  <c r="T9" i="1" s="1"/>
  <c r="T22" i="1"/>
  <c r="U29" i="1"/>
  <c r="T28" i="1"/>
  <c r="U65" i="1"/>
  <c r="U72" i="1"/>
  <c r="AG55" i="1" s="1"/>
  <c r="T41" i="1"/>
  <c r="T11" i="1"/>
  <c r="U73" i="1"/>
  <c r="T42" i="1"/>
  <c r="U31" i="1"/>
  <c r="T31" i="1" s="1"/>
  <c r="U40" i="1"/>
  <c r="U36" i="1"/>
  <c r="T36" i="1" s="1"/>
  <c r="U34" i="1"/>
  <c r="U32" i="1"/>
  <c r="U70" i="1" l="1"/>
  <c r="F39" i="1"/>
  <c r="T29" i="1"/>
  <c r="U66" i="1"/>
  <c r="U14" i="1"/>
  <c r="U5" i="1"/>
  <c r="U9" i="1" s="1"/>
  <c r="U39" i="1"/>
  <c r="U25" i="1" s="1"/>
  <c r="T40" i="1"/>
  <c r="T39" i="1" s="1"/>
  <c r="U67" i="1"/>
  <c r="T32" i="1"/>
  <c r="T34" i="1"/>
  <c r="U69" i="1"/>
  <c r="U13" i="1" l="1"/>
  <c r="U11" i="1" s="1"/>
  <c r="AF44" i="1"/>
  <c r="T21" i="1"/>
  <c r="T20" i="1" s="1"/>
  <c r="T10" i="1" s="1"/>
  <c r="U26" i="1"/>
  <c r="U63" i="1" s="1"/>
  <c r="U62" i="1"/>
  <c r="AG53" i="1" s="1"/>
  <c r="U22" i="1"/>
  <c r="U21" i="1" s="1"/>
  <c r="U20" i="1" s="1"/>
  <c r="U10" i="1" s="1"/>
  <c r="W11" i="1" l="1"/>
  <c r="AG52" i="1"/>
  <c r="AG56" i="1" s="1"/>
  <c r="AF45" i="1"/>
  <c r="AG60" i="1" s="1"/>
  <c r="AG62" i="1" s="1"/>
  <c r="U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U25" authorId="0" shapeId="0" xr:uid="{A78219F1-1C89-4001-9083-2C433BBD72CE}">
      <text>
        <r>
          <rPr>
            <sz val="12"/>
            <color theme="1"/>
            <rFont val="Arial"/>
            <family val="2"/>
          </rPr>
          <t>How much of this is combustion and how much is material use? Brett?
	-Bruno Merven</t>
        </r>
      </text>
    </comment>
    <comment ref="N47" authorId="0" shapeId="0" xr:uid="{C2F6F72B-92BC-4849-81EB-0BCEB8C26470}">
      <text>
        <r>
          <rPr>
            <sz val="12"/>
            <color theme="1"/>
            <rFont val="Arial"/>
            <family val="2"/>
          </rPr>
          <t>This is uncertain and is used as balancing quantity.
	-Bruno Merven</t>
        </r>
      </text>
    </comment>
    <comment ref="U56" authorId="0" shapeId="0" xr:uid="{EEE6B53B-05E1-4C49-AE55-86092BC6525C}">
      <text>
        <r>
          <rPr>
            <sz val="12"/>
            <color theme="1"/>
            <rFont val="Arial"/>
            <family val="2"/>
          </rPr>
          <t>Brett to confirm this. Reference used: https://www.ers.usda.gov/webdocs/outlooks/40459/11717_wrs0702_1_.pdf?v=3385.2#:~:text=Natural%20gas%20is%20the%20primary,produce%201%20ton%20of%20ammonia.
	-Bruno Merven</t>
        </r>
      </text>
    </comment>
    <comment ref="Y62" authorId="0" shapeId="0" xr:uid="{EB7769BE-A1DA-4219-BE85-DF922C40F46E}">
      <text>
        <r>
          <rPr>
            <sz val="12"/>
            <color theme="1"/>
            <rFont val="Arial"/>
            <family val="2"/>
          </rPr>
          <t>once we get confirmation from Brett on numbers
	-Bruno Merven</t>
        </r>
      </text>
    </comment>
    <comment ref="O63" authorId="0" shapeId="0" xr:uid="{EB99418C-7F34-407A-BD48-E7470F374531}">
      <text>
        <r>
          <rPr>
            <sz val="12"/>
            <color theme="1"/>
            <rFont val="Arial"/>
            <family val="2"/>
          </rPr>
          <t>PJ estimate using standard emission factor
	-Bruno Merven</t>
        </r>
      </text>
    </comment>
    <comment ref="P63" authorId="0" shapeId="0" xr:uid="{117498EB-2A76-4DE6-B85C-15E8A3BA901C}">
      <text>
        <r>
          <rPr>
            <sz val="12"/>
            <color theme="1"/>
            <rFont val="Arial"/>
            <family val="2"/>
          </rPr>
          <t>PJ estimate using CV value
	-Bruno Merven</t>
        </r>
      </text>
    </comment>
    <comment ref="U63" authorId="0" shapeId="0" xr:uid="{0F3ABE38-FE87-41DF-AE58-3998D3FF88D7}">
      <text>
        <r>
          <rPr>
            <sz val="12"/>
            <color theme="1"/>
            <rFont val="Arial"/>
            <family val="2"/>
          </rPr>
          <t>Brett to check how much gas could be used in rest of chemicals sector and for energy vs material use if any.
	-Bruno Merven</t>
        </r>
      </text>
    </comment>
    <comment ref="Y63" authorId="0" shapeId="0" xr:uid="{A4CE5B94-80BE-47A0-B660-51AF9A42B6CD}">
      <text>
        <r>
          <rPr>
            <sz val="12"/>
            <color theme="1"/>
            <rFont val="Arial"/>
            <family val="2"/>
          </rPr>
          <t>Including adding new commodity: ICPGMU (Gas for Material Use)
	-Bruno Merven</t>
        </r>
      </text>
    </comment>
    <comment ref="F64" authorId="0" shapeId="0" xr:uid="{3106FA76-19F5-4A17-8D8F-7F9CA60128F7}">
      <text>
        <r>
          <rPr>
            <sz val="12"/>
            <color theme="1"/>
            <rFont val="Arial"/>
            <family val="2"/>
          </rPr>
          <t>this looks like it could be NATREF
	-Bruno Merven</t>
        </r>
      </text>
    </comment>
    <comment ref="V69" authorId="0" shapeId="0" xr:uid="{5C03E31D-5F49-425B-8B23-B6D915B0CCD9}">
      <text>
        <r>
          <rPr>
            <sz val="12"/>
            <color theme="1"/>
            <rFont val="Arial"/>
            <family val="2"/>
          </rPr>
          <t>this is ok. What's needed in the model is for it to be able to shift away from gas by 2050.
	-Bruno Merven</t>
        </r>
      </text>
    </comment>
  </commentList>
</comments>
</file>

<file path=xl/sharedStrings.xml><?xml version="1.0" encoding="utf-8"?>
<sst xmlns="http://schemas.openxmlformats.org/spreadsheetml/2006/main" count="554" uniqueCount="250">
  <si>
    <t>DMRE 2017</t>
  </si>
  <si>
    <t>trying to understant what is what in the DMRE energy balances</t>
  </si>
  <si>
    <t>Gas in EB</t>
  </si>
  <si>
    <t>Disagg balance</t>
  </si>
  <si>
    <t>Sasol 2017a</t>
  </si>
  <si>
    <t>Gas Balance 2017 Sources and Actions</t>
  </si>
  <si>
    <t>https://www.sasol.com/sites/default/files/financial_reports/Additional%20Analyst%20Information%20-%2031%20December%202017.pdf</t>
  </si>
  <si>
    <t>DMRE</t>
  </si>
  <si>
    <t>This Study</t>
  </si>
  <si>
    <t>Source</t>
  </si>
  <si>
    <t>Action Needed</t>
  </si>
  <si>
    <t>Who</t>
  </si>
  <si>
    <t>Indigenous Production</t>
  </si>
  <si>
    <t>Extraction (Petro SA)</t>
  </si>
  <si>
    <t>ByProduct (Sasol CTL)</t>
  </si>
  <si>
    <t>Import</t>
  </si>
  <si>
    <t>Domestic Supply (TPES)</t>
  </si>
  <si>
    <t>Statistical Diff (check)</t>
  </si>
  <si>
    <t>Transformation Sector</t>
  </si>
  <si>
    <t>Oil Refineries (Natref?)</t>
  </si>
  <si>
    <t>Sasol 2017b</t>
  </si>
  <si>
    <t>Need to check</t>
  </si>
  <si>
    <t>Caitlin</t>
  </si>
  <si>
    <t>Liquefaction</t>
  </si>
  <si>
    <t>GTL Plants</t>
  </si>
  <si>
    <t>CTL Plants</t>
  </si>
  <si>
    <t>Estimate derived from Sasol 2017a and 2017b</t>
  </si>
  <si>
    <t>Ammonia Production</t>
  </si>
  <si>
    <t>Estimate based on Sasol 2017b, and UDA 2007</t>
  </si>
  <si>
    <t>Need to Check</t>
  </si>
  <si>
    <t>Brett/Alex</t>
  </si>
  <si>
    <t>Ownuse in Elec,CHP and Heat</t>
  </si>
  <si>
    <t>Secunda (CTL)</t>
  </si>
  <si>
    <t>Derived from Sasol 2017b and NERSA 2017</t>
  </si>
  <si>
    <t>Sasolburg (Chemicals)</t>
  </si>
  <si>
    <t>Final Consumption</t>
  </si>
  <si>
    <t>Industry Sector</t>
  </si>
  <si>
    <t>Chemicals</t>
  </si>
  <si>
    <t>Boilers (Combustion) Sasol</t>
  </si>
  <si>
    <t>Material Use Sasol (ex Ammonia)</t>
  </si>
  <si>
    <t>Boilers (Combustion) ex Sasol</t>
  </si>
  <si>
    <t>Estimate</t>
  </si>
  <si>
    <t>Material Use ex Sasol</t>
  </si>
  <si>
    <t>From Sasol gas balance diagram</t>
  </si>
  <si>
    <t>bcf</t>
  </si>
  <si>
    <t>PJ</t>
  </si>
  <si>
    <t>Total Production</t>
  </si>
  <si>
    <t>Sales to Mozambique</t>
  </si>
  <si>
    <t>Imported into SA</t>
  </si>
  <si>
    <t>Methane Rich Gas from CTL</t>
  </si>
  <si>
    <t>Total Supply (excluding Mossgas)</t>
  </si>
  <si>
    <t>Total Sasol</t>
  </si>
  <si>
    <t>Base Chemicals</t>
  </si>
  <si>
    <t>Performance Chemicals</t>
  </si>
  <si>
    <t>Inventory</t>
  </si>
  <si>
    <t>Energy</t>
  </si>
  <si>
    <t>Other Sectors</t>
  </si>
  <si>
    <t>low on industry?</t>
  </si>
  <si>
    <t>External Sales</t>
  </si>
  <si>
    <t>Mining and Quarrying</t>
  </si>
  <si>
    <t>Transport Sector</t>
  </si>
  <si>
    <t>From Sasol GHG report</t>
  </si>
  <si>
    <t>Agriculture</t>
  </si>
  <si>
    <t>Fuel Gas Combustion (@ Natref?)</t>
  </si>
  <si>
    <t>Commerce and Public Services</t>
  </si>
  <si>
    <t>Gas to Power Plants</t>
  </si>
  <si>
    <t>Check (sasol sales)</t>
  </si>
  <si>
    <t>Residential</t>
  </si>
  <si>
    <t>Natural Gas combustion</t>
  </si>
  <si>
    <t>Non-specified (Other)</t>
  </si>
  <si>
    <t>For EB/Model</t>
  </si>
  <si>
    <t>Export</t>
  </si>
  <si>
    <t>CTL use</t>
  </si>
  <si>
    <t>Other chemicals (material use/non-energy)</t>
  </si>
  <si>
    <t>Power Plants Use (estimate)</t>
  </si>
  <si>
    <t>Natref?</t>
  </si>
  <si>
    <t>SATIM Tasks</t>
  </si>
  <si>
    <t>Sasol Chemicals combution</t>
  </si>
  <si>
    <t>SATIM Sectors</t>
  </si>
  <si>
    <t>Tech</t>
  </si>
  <si>
    <t>Parameter/Result</t>
  </si>
  <si>
    <t>Should be</t>
  </si>
  <si>
    <t>SATIM 2020</t>
  </si>
  <si>
    <t>What</t>
  </si>
  <si>
    <t>Where</t>
  </si>
  <si>
    <t>Importance-NetZero</t>
  </si>
  <si>
    <t>Importance-NDC</t>
  </si>
  <si>
    <t>Status</t>
  </si>
  <si>
    <t>Microsoft Word - Annual Emission Report for SSO_FY18</t>
  </si>
  <si>
    <t>UCTLCLEIN-E</t>
  </si>
  <si>
    <t>FLO_IN(UPSGAS)</t>
  </si>
  <si>
    <t>Fix Calibration</t>
  </si>
  <si>
    <t>TCH_SUP</t>
  </si>
  <si>
    <t>Fadiel</t>
  </si>
  <si>
    <t>low</t>
  </si>
  <si>
    <t>not done</t>
  </si>
  <si>
    <t>Annexure 1: Sasol’s 2017 GHG submission to the national GHG reporting regulations</t>
  </si>
  <si>
    <t>Refinery Inland (Natref)</t>
  </si>
  <si>
    <t>UREFOCRIN-E</t>
  </si>
  <si>
    <t>Name of data provider</t>
  </si>
  <si>
    <t>Herman van der Walt / Shamini Harrington</t>
  </si>
  <si>
    <t>Data provider identification</t>
  </si>
  <si>
    <t>UNH3GAS-E</t>
  </si>
  <si>
    <t>Complete Parameterization</t>
  </si>
  <si>
    <t>Not in model yet</t>
  </si>
  <si>
    <t>Need Efficiencies, Installed Capacity, Process Emissions</t>
  </si>
  <si>
    <t>Google doc</t>
  </si>
  <si>
    <t>High</t>
  </si>
  <si>
    <t>Low</t>
  </si>
  <si>
    <t>Date of submission</t>
  </si>
  <si>
    <t>Create new Workbook for Ammonia</t>
  </si>
  <si>
    <t>TCH_NH3</t>
  </si>
  <si>
    <t>Josie+Fadiel</t>
  </si>
  <si>
    <t>high</t>
  </si>
  <si>
    <t>Year of data</t>
  </si>
  <si>
    <t>2017 (January to December 2017)</t>
  </si>
  <si>
    <t>UNH3HGN-N</t>
  </si>
  <si>
    <t>Need Efficiencies, Investment Costs</t>
  </si>
  <si>
    <t>Comments: Activity data has been supplied. A carbon mass balance has been used to determine GHG data. In most cases the activity data cannot be directly translated to GHG data. Flaring activity data cannot be supplied due to various streams entering the flare at any given time.</t>
  </si>
  <si>
    <t>Put in Model</t>
  </si>
  <si>
    <t>IPCC code</t>
  </si>
  <si>
    <t>Sub category (disaggregated by fuel / product type / production process)</t>
  </si>
  <si>
    <t>Activity data</t>
  </si>
  <si>
    <t>Emissions (tonnes/year)</t>
  </si>
  <si>
    <t>Gas Power (SSF)</t>
  </si>
  <si>
    <t>ETGASENSS-N</t>
  </si>
  <si>
    <t>TCH_PWR</t>
  </si>
  <si>
    <t>Bruno</t>
  </si>
  <si>
    <t>done</t>
  </si>
  <si>
    <t>Name of activity data</t>
  </si>
  <si>
    <t>Value of activity data</t>
  </si>
  <si>
    <t>Units of activity data</t>
  </si>
  <si>
    <t>CO2</t>
  </si>
  <si>
    <t>CH4</t>
  </si>
  <si>
    <t>N20</t>
  </si>
  <si>
    <t>Gas Power (Infrachem)</t>
  </si>
  <si>
    <t>ETGASENSI-N</t>
  </si>
  <si>
    <t>FLO_IN(ICPGAS)</t>
  </si>
  <si>
    <t>Value</t>
  </si>
  <si>
    <t>Tier</t>
  </si>
  <si>
    <t>Reference - technical guidelines</t>
  </si>
  <si>
    <t>1A1</t>
  </si>
  <si>
    <t>1A1c</t>
  </si>
  <si>
    <t>Boiler coal combustion</t>
  </si>
  <si>
    <t>tonnes of run of mine coal</t>
  </si>
  <si>
    <t>Page 52-54</t>
  </si>
  <si>
    <t>Chemicals33 - boilers</t>
  </si>
  <si>
    <t>TCH_IND</t>
  </si>
  <si>
    <t>Bryce</t>
  </si>
  <si>
    <t>mid</t>
  </si>
  <si>
    <t>Gas to power plants</t>
  </si>
  <si>
    <t>kNm3</t>
  </si>
  <si>
    <t>Chemicals33 - non energy use</t>
  </si>
  <si>
    <t>FLO_IN(ICPGMU)</t>
  </si>
  <si>
    <t>Fuel gas combustion</t>
  </si>
  <si>
    <t>GJ</t>
  </si>
  <si>
    <t>Iron_Steel351</t>
  </si>
  <si>
    <t>FLO_IN(IISGAS)</t>
  </si>
  <si>
    <t>?</t>
  </si>
  <si>
    <t>Fuel oil combustion</t>
  </si>
  <si>
    <t>PNFMetals352</t>
  </si>
  <si>
    <t>FLO_IN(INFGAS)</t>
  </si>
  <si>
    <t>Sasol catalytic cracker</t>
  </si>
  <si>
    <t>NMMProducts34</t>
  </si>
  <si>
    <t>FLO_IN(INMGAS)</t>
  </si>
  <si>
    <t>Wet sulphuric acid combustion emissions</t>
  </si>
  <si>
    <t>Mining2</t>
  </si>
  <si>
    <t>FLO_IN(IMIGAS)</t>
  </si>
  <si>
    <t>1A</t>
  </si>
  <si>
    <t>Natural gas combustion</t>
  </si>
  <si>
    <t>GJ natural gas</t>
  </si>
  <si>
    <t>Food_Bev_Tob30</t>
  </si>
  <si>
    <t>FLO_IN(IFBGAS)</t>
  </si>
  <si>
    <t>1B</t>
  </si>
  <si>
    <t>1B3</t>
  </si>
  <si>
    <t>Other energy industries: process emissions</t>
  </si>
  <si>
    <t>kNm3 (pure gas rate for CTL/GTC)</t>
  </si>
  <si>
    <t>####</t>
  </si>
  <si>
    <t>Pulp_Paper323</t>
  </si>
  <si>
    <t>FLO_IN(IPPGAS)</t>
  </si>
  <si>
    <t>high (2050 part)</t>
  </si>
  <si>
    <t>Flaring emissions</t>
  </si>
  <si>
    <t>No activity data due to complexity of the process</t>
  </si>
  <si>
    <t>N/A</t>
  </si>
  <si>
    <t>NA</t>
  </si>
  <si>
    <t>Rest of Industry</t>
  </si>
  <si>
    <t>FLO_IN(IOTGAS)</t>
  </si>
  <si>
    <t>Wet sulphuric acid process emissions</t>
  </si>
  <si>
    <t>Butanol stripper</t>
  </si>
  <si>
    <t>tonnes of butanol</t>
  </si>
  <si>
    <t>Commercial</t>
  </si>
  <si>
    <t>FLO_IN(COMGAS)</t>
  </si>
  <si>
    <t>TCH_COM</t>
  </si>
  <si>
    <t>Alison</t>
  </si>
  <si>
    <t>4D</t>
  </si>
  <si>
    <t>4D2</t>
  </si>
  <si>
    <t>Process water dams</t>
  </si>
  <si>
    <t>tonnes process water feed</t>
  </si>
  <si>
    <t>FLO_IN(RESGAS)</t>
  </si>
  <si>
    <t>TCH_RES</t>
  </si>
  <si>
    <t>Water recovery (including domestic sewage)</t>
  </si>
  <si>
    <t>tonnes COD</t>
  </si>
  <si>
    <t>2B</t>
  </si>
  <si>
    <t>2B2</t>
  </si>
  <si>
    <t>Nitric acid production</t>
  </si>
  <si>
    <t>tonnes of nitric acid</t>
  </si>
  <si>
    <t>Process Emissions</t>
  </si>
  <si>
    <t>2B1</t>
  </si>
  <si>
    <t>Ammonia production</t>
  </si>
  <si>
    <t>tonnes of ammonia</t>
  </si>
  <si>
    <t>Sasol:</t>
  </si>
  <si>
    <t>1B1</t>
  </si>
  <si>
    <t>Sasol Mining</t>
  </si>
  <si>
    <t>tonnes of coal mined</t>
  </si>
  <si>
    <t>-</t>
  </si>
  <si>
    <t>Flaring</t>
  </si>
  <si>
    <t>Quantify Abatement possible (in % and cost per ton CO2)</t>
  </si>
  <si>
    <t>1B2</t>
  </si>
  <si>
    <t>1B2b</t>
  </si>
  <si>
    <t>Natural gas venting from the pipeline</t>
  </si>
  <si>
    <t>kNm3 of natural gas</t>
  </si>
  <si>
    <t>Wet Sulphuric Acids</t>
  </si>
  <si>
    <t>4C</t>
  </si>
  <si>
    <t>4C2</t>
  </si>
  <si>
    <t>Open burning of waste</t>
  </si>
  <si>
    <t>Not applicable (NA)</t>
  </si>
  <si>
    <t>1A5</t>
  </si>
  <si>
    <t>1A5b</t>
  </si>
  <si>
    <t>Mobile combustion: Mining machinery</t>
  </si>
  <si>
    <t>litres of petrol and diesel</t>
  </si>
  <si>
    <t>Carbon budget reporting requirement</t>
  </si>
  <si>
    <t>Outside Sasol:</t>
  </si>
  <si>
    <t>Nitric Acid</t>
  </si>
  <si>
    <t>Other References</t>
  </si>
  <si>
    <t>Other small bits</t>
  </si>
  <si>
    <t>USDA 2007</t>
  </si>
  <si>
    <t>https://www.ers.usda.gov/webdocs/outlooks/40459/11717_wrs0702_1_.pdf?v=3385.2#:~:text=Natural%20gas%20is%20the%20primary,produce%201%20ton%20of%20ammonia.</t>
  </si>
  <si>
    <t>Probably in GAMS</t>
  </si>
  <si>
    <t>Sankey map</t>
  </si>
  <si>
    <t>Synfuels</t>
  </si>
  <si>
    <t>Power</t>
  </si>
  <si>
    <t>Industry</t>
  </si>
  <si>
    <t>Other</t>
  </si>
  <si>
    <t>Total use</t>
  </si>
  <si>
    <t>PetroSA use</t>
  </si>
  <si>
    <t>Extraction</t>
  </si>
  <si>
    <t>Summary - usage</t>
  </si>
  <si>
    <t>Total</t>
  </si>
  <si>
    <t>Summary - production</t>
  </si>
  <si>
    <t>Imports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</si>
</sst>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dd\ mm\ yyyy"/>
  </numFmts>
  <fonts count="21">
    <font>
      <sz val="12"/>
      <color theme="1"/>
      <name val="Arial"/>
      <family val="2"/>
    </font>
    <font>
      <sz val="12"/>
      <color theme="1"/>
      <name val="Arial"/>
      <family val="2"/>
    </font>
    <font>
      <sz val="12"/>
      <name val="Arial"/>
      <family val="2"/>
    </font>
    <font>
      <sz val="12"/>
      <color theme="1"/>
      <name val="Calibri"/>
      <family val="2"/>
    </font>
    <font>
      <b/>
      <sz val="12"/>
      <color theme="1"/>
      <name val="Calibri"/>
      <family val="2"/>
    </font>
    <font>
      <u/>
      <sz val="12"/>
      <color theme="1"/>
      <name val="Arial"/>
      <family val="2"/>
    </font>
    <font>
      <b/>
      <sz val="12"/>
      <color theme="1"/>
      <name val="Arial"/>
      <family val="2"/>
    </font>
    <font>
      <sz val="12"/>
      <color rgb="FFFF0000"/>
      <name val="Arial"/>
      <family val="2"/>
    </font>
    <font>
      <b/>
      <sz val="12"/>
      <color rgb="FFFF0000"/>
      <name val="Calibri"/>
      <family val="2"/>
    </font>
    <font>
      <sz val="11"/>
      <color rgb="FF1155CC"/>
      <name val="Inconsolata"/>
    </font>
    <font>
      <sz val="12"/>
      <color rgb="FFFF0000"/>
      <name val="Calibri"/>
      <family val="2"/>
    </font>
    <font>
      <sz val="11"/>
      <color rgb="FFF7981D"/>
      <name val="Inconsolata"/>
    </font>
    <font>
      <sz val="12"/>
      <color rgb="FF000000"/>
      <name val="&quot;Times New Roman&quot;"/>
    </font>
    <font>
      <sz val="12"/>
      <color rgb="FF000000"/>
      <name val="Arial"/>
      <family val="2"/>
    </font>
    <font>
      <b/>
      <sz val="9"/>
      <color theme="1"/>
      <name val="Arial"/>
      <family val="2"/>
    </font>
    <font>
      <sz val="8"/>
      <color theme="1"/>
      <name val="Arial"/>
      <family val="2"/>
    </font>
    <font>
      <sz val="9"/>
      <color theme="1"/>
      <name val="Arial"/>
      <family val="2"/>
    </font>
    <font>
      <sz val="9"/>
      <color rgb="FF000000"/>
      <name val="Arial"/>
      <family val="2"/>
    </font>
    <font>
      <b/>
      <sz val="12"/>
      <color rgb="FF000000"/>
      <name val="&quot;Times New Roman&quot;"/>
    </font>
    <font>
      <b/>
      <sz val="9"/>
      <color rgb="FF000000"/>
      <name val="Arial"/>
      <family val="2"/>
    </font>
    <font>
      <u/>
      <sz val="11"/>
      <color rgb="FF3C4043"/>
      <name val="Roboto"/>
    </font>
  </fonts>
  <fills count="11">
    <fill>
      <patternFill patternType="none"/>
    </fill>
    <fill>
      <patternFill patternType="gray125"/>
    </fill>
    <fill>
      <patternFill patternType="solid">
        <fgColor rgb="FFD9E2F3"/>
        <bgColor rgb="FFD9E2F3"/>
      </patternFill>
    </fill>
    <fill>
      <patternFill patternType="solid">
        <fgColor rgb="FFD8D8D8"/>
        <bgColor rgb="FFD8D8D8"/>
      </patternFill>
    </fill>
    <fill>
      <patternFill patternType="solid">
        <fgColor rgb="FFFFFFFF"/>
        <bgColor rgb="FFFFFFFF"/>
      </patternFill>
    </fill>
    <fill>
      <patternFill patternType="solid">
        <fgColor rgb="FFE2EFD9"/>
        <bgColor rgb="FFE2EFD9"/>
      </patternFill>
    </fill>
    <fill>
      <patternFill patternType="solid">
        <fgColor rgb="FFFBE4D5"/>
        <bgColor rgb="FFFBE4D5"/>
      </patternFill>
    </fill>
    <fill>
      <patternFill patternType="solid">
        <fgColor rgb="FFDAEEF3"/>
        <bgColor rgb="FFDAEEF3"/>
      </patternFill>
    </fill>
    <fill>
      <patternFill patternType="solid">
        <fgColor rgb="FFF2DCDB"/>
        <bgColor rgb="FFF2DCDB"/>
      </patternFill>
    </fill>
    <fill>
      <patternFill patternType="solid">
        <fgColor rgb="FFEBF1DE"/>
        <bgColor rgb="FFEBF1DE"/>
      </patternFill>
    </fill>
    <fill>
      <patternFill patternType="solid">
        <fgColor rgb="FFFCD5B4"/>
        <bgColor rgb="FFFCD5B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90">
    <xf numFmtId="0" fontId="0" fillId="0" borderId="0" xfId="0"/>
    <xf numFmtId="0" fontId="0" fillId="2" borderId="1" xfId="0" applyFill="1" applyBorder="1"/>
    <xf numFmtId="0" fontId="3" fillId="0" borderId="0" xfId="0" applyFont="1"/>
    <xf numFmtId="0" fontId="4" fillId="0" borderId="0" xfId="0" applyFont="1"/>
    <xf numFmtId="0" fontId="0" fillId="0" borderId="0" xfId="0" applyAlignment="1">
      <alignment wrapText="1"/>
    </xf>
    <xf numFmtId="2" fontId="0" fillId="0" borderId="0" xfId="0" applyNumberFormat="1" applyAlignment="1">
      <alignment wrapText="1"/>
    </xf>
    <xf numFmtId="4" fontId="0" fillId="0" borderId="0" xfId="0" applyNumberFormat="1" applyAlignment="1">
      <alignment wrapText="1"/>
    </xf>
    <xf numFmtId="0" fontId="5" fillId="0" borderId="0" xfId="0" applyFont="1"/>
    <xf numFmtId="164" fontId="0" fillId="0" borderId="0" xfId="0" applyNumberFormat="1"/>
    <xf numFmtId="2" fontId="4" fillId="0" borderId="0" xfId="0" applyNumberFormat="1" applyFont="1"/>
    <xf numFmtId="2" fontId="3" fillId="0" borderId="0" xfId="0" applyNumberFormat="1" applyFont="1"/>
    <xf numFmtId="0" fontId="6" fillId="3" borderId="0" xfId="0" applyFont="1" applyFill="1"/>
    <xf numFmtId="164" fontId="6" fillId="3" borderId="0" xfId="0" applyNumberFormat="1" applyFont="1" applyFill="1"/>
    <xf numFmtId="0" fontId="7" fillId="0" borderId="0" xfId="0" applyFont="1"/>
    <xf numFmtId="164" fontId="7" fillId="0" borderId="0" xfId="0" applyNumberFormat="1" applyFont="1"/>
    <xf numFmtId="0" fontId="0" fillId="3" borderId="0" xfId="0" applyFill="1"/>
    <xf numFmtId="164" fontId="0" fillId="3" borderId="0" xfId="0" applyNumberFormat="1" applyFill="1"/>
    <xf numFmtId="0" fontId="8" fillId="0" borderId="0" xfId="0" applyFont="1"/>
    <xf numFmtId="2" fontId="8" fillId="0" borderId="0" xfId="0" applyNumberFormat="1" applyFont="1"/>
    <xf numFmtId="165" fontId="4" fillId="0" borderId="0" xfId="0" applyNumberFormat="1" applyFont="1"/>
    <xf numFmtId="2" fontId="9" fillId="4" borderId="0" xfId="0" applyNumberFormat="1" applyFont="1" applyFill="1"/>
    <xf numFmtId="0" fontId="0" fillId="5" borderId="0" xfId="0" applyFill="1"/>
    <xf numFmtId="164" fontId="0" fillId="6" borderId="0" xfId="0" applyNumberFormat="1" applyFill="1"/>
    <xf numFmtId="164" fontId="0" fillId="5" borderId="0" xfId="0" applyNumberFormat="1" applyFill="1"/>
    <xf numFmtId="165" fontId="3" fillId="0" borderId="0" xfId="0" applyNumberFormat="1" applyFont="1"/>
    <xf numFmtId="165" fontId="10" fillId="0" borderId="0" xfId="0" applyNumberFormat="1" applyFont="1"/>
    <xf numFmtId="0" fontId="6" fillId="0" borderId="0" xfId="0" applyFont="1" applyAlignment="1">
      <alignment wrapText="1"/>
    </xf>
    <xf numFmtId="164" fontId="3" fillId="0" borderId="0" xfId="0" applyNumberFormat="1" applyFont="1"/>
    <xf numFmtId="2" fontId="0" fillId="0" borderId="0" xfId="0" applyNumberFormat="1"/>
    <xf numFmtId="2" fontId="11" fillId="4" borderId="0" xfId="0" applyNumberFormat="1" applyFont="1" applyFill="1"/>
    <xf numFmtId="0" fontId="3" fillId="0" borderId="0" xfId="0" applyFont="1" applyAlignment="1">
      <alignment wrapText="1"/>
    </xf>
    <xf numFmtId="0" fontId="12" fillId="0" borderId="0" xfId="0" applyFont="1" applyAlignment="1">
      <alignment horizontal="left" vertical="top"/>
    </xf>
    <xf numFmtId="0" fontId="15" fillId="0" borderId="0" xfId="0" applyFont="1"/>
    <xf numFmtId="0" fontId="14" fillId="0" borderId="10" xfId="0" applyFont="1" applyBorder="1" applyAlignment="1">
      <alignment horizontal="left" vertical="top"/>
    </xf>
    <xf numFmtId="0" fontId="16" fillId="7" borderId="9" xfId="0" applyFont="1" applyFill="1" applyBorder="1" applyAlignment="1">
      <alignment horizontal="left" vertical="top"/>
    </xf>
    <xf numFmtId="0" fontId="16" fillId="7" borderId="10" xfId="0" applyFont="1" applyFill="1" applyBorder="1" applyAlignment="1">
      <alignment horizontal="left" vertical="top"/>
    </xf>
    <xf numFmtId="3" fontId="16" fillId="7" borderId="10" xfId="0" applyNumberFormat="1" applyFont="1" applyFill="1" applyBorder="1" applyAlignment="1">
      <alignment horizontal="left" vertical="top"/>
    </xf>
    <xf numFmtId="0" fontId="17" fillId="7" borderId="10" xfId="0" applyFont="1" applyFill="1" applyBorder="1" applyAlignment="1">
      <alignment horizontal="right" vertical="top"/>
    </xf>
    <xf numFmtId="0" fontId="17" fillId="7" borderId="10" xfId="0" applyFont="1" applyFill="1" applyBorder="1" applyAlignment="1">
      <alignment horizontal="left" vertical="top"/>
    </xf>
    <xf numFmtId="0" fontId="12" fillId="7" borderId="10" xfId="0" applyFont="1" applyFill="1" applyBorder="1" applyAlignment="1">
      <alignment horizontal="left" vertical="top"/>
    </xf>
    <xf numFmtId="0" fontId="14" fillId="8" borderId="9" xfId="0" applyFont="1" applyFill="1" applyBorder="1" applyAlignment="1">
      <alignment horizontal="left" vertical="top"/>
    </xf>
    <xf numFmtId="0" fontId="14" fillId="8" borderId="10" xfId="0" applyFont="1" applyFill="1" applyBorder="1" applyAlignment="1">
      <alignment horizontal="left" vertical="top"/>
    </xf>
    <xf numFmtId="3" fontId="14" fillId="8" borderId="10" xfId="0" applyNumberFormat="1" applyFont="1" applyFill="1" applyBorder="1" applyAlignment="1">
      <alignment horizontal="left" vertical="top"/>
    </xf>
    <xf numFmtId="0" fontId="18" fillId="8" borderId="10" xfId="0" applyFont="1" applyFill="1" applyBorder="1" applyAlignment="1">
      <alignment horizontal="left" vertical="top"/>
    </xf>
    <xf numFmtId="0" fontId="19" fillId="8" borderId="10" xfId="0" applyFont="1" applyFill="1" applyBorder="1" applyAlignment="1">
      <alignment horizontal="right" vertical="top"/>
    </xf>
    <xf numFmtId="0" fontId="16" fillId="8" borderId="9" xfId="0" applyFont="1" applyFill="1" applyBorder="1" applyAlignment="1">
      <alignment horizontal="left"/>
    </xf>
    <xf numFmtId="0" fontId="16" fillId="8" borderId="10" xfId="0" applyFont="1" applyFill="1" applyBorder="1" applyAlignment="1">
      <alignment horizontal="left"/>
    </xf>
    <xf numFmtId="0" fontId="16" fillId="8" borderId="10" xfId="0" applyFont="1" applyFill="1" applyBorder="1" applyAlignment="1">
      <alignment horizontal="left" vertical="top"/>
    </xf>
    <xf numFmtId="3" fontId="16" fillId="8" borderId="10" xfId="0" applyNumberFormat="1" applyFont="1" applyFill="1" applyBorder="1" applyAlignment="1">
      <alignment horizontal="left"/>
    </xf>
    <xf numFmtId="0" fontId="17" fillId="8" borderId="10" xfId="0" applyFont="1" applyFill="1" applyBorder="1" applyAlignment="1">
      <alignment horizontal="right"/>
    </xf>
    <xf numFmtId="0" fontId="16" fillId="8" borderId="9" xfId="0" applyFont="1" applyFill="1" applyBorder="1" applyAlignment="1">
      <alignment horizontal="left" vertical="top"/>
    </xf>
    <xf numFmtId="3" fontId="16" fillId="8" borderId="10" xfId="0" applyNumberFormat="1" applyFont="1" applyFill="1" applyBorder="1" applyAlignment="1">
      <alignment horizontal="left" vertical="top"/>
    </xf>
    <xf numFmtId="0" fontId="12" fillId="8" borderId="10" xfId="0" applyFont="1" applyFill="1" applyBorder="1" applyAlignment="1">
      <alignment horizontal="left" vertical="top"/>
    </xf>
    <xf numFmtId="0" fontId="17" fillId="8" borderId="10" xfId="0" applyFont="1" applyFill="1" applyBorder="1" applyAlignment="1">
      <alignment horizontal="right" vertical="top"/>
    </xf>
    <xf numFmtId="0" fontId="16" fillId="9" borderId="9" xfId="0" applyFont="1" applyFill="1" applyBorder="1" applyAlignment="1">
      <alignment horizontal="left" vertical="top"/>
    </xf>
    <xf numFmtId="0" fontId="16" fillId="9" borderId="10" xfId="0" applyFont="1" applyFill="1" applyBorder="1" applyAlignment="1">
      <alignment horizontal="left" vertical="top"/>
    </xf>
    <xf numFmtId="3" fontId="16" fillId="9" borderId="10" xfId="0" applyNumberFormat="1" applyFont="1" applyFill="1" applyBorder="1" applyAlignment="1">
      <alignment horizontal="left" vertical="top"/>
    </xf>
    <xf numFmtId="0" fontId="17" fillId="9" borderId="10" xfId="0" applyFont="1" applyFill="1" applyBorder="1" applyAlignment="1">
      <alignment horizontal="right" vertical="top"/>
    </xf>
    <xf numFmtId="0" fontId="17" fillId="9" borderId="10" xfId="0" applyFont="1" applyFill="1" applyBorder="1" applyAlignment="1">
      <alignment horizontal="left" vertical="top"/>
    </xf>
    <xf numFmtId="0" fontId="12" fillId="9" borderId="10" xfId="0" applyFont="1" applyFill="1" applyBorder="1" applyAlignment="1">
      <alignment horizontal="left" vertical="top"/>
    </xf>
    <xf numFmtId="0" fontId="16" fillId="9" borderId="9" xfId="0" applyFont="1" applyFill="1" applyBorder="1" applyAlignment="1">
      <alignment horizontal="left"/>
    </xf>
    <xf numFmtId="0" fontId="16" fillId="9" borderId="10" xfId="0" applyFont="1" applyFill="1" applyBorder="1" applyAlignment="1">
      <alignment horizontal="left"/>
    </xf>
    <xf numFmtId="3" fontId="16" fillId="9" borderId="10" xfId="0" applyNumberFormat="1" applyFont="1" applyFill="1" applyBorder="1" applyAlignment="1">
      <alignment horizontal="left"/>
    </xf>
    <xf numFmtId="0" fontId="17" fillId="9" borderId="10" xfId="0" applyFont="1" applyFill="1" applyBorder="1" applyAlignment="1">
      <alignment horizontal="right"/>
    </xf>
    <xf numFmtId="0" fontId="16" fillId="10" borderId="9" xfId="0" applyFont="1" applyFill="1" applyBorder="1" applyAlignment="1">
      <alignment horizontal="left" vertical="top"/>
    </xf>
    <xf numFmtId="0" fontId="16" fillId="10" borderId="10" xfId="0" applyFont="1" applyFill="1" applyBorder="1" applyAlignment="1">
      <alignment horizontal="left" vertical="top"/>
    </xf>
    <xf numFmtId="3" fontId="16" fillId="10" borderId="10" xfId="0" applyNumberFormat="1" applyFont="1" applyFill="1" applyBorder="1" applyAlignment="1">
      <alignment horizontal="left" vertical="top"/>
    </xf>
    <xf numFmtId="0" fontId="16" fillId="10" borderId="10" xfId="0" applyFont="1" applyFill="1" applyBorder="1" applyAlignment="1">
      <alignment horizontal="right" vertical="top"/>
    </xf>
    <xf numFmtId="0" fontId="17" fillId="10" borderId="10" xfId="0" applyFont="1" applyFill="1" applyBorder="1" applyAlignment="1">
      <alignment horizontal="left" vertical="top"/>
    </xf>
    <xf numFmtId="0" fontId="17" fillId="10" borderId="10" xfId="0" applyFont="1" applyFill="1" applyBorder="1" applyAlignment="1">
      <alignment horizontal="right" vertical="top"/>
    </xf>
    <xf numFmtId="0" fontId="17" fillId="8" borderId="10" xfId="0" applyFont="1" applyFill="1" applyBorder="1" applyAlignment="1">
      <alignment horizontal="left" vertical="top"/>
    </xf>
    <xf numFmtId="0" fontId="20" fillId="4" borderId="0" xfId="0" applyFont="1" applyFill="1" applyAlignment="1">
      <alignment horizontal="left"/>
    </xf>
    <xf numFmtId="0" fontId="6" fillId="0" borderId="0" xfId="0" applyFont="1"/>
    <xf numFmtId="164" fontId="6" fillId="0" borderId="0" xfId="0" applyNumberFormat="1" applyFont="1"/>
    <xf numFmtId="0" fontId="0" fillId="2" borderId="2" xfId="0" applyFill="1" applyBorder="1"/>
    <xf numFmtId="0" fontId="2" fillId="0" borderId="3" xfId="0" applyFont="1" applyBorder="1"/>
    <xf numFmtId="0" fontId="2" fillId="0" borderId="4" xfId="0" applyFont="1" applyBorder="1"/>
    <xf numFmtId="0" fontId="6" fillId="0" borderId="0" xfId="0" applyFont="1" applyAlignment="1">
      <alignment horizontal="left" vertical="top"/>
    </xf>
    <xf numFmtId="0" fontId="0" fillId="0" borderId="0" xfId="0"/>
    <xf numFmtId="0" fontId="6" fillId="0" borderId="5" xfId="0" applyFont="1" applyBorder="1" applyAlignment="1">
      <alignment horizontal="left" vertical="top"/>
    </xf>
    <xf numFmtId="0" fontId="2" fillId="0" borderId="6" xfId="0" applyFont="1" applyBorder="1"/>
    <xf numFmtId="0" fontId="1" fillId="0" borderId="7" xfId="0" applyFont="1" applyBorder="1" applyAlignment="1">
      <alignment horizontal="left" vertical="top"/>
    </xf>
    <xf numFmtId="0" fontId="2" fillId="0" borderId="7" xfId="0" applyFont="1" applyBorder="1"/>
    <xf numFmtId="0" fontId="13" fillId="0" borderId="7" xfId="0" applyFont="1" applyBorder="1" applyAlignment="1">
      <alignment horizontal="left" vertical="top"/>
    </xf>
    <xf numFmtId="0" fontId="14" fillId="0" borderId="8" xfId="0" applyFont="1" applyBorder="1" applyAlignment="1">
      <alignment horizontal="left"/>
    </xf>
    <xf numFmtId="0" fontId="2" fillId="0" borderId="8" xfId="0" applyFont="1" applyBorder="1"/>
    <xf numFmtId="0" fontId="2" fillId="0" borderId="9" xfId="0" applyFont="1" applyBorder="1"/>
    <xf numFmtId="0" fontId="14" fillId="0" borderId="8" xfId="0" applyFont="1" applyBorder="1" applyAlignment="1">
      <alignment horizontal="left" vertical="top"/>
    </xf>
    <xf numFmtId="0" fontId="14" fillId="0" borderId="7" xfId="0" applyFont="1" applyBorder="1" applyAlignment="1">
      <alignment horizontal="left" vertical="top"/>
    </xf>
    <xf numFmtId="166" fontId="13" fillId="0" borderId="7"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57150</xdr:colOff>
      <xdr:row>4</xdr:row>
      <xdr:rowOff>28575</xdr:rowOff>
    </xdr:from>
    <xdr:ext cx="6229350" cy="4495800"/>
    <xdr:pic>
      <xdr:nvPicPr>
        <xdr:cNvPr id="2" name="image1.png" title="Image">
          <a:extLst>
            <a:ext uri="{FF2B5EF4-FFF2-40B4-BE49-F238E27FC236}">
              <a16:creationId xmlns:a16="http://schemas.microsoft.com/office/drawing/2014/main" id="{A20C47A3-AC89-4BF9-A364-0E3AD865022C}"/>
            </a:ext>
          </a:extLst>
        </xdr:cNvPr>
        <xdr:cNvPicPr preferRelativeResize="0"/>
      </xdr:nvPicPr>
      <xdr:blipFill>
        <a:blip xmlns:r="http://schemas.openxmlformats.org/officeDocument/2006/relationships" r:embed="rId1" cstate="print"/>
        <a:stretch>
          <a:fillRect/>
        </a:stretch>
      </xdr:blipFill>
      <xdr:spPr>
        <a:xfrm>
          <a:off x="9105900" y="1219200"/>
          <a:ext cx="6229350" cy="4495800"/>
        </a:xfrm>
        <a:prstGeom prst="rect">
          <a:avLst/>
        </a:prstGeom>
        <a:noFill/>
      </xdr:spPr>
    </xdr:pic>
    <xdr:clientData fLocksWithSheet="0"/>
  </xdr:oneCellAnchor>
  <xdr:twoCellAnchor>
    <xdr:from>
      <xdr:col>29</xdr:col>
      <xdr:colOff>885264</xdr:colOff>
      <xdr:row>51</xdr:row>
      <xdr:rowOff>156882</xdr:rowOff>
    </xdr:from>
    <xdr:to>
      <xdr:col>30</xdr:col>
      <xdr:colOff>537882</xdr:colOff>
      <xdr:row>54</xdr:row>
      <xdr:rowOff>56030</xdr:rowOff>
    </xdr:to>
    <xdr:sp macro="" textlink="">
      <xdr:nvSpPr>
        <xdr:cNvPr id="3" name="Arrow: Right 2">
          <a:extLst>
            <a:ext uri="{FF2B5EF4-FFF2-40B4-BE49-F238E27FC236}">
              <a16:creationId xmlns:a16="http://schemas.microsoft.com/office/drawing/2014/main" id="{2DF883E1-3580-4C81-9B3E-225B8719D6B0}"/>
            </a:ext>
          </a:extLst>
        </xdr:cNvPr>
        <xdr:cNvSpPr/>
      </xdr:nvSpPr>
      <xdr:spPr>
        <a:xfrm>
          <a:off x="29292176" y="11060206"/>
          <a:ext cx="616324" cy="5042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30</xdr:col>
      <xdr:colOff>713971</xdr:colOff>
      <xdr:row>45</xdr:row>
      <xdr:rowOff>55547</xdr:rowOff>
    </xdr:from>
    <xdr:to>
      <xdr:col>31</xdr:col>
      <xdr:colOff>280590</xdr:colOff>
      <xdr:row>48</xdr:row>
      <xdr:rowOff>127265</xdr:rowOff>
    </xdr:to>
    <xdr:sp macro="" textlink="">
      <xdr:nvSpPr>
        <xdr:cNvPr id="4" name="Arrow: Right 3">
          <a:extLst>
            <a:ext uri="{FF2B5EF4-FFF2-40B4-BE49-F238E27FC236}">
              <a16:creationId xmlns:a16="http://schemas.microsoft.com/office/drawing/2014/main" id="{1785B784-B510-4450-8F20-B4EA0C279F56}"/>
            </a:ext>
          </a:extLst>
        </xdr:cNvPr>
        <xdr:cNvSpPr/>
      </xdr:nvSpPr>
      <xdr:spPr>
        <a:xfrm rot="4215129">
          <a:off x="30011334" y="9821890"/>
          <a:ext cx="676836" cy="5303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B%20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TIM Energy balance 2017 (new)"/>
      <sheetName val="Sheet12"/>
      <sheetName val="DMRE 2016EB"/>
      <sheetName val="DMRE 2017EB"/>
      <sheetName val="elec"/>
      <sheetName val="EskomSales"/>
      <sheetName val="gas"/>
      <sheetName val="HFO"/>
      <sheetName val="Inventory"/>
      <sheetName val="Wood"/>
      <sheetName val="NERSA2018"/>
      <sheetName val="NERSA2017"/>
      <sheetName val="SUT2017"/>
      <sheetName val="SUTCoal"/>
      <sheetName val="SUTElec"/>
      <sheetName val="Petroleum products"/>
    </sheetNames>
    <sheetDataSet>
      <sheetData sheetId="0">
        <row r="43">
          <cell r="J43">
            <v>6357.0344000000005</v>
          </cell>
        </row>
        <row r="44">
          <cell r="J44">
            <v>19177.912909090912</v>
          </cell>
        </row>
      </sheetData>
      <sheetData sheetId="1"/>
      <sheetData sheetId="2"/>
      <sheetData sheetId="3">
        <row r="2">
          <cell r="E2" t="str">
            <v>Gas</v>
          </cell>
          <cell r="Y2" t="str">
            <v>Gas Coke</v>
          </cell>
          <cell r="Z2" t="str">
            <v xml:space="preserve">     BKB</v>
          </cell>
          <cell r="AA2" t="str">
            <v>Gasworks Gas</v>
          </cell>
          <cell r="AB2" t="str">
            <v>Coke oven Gas</v>
          </cell>
          <cell r="AC2" t="str">
            <v>Blast Furnace Gas</v>
          </cell>
          <cell r="AD2" t="str">
            <v>Oxygen Furnace Gas</v>
          </cell>
          <cell r="AE2" t="str">
            <v>Renewables &amp; Waste</v>
          </cell>
          <cell r="AF2" t="str">
            <v>SBIOMASS</v>
          </cell>
          <cell r="AG2" t="str">
            <v>Industrial waste</v>
          </cell>
          <cell r="AH2" t="str">
            <v>Muncipal waste</v>
          </cell>
          <cell r="AI2" t="str">
            <v xml:space="preserve">   GLBIO</v>
          </cell>
          <cell r="AJ2" t="str">
            <v>Natural Gas</v>
          </cell>
          <cell r="AK2" t="str">
            <v>Crude + NGLs '+ Feedstocks</v>
          </cell>
          <cell r="AL2" t="str">
            <v>Crude Oil</v>
          </cell>
          <cell r="AM2" t="str">
            <v>NGLs</v>
          </cell>
          <cell r="AN2" t="str">
            <v>Refinery Feedstocks</v>
          </cell>
          <cell r="AO2" t="str">
            <v>Additives</v>
          </cell>
          <cell r="AP2" t="str">
            <v>Non-Conventional crude</v>
          </cell>
          <cell r="AQ2" t="str">
            <v>Refinery Gas</v>
          </cell>
          <cell r="AR2" t="str">
            <v>Ethane</v>
          </cell>
          <cell r="AS2" t="str">
            <v xml:space="preserve">     LPG</v>
          </cell>
        </row>
        <row r="4">
          <cell r="A4" t="str">
            <v>Indigenous Production</v>
          </cell>
          <cell r="E4">
            <v>25570.81</v>
          </cell>
          <cell r="N4" t="str">
            <v>Indigenous Production</v>
          </cell>
          <cell r="Y4"/>
          <cell r="Z4"/>
          <cell r="AA4"/>
          <cell r="AB4"/>
          <cell r="AC4"/>
          <cell r="AD4"/>
          <cell r="AE4">
            <v>654700.875</v>
          </cell>
          <cell r="AF4">
            <v>654700.875</v>
          </cell>
          <cell r="AG4"/>
          <cell r="AH4"/>
          <cell r="AI4"/>
          <cell r="AJ4">
            <v>25570.8125</v>
          </cell>
          <cell r="AK4">
            <v>4210.7850341796875</v>
          </cell>
          <cell r="AL4">
            <v>1375.7850341796875</v>
          </cell>
          <cell r="AM4">
            <v>2835</v>
          </cell>
          <cell r="AN4"/>
          <cell r="AO4"/>
          <cell r="AP4"/>
          <cell r="AQ4"/>
          <cell r="AR4"/>
          <cell r="AS4"/>
        </row>
        <row r="5">
          <cell r="A5" t="str">
            <v>Import</v>
          </cell>
          <cell r="E5">
            <v>124124.44</v>
          </cell>
          <cell r="N5" t="str">
            <v>Import</v>
          </cell>
          <cell r="Y5"/>
          <cell r="Z5"/>
          <cell r="AA5"/>
          <cell r="AB5"/>
          <cell r="AC5"/>
          <cell r="AD5"/>
          <cell r="AE5">
            <v>0</v>
          </cell>
          <cell r="AF5"/>
          <cell r="AG5"/>
          <cell r="AH5"/>
          <cell r="AI5"/>
          <cell r="AJ5">
            <v>124124.4375</v>
          </cell>
          <cell r="AK5">
            <v>729621.25</v>
          </cell>
          <cell r="AL5">
            <v>729621.25</v>
          </cell>
          <cell r="AM5"/>
          <cell r="AN5"/>
          <cell r="AO5"/>
          <cell r="AP5"/>
          <cell r="AQ5"/>
          <cell r="AR5"/>
          <cell r="AS5">
            <v>4957.47998046875</v>
          </cell>
        </row>
        <row r="6">
          <cell r="A6" t="str">
            <v>Export</v>
          </cell>
          <cell r="E6">
            <v>-498.75</v>
          </cell>
          <cell r="N6" t="str">
            <v>Export</v>
          </cell>
          <cell r="Y6"/>
          <cell r="Z6"/>
          <cell r="AA6"/>
          <cell r="AB6"/>
          <cell r="AC6"/>
          <cell r="AD6"/>
          <cell r="AE6">
            <v>0</v>
          </cell>
          <cell r="AF6"/>
          <cell r="AG6"/>
          <cell r="AH6"/>
          <cell r="AI6"/>
          <cell r="AJ6">
            <v>-498.75</v>
          </cell>
          <cell r="AK6">
            <v>0</v>
          </cell>
          <cell r="AL6"/>
          <cell r="AM6"/>
          <cell r="AN6"/>
          <cell r="AO6"/>
          <cell r="AP6"/>
          <cell r="AQ6"/>
          <cell r="AR6"/>
          <cell r="AS6">
            <v>-2829.345458984375</v>
          </cell>
        </row>
        <row r="7">
          <cell r="A7" t="str">
            <v>Intl. Marine Bunkers</v>
          </cell>
          <cell r="E7"/>
          <cell r="N7" t="str">
            <v>Intl. Marine Bunkers</v>
          </cell>
          <cell r="Y7"/>
          <cell r="Z7"/>
          <cell r="AA7"/>
          <cell r="AB7"/>
          <cell r="AC7"/>
          <cell r="AD7"/>
          <cell r="AE7">
            <v>0</v>
          </cell>
          <cell r="AF7"/>
          <cell r="AG7"/>
          <cell r="AH7"/>
          <cell r="AI7"/>
          <cell r="AJ7"/>
          <cell r="AK7">
            <v>0</v>
          </cell>
          <cell r="AL7"/>
          <cell r="AM7"/>
          <cell r="AN7"/>
          <cell r="AO7"/>
          <cell r="AP7"/>
          <cell r="AQ7"/>
          <cell r="AR7"/>
          <cell r="AS7"/>
        </row>
        <row r="8">
          <cell r="A8" t="str">
            <v>Stock Changes</v>
          </cell>
          <cell r="E8"/>
          <cell r="N8" t="str">
            <v>Stock Changes</v>
          </cell>
          <cell r="Y8"/>
          <cell r="Z8"/>
          <cell r="AA8"/>
          <cell r="AB8"/>
          <cell r="AC8"/>
          <cell r="AD8"/>
          <cell r="AE8">
            <v>0</v>
          </cell>
          <cell r="AF8"/>
          <cell r="AG8"/>
          <cell r="AH8"/>
          <cell r="AI8"/>
          <cell r="AJ8"/>
          <cell r="AK8">
            <v>0</v>
          </cell>
          <cell r="AL8"/>
          <cell r="AM8"/>
          <cell r="AN8"/>
          <cell r="AO8"/>
          <cell r="AP8"/>
          <cell r="AQ8"/>
          <cell r="AR8"/>
          <cell r="AS8"/>
        </row>
        <row r="9">
          <cell r="A9" t="str">
            <v>Total Primary Energy Supply</v>
          </cell>
          <cell r="E9">
            <v>149196.5</v>
          </cell>
          <cell r="N9" t="str">
            <v>Domestic Supply</v>
          </cell>
          <cell r="Y9">
            <v>0</v>
          </cell>
          <cell r="Z9">
            <v>0</v>
          </cell>
          <cell r="AA9">
            <v>0</v>
          </cell>
          <cell r="AB9">
            <v>0</v>
          </cell>
          <cell r="AC9">
            <v>0</v>
          </cell>
          <cell r="AD9">
            <v>0</v>
          </cell>
          <cell r="AE9">
            <v>654700.875</v>
          </cell>
          <cell r="AF9">
            <v>654700.875</v>
          </cell>
          <cell r="AG9">
            <v>0</v>
          </cell>
          <cell r="AH9">
            <v>0</v>
          </cell>
          <cell r="AI9">
            <v>0</v>
          </cell>
          <cell r="AJ9">
            <v>149196.5</v>
          </cell>
          <cell r="AK9">
            <v>733832.03503417969</v>
          </cell>
          <cell r="AL9">
            <v>730997.03503417969</v>
          </cell>
          <cell r="AM9">
            <v>2835</v>
          </cell>
          <cell r="AN9">
            <v>0</v>
          </cell>
          <cell r="AO9">
            <v>0</v>
          </cell>
          <cell r="AP9">
            <v>0</v>
          </cell>
          <cell r="AQ9">
            <v>0</v>
          </cell>
          <cell r="AR9">
            <v>0</v>
          </cell>
          <cell r="AS9">
            <v>2128.134521484375</v>
          </cell>
        </row>
        <row r="10">
          <cell r="A10"/>
          <cell r="E10"/>
          <cell r="N10" t="str">
            <v/>
          </cell>
          <cell r="Y10"/>
          <cell r="Z10"/>
          <cell r="AA10"/>
          <cell r="AB10"/>
          <cell r="AC10"/>
          <cell r="AD10"/>
          <cell r="AE10"/>
          <cell r="AF10"/>
          <cell r="AG10"/>
          <cell r="AH10"/>
          <cell r="AI10"/>
          <cell r="AJ10"/>
          <cell r="AK10"/>
          <cell r="AL10"/>
          <cell r="AM10"/>
          <cell r="AN10"/>
          <cell r="AO10"/>
          <cell r="AP10"/>
          <cell r="AQ10"/>
          <cell r="AR10"/>
          <cell r="AS10"/>
        </row>
        <row r="11">
          <cell r="A11" t="str">
            <v>Transfers</v>
          </cell>
          <cell r="E11"/>
          <cell r="N11" t="str">
            <v>Transfers</v>
          </cell>
          <cell r="Y11"/>
          <cell r="Z11"/>
          <cell r="AA11"/>
          <cell r="AB11"/>
          <cell r="AC11"/>
          <cell r="AD11"/>
          <cell r="AE11">
            <v>0</v>
          </cell>
          <cell r="AF11"/>
          <cell r="AG11"/>
          <cell r="AH11"/>
          <cell r="AI11"/>
          <cell r="AJ11"/>
          <cell r="AK11">
            <v>0</v>
          </cell>
          <cell r="AL11"/>
          <cell r="AM11"/>
          <cell r="AN11"/>
          <cell r="AO11"/>
          <cell r="AP11"/>
          <cell r="AQ11"/>
          <cell r="AR11"/>
          <cell r="AS11"/>
        </row>
        <row r="12">
          <cell r="A12" t="str">
            <v>Statistical Differences</v>
          </cell>
          <cell r="E12">
            <v>73391.42</v>
          </cell>
          <cell r="N12" t="str">
            <v>Statistical Differences</v>
          </cell>
          <cell r="Y12">
            <v>0</v>
          </cell>
          <cell r="Z12">
            <v>0</v>
          </cell>
          <cell r="AA12">
            <v>1174.3655652999878</v>
          </cell>
          <cell r="AB12">
            <v>0</v>
          </cell>
          <cell r="AC12">
            <v>0</v>
          </cell>
          <cell r="AD12">
            <v>0</v>
          </cell>
          <cell r="AE12">
            <v>-2924.7734375</v>
          </cell>
          <cell r="AF12">
            <v>-2924.7734375</v>
          </cell>
          <cell r="AG12">
            <v>0</v>
          </cell>
          <cell r="AH12">
            <v>0</v>
          </cell>
          <cell r="AI12">
            <v>0</v>
          </cell>
          <cell r="AJ12">
            <v>13379.132661819458</v>
          </cell>
          <cell r="AK12">
            <v>-298858.56628417969</v>
          </cell>
          <cell r="AL12">
            <v>2.74658203125E-2</v>
          </cell>
          <cell r="AM12">
            <v>0</v>
          </cell>
          <cell r="AN12">
            <v>0</v>
          </cell>
          <cell r="AO12">
            <v>0</v>
          </cell>
          <cell r="AP12">
            <v>-298858.59375</v>
          </cell>
          <cell r="AQ12">
            <v>-35803.75</v>
          </cell>
          <cell r="AR12">
            <v>0</v>
          </cell>
          <cell r="AS12">
            <v>-6182.7439339160919</v>
          </cell>
        </row>
        <row r="13">
          <cell r="A13" t="str">
            <v>Transformation</v>
          </cell>
          <cell r="E13"/>
          <cell r="N13" t="str">
            <v>Transformation Sector</v>
          </cell>
          <cell r="Y13">
            <v>0</v>
          </cell>
          <cell r="Z13">
            <v>0</v>
          </cell>
          <cell r="AA13">
            <v>21556.609375</v>
          </cell>
          <cell r="AB13">
            <v>23257.001953125</v>
          </cell>
          <cell r="AC13">
            <v>22961</v>
          </cell>
          <cell r="AD13">
            <v>0</v>
          </cell>
          <cell r="AE13">
            <v>-225875</v>
          </cell>
          <cell r="AF13">
            <v>-225875</v>
          </cell>
          <cell r="AG13">
            <v>0</v>
          </cell>
          <cell r="AH13">
            <v>0</v>
          </cell>
          <cell r="AI13">
            <v>0</v>
          </cell>
          <cell r="AJ13">
            <v>-88318.546875</v>
          </cell>
          <cell r="AK13">
            <v>-434973.46875</v>
          </cell>
          <cell r="AL13">
            <v>-730997.0625</v>
          </cell>
          <cell r="AM13">
            <v>-2835</v>
          </cell>
          <cell r="AN13">
            <v>0</v>
          </cell>
          <cell r="AO13">
            <v>0</v>
          </cell>
          <cell r="AP13">
            <v>298858.59375</v>
          </cell>
          <cell r="AQ13">
            <v>35803.75</v>
          </cell>
          <cell r="AR13">
            <v>0</v>
          </cell>
          <cell r="AS13">
            <v>19175.529296875</v>
          </cell>
        </row>
        <row r="14">
          <cell r="A14" t="str">
            <v>Electricity Plant</v>
          </cell>
          <cell r="E14"/>
          <cell r="N14" t="str">
            <v>Electricity Plant</v>
          </cell>
          <cell r="Y14"/>
          <cell r="Z14"/>
          <cell r="AA14"/>
          <cell r="AB14"/>
          <cell r="AC14"/>
          <cell r="AD14"/>
          <cell r="AE14">
            <v>0</v>
          </cell>
          <cell r="AF14"/>
          <cell r="AG14"/>
          <cell r="AH14"/>
          <cell r="AI14"/>
          <cell r="AJ14"/>
          <cell r="AK14">
            <v>0</v>
          </cell>
          <cell r="AL14"/>
          <cell r="AM14"/>
          <cell r="AN14"/>
          <cell r="AO14"/>
          <cell r="AP14"/>
          <cell r="AQ14"/>
          <cell r="AR14"/>
          <cell r="AS14"/>
        </row>
        <row r="15">
          <cell r="A15" t="str">
            <v>Autoproducer Electricity Plant</v>
          </cell>
          <cell r="E15"/>
          <cell r="N15" t="str">
            <v>Autoproducer Electricity Plant</v>
          </cell>
          <cell r="Y15"/>
          <cell r="Z15"/>
          <cell r="AA15"/>
          <cell r="AB15"/>
          <cell r="AC15"/>
          <cell r="AD15"/>
          <cell r="AE15">
            <v>-4315</v>
          </cell>
          <cell r="AF15">
            <v>-4315</v>
          </cell>
          <cell r="AG15"/>
          <cell r="AH15"/>
          <cell r="AI15"/>
          <cell r="AJ15"/>
          <cell r="AK15">
            <v>0</v>
          </cell>
          <cell r="AL15"/>
          <cell r="AM15"/>
          <cell r="AN15"/>
          <cell r="AO15"/>
          <cell r="AP15"/>
          <cell r="AQ15"/>
          <cell r="AR15"/>
          <cell r="AS15"/>
        </row>
        <row r="16">
          <cell r="A16" t="str">
            <v>CHP Plant</v>
          </cell>
          <cell r="E16"/>
          <cell r="N16" t="str">
            <v>CHP Plant</v>
          </cell>
          <cell r="Y16"/>
          <cell r="Z16"/>
          <cell r="AA16"/>
          <cell r="AB16"/>
          <cell r="AC16"/>
          <cell r="AD16"/>
          <cell r="AE16">
            <v>0</v>
          </cell>
          <cell r="AF16"/>
          <cell r="AG16"/>
          <cell r="AH16"/>
          <cell r="AI16"/>
          <cell r="AJ16"/>
          <cell r="AK16">
            <v>0</v>
          </cell>
          <cell r="AL16"/>
          <cell r="AM16"/>
          <cell r="AN16"/>
          <cell r="AO16"/>
          <cell r="AP16"/>
          <cell r="AQ16"/>
          <cell r="AR16"/>
          <cell r="AS16"/>
        </row>
        <row r="17">
          <cell r="A17" t="str">
            <v>Autoproducer CHP Plant</v>
          </cell>
          <cell r="E17"/>
          <cell r="N17" t="str">
            <v>Autoproducer CHP Plant</v>
          </cell>
          <cell r="Y17"/>
          <cell r="Z17"/>
          <cell r="AA17"/>
          <cell r="AB17"/>
          <cell r="AC17"/>
          <cell r="AD17"/>
          <cell r="AE17">
            <v>0</v>
          </cell>
          <cell r="AF17"/>
          <cell r="AG17"/>
          <cell r="AH17"/>
          <cell r="AI17"/>
          <cell r="AJ17"/>
          <cell r="AK17">
            <v>0</v>
          </cell>
          <cell r="AL17"/>
          <cell r="AM17"/>
          <cell r="AN17"/>
          <cell r="AO17"/>
          <cell r="AP17"/>
          <cell r="AQ17"/>
          <cell r="AR17"/>
          <cell r="AS17"/>
        </row>
        <row r="18">
          <cell r="A18" t="str">
            <v>Heat Plant</v>
          </cell>
          <cell r="E18"/>
          <cell r="N18" t="str">
            <v>Heat Plant</v>
          </cell>
          <cell r="Y18"/>
          <cell r="Z18"/>
          <cell r="AA18"/>
          <cell r="AB18"/>
          <cell r="AC18"/>
          <cell r="AD18"/>
          <cell r="AE18">
            <v>0</v>
          </cell>
          <cell r="AF18"/>
          <cell r="AG18"/>
          <cell r="AH18"/>
          <cell r="AI18"/>
          <cell r="AJ18"/>
          <cell r="AK18">
            <v>0</v>
          </cell>
          <cell r="AL18"/>
          <cell r="AM18"/>
          <cell r="AN18"/>
          <cell r="AO18"/>
          <cell r="AP18"/>
          <cell r="AQ18"/>
          <cell r="AR18"/>
          <cell r="AS18"/>
        </row>
        <row r="19">
          <cell r="A19" t="str">
            <v>Autoproducer Heat Plant</v>
          </cell>
          <cell r="E19"/>
          <cell r="N19" t="str">
            <v>Autoproducer Heat Plant</v>
          </cell>
          <cell r="Y19"/>
          <cell r="Z19"/>
          <cell r="AA19"/>
          <cell r="AB19"/>
          <cell r="AC19"/>
          <cell r="AD19"/>
          <cell r="AE19">
            <v>0</v>
          </cell>
          <cell r="AF19"/>
          <cell r="AG19"/>
          <cell r="AH19"/>
          <cell r="AI19"/>
          <cell r="AJ19"/>
          <cell r="AK19">
            <v>0</v>
          </cell>
          <cell r="AL19"/>
          <cell r="AM19"/>
          <cell r="AN19"/>
          <cell r="AO19"/>
          <cell r="AP19"/>
          <cell r="AQ19"/>
          <cell r="AR19"/>
          <cell r="AS19"/>
        </row>
        <row r="20">
          <cell r="A20" t="str">
            <v>Heat pumps</v>
          </cell>
          <cell r="E20"/>
          <cell r="N20" t="str">
            <v>Heat pumps</v>
          </cell>
          <cell r="Y20"/>
          <cell r="Z20"/>
          <cell r="AA20"/>
          <cell r="AB20"/>
          <cell r="AC20"/>
          <cell r="AD20"/>
          <cell r="AE20">
            <v>0</v>
          </cell>
          <cell r="AF20"/>
          <cell r="AG20"/>
          <cell r="AH20"/>
          <cell r="AI20"/>
          <cell r="AJ20"/>
          <cell r="AK20">
            <v>0</v>
          </cell>
          <cell r="AL20"/>
          <cell r="AM20"/>
          <cell r="AN20"/>
          <cell r="AO20"/>
          <cell r="AP20"/>
          <cell r="AQ20"/>
          <cell r="AR20"/>
          <cell r="AS20"/>
        </row>
        <row r="21">
          <cell r="A21" t="str">
            <v>Electric boilers</v>
          </cell>
          <cell r="E21"/>
          <cell r="N21" t="str">
            <v>Electric Boilers</v>
          </cell>
          <cell r="Y21"/>
          <cell r="Z21"/>
          <cell r="AA21"/>
          <cell r="AB21"/>
          <cell r="AC21"/>
          <cell r="AD21"/>
          <cell r="AE21">
            <v>0</v>
          </cell>
          <cell r="AF21"/>
          <cell r="AG21"/>
          <cell r="AH21"/>
          <cell r="AI21"/>
          <cell r="AJ21"/>
          <cell r="AK21">
            <v>0</v>
          </cell>
          <cell r="AL21"/>
          <cell r="AM21"/>
          <cell r="AN21"/>
          <cell r="AO21"/>
          <cell r="AP21"/>
          <cell r="AQ21"/>
          <cell r="AR21"/>
          <cell r="AS21"/>
        </row>
        <row r="22">
          <cell r="A22" t="str">
            <v>Gas Works</v>
          </cell>
          <cell r="E22">
            <v>21556.61</v>
          </cell>
          <cell r="N22" t="str">
            <v>Coke Ovens</v>
          </cell>
          <cell r="Y22"/>
          <cell r="Z22"/>
          <cell r="AA22"/>
          <cell r="AB22">
            <v>23257.001953125</v>
          </cell>
          <cell r="AC22"/>
          <cell r="AD22"/>
          <cell r="AE22">
            <v>0</v>
          </cell>
          <cell r="AF22"/>
          <cell r="AG22"/>
          <cell r="AH22"/>
          <cell r="AI22"/>
          <cell r="AJ22"/>
          <cell r="AK22">
            <v>0</v>
          </cell>
          <cell r="AL22"/>
          <cell r="AM22"/>
          <cell r="AN22"/>
          <cell r="AO22"/>
          <cell r="AP22"/>
          <cell r="AQ22"/>
          <cell r="AR22"/>
          <cell r="AS22"/>
        </row>
        <row r="23">
          <cell r="A23" t="str">
            <v>Oil Refineries</v>
          </cell>
          <cell r="E23"/>
          <cell r="N23" t="str">
            <v>Gas Works</v>
          </cell>
          <cell r="Y23"/>
          <cell r="Z23"/>
          <cell r="AA23">
            <v>21556.609375</v>
          </cell>
          <cell r="AB23"/>
          <cell r="AC23"/>
          <cell r="AD23"/>
          <cell r="AE23">
            <v>0</v>
          </cell>
          <cell r="AF23"/>
          <cell r="AG23"/>
          <cell r="AH23"/>
          <cell r="AI23"/>
          <cell r="AJ23"/>
          <cell r="AK23">
            <v>0</v>
          </cell>
          <cell r="AL23"/>
          <cell r="AM23"/>
          <cell r="AN23"/>
          <cell r="AO23"/>
          <cell r="AP23"/>
          <cell r="AQ23"/>
          <cell r="AR23"/>
          <cell r="AS23"/>
        </row>
        <row r="24">
          <cell r="A24" t="str">
            <v>Coal Transformation</v>
          </cell>
          <cell r="E24"/>
          <cell r="N24" t="str">
            <v>Blast Furnaces</v>
          </cell>
          <cell r="Y24"/>
          <cell r="Z24"/>
          <cell r="AA24"/>
          <cell r="AB24"/>
          <cell r="AC24">
            <v>22961</v>
          </cell>
          <cell r="AD24"/>
          <cell r="AE24">
            <v>0</v>
          </cell>
          <cell r="AF24"/>
          <cell r="AG24"/>
          <cell r="AH24"/>
          <cell r="AI24"/>
          <cell r="AJ24"/>
          <cell r="AK24">
            <v>0</v>
          </cell>
          <cell r="AL24"/>
          <cell r="AM24"/>
          <cell r="AN24"/>
          <cell r="AO24"/>
          <cell r="AP24"/>
          <cell r="AQ24"/>
          <cell r="AR24"/>
          <cell r="AS24"/>
        </row>
        <row r="25">
          <cell r="A25" t="str">
            <v>Liquefaction</v>
          </cell>
          <cell r="E25">
            <v>-88318.55</v>
          </cell>
          <cell r="N25" t="str">
            <v>Petrochemical Industry</v>
          </cell>
          <cell r="Y25"/>
          <cell r="Z25"/>
          <cell r="AA25"/>
          <cell r="AB25"/>
          <cell r="AC25"/>
          <cell r="AD25"/>
          <cell r="AE25">
            <v>0</v>
          </cell>
          <cell r="AF25"/>
          <cell r="AG25"/>
          <cell r="AH25"/>
          <cell r="AI25"/>
          <cell r="AJ25"/>
          <cell r="AK25">
            <v>0</v>
          </cell>
          <cell r="AL25"/>
          <cell r="AM25"/>
          <cell r="AN25"/>
          <cell r="AO25"/>
          <cell r="AP25"/>
          <cell r="AQ25"/>
          <cell r="AR25"/>
          <cell r="AS25"/>
        </row>
        <row r="26">
          <cell r="A26" t="str">
            <v>Non-specified (Transformation)</v>
          </cell>
          <cell r="E26"/>
          <cell r="N26" t="str">
            <v>BKB Production</v>
          </cell>
          <cell r="Y26"/>
          <cell r="Z26"/>
          <cell r="AA26"/>
          <cell r="AB26"/>
          <cell r="AC26"/>
          <cell r="AD26"/>
          <cell r="AE26">
            <v>0</v>
          </cell>
          <cell r="AF26"/>
          <cell r="AG26"/>
          <cell r="AH26"/>
          <cell r="AI26"/>
          <cell r="AJ26"/>
          <cell r="AK26">
            <v>0</v>
          </cell>
          <cell r="AL26"/>
          <cell r="AM26"/>
          <cell r="AN26"/>
          <cell r="AO26"/>
          <cell r="AP26"/>
          <cell r="AQ26"/>
          <cell r="AR26"/>
          <cell r="AS26"/>
        </row>
        <row r="27">
          <cell r="A27" t="str">
            <v>Own Use</v>
          </cell>
          <cell r="E27"/>
          <cell r="N27" t="str">
            <v>Oil Refineries</v>
          </cell>
          <cell r="Y27"/>
          <cell r="Z27"/>
          <cell r="AA27"/>
          <cell r="AB27"/>
          <cell r="AC27"/>
          <cell r="AD27"/>
          <cell r="AE27">
            <v>0</v>
          </cell>
          <cell r="AF27"/>
          <cell r="AG27"/>
          <cell r="AH27"/>
          <cell r="AI27"/>
          <cell r="AJ27"/>
          <cell r="AK27">
            <v>-733832.0625</v>
          </cell>
          <cell r="AL27">
            <v>-730997.0625</v>
          </cell>
          <cell r="AM27">
            <v>-2835</v>
          </cell>
          <cell r="AN27"/>
          <cell r="AO27"/>
          <cell r="AP27"/>
          <cell r="AQ27">
            <v>35803.75</v>
          </cell>
          <cell r="AR27"/>
          <cell r="AS27">
            <v>19175.529296875</v>
          </cell>
        </row>
        <row r="28">
          <cell r="A28"/>
          <cell r="E28"/>
          <cell r="N28" t="str">
            <v>Liquefaction</v>
          </cell>
          <cell r="Y28"/>
          <cell r="Z28"/>
          <cell r="AA28"/>
          <cell r="AB28"/>
          <cell r="AC28"/>
          <cell r="AD28"/>
          <cell r="AE28">
            <v>0</v>
          </cell>
          <cell r="AF28"/>
          <cell r="AG28"/>
          <cell r="AH28"/>
          <cell r="AI28"/>
          <cell r="AJ28">
            <v>-88318.546875</v>
          </cell>
          <cell r="AK28">
            <v>298858.59375</v>
          </cell>
          <cell r="AL28"/>
          <cell r="AM28"/>
          <cell r="AN28"/>
          <cell r="AO28"/>
          <cell r="AP28">
            <v>298858.59375</v>
          </cell>
          <cell r="AQ28"/>
          <cell r="AR28"/>
          <cell r="AS28"/>
        </row>
        <row r="29">
          <cell r="A29" t="str">
            <v>Distribution Losses</v>
          </cell>
          <cell r="E29"/>
          <cell r="N29" t="str">
            <v>Non-specified (Transformation)</v>
          </cell>
          <cell r="Y29"/>
          <cell r="Z29"/>
          <cell r="AA29"/>
          <cell r="AB29"/>
          <cell r="AC29"/>
          <cell r="AD29"/>
          <cell r="AE29">
            <v>-221560</v>
          </cell>
          <cell r="AF29">
            <v>-221560</v>
          </cell>
          <cell r="AG29"/>
          <cell r="AH29"/>
          <cell r="AI29"/>
          <cell r="AJ29"/>
          <cell r="AK29">
            <v>0</v>
          </cell>
          <cell r="AL29"/>
          <cell r="AM29"/>
          <cell r="AN29"/>
          <cell r="AO29"/>
          <cell r="AP29"/>
          <cell r="AQ29"/>
          <cell r="AR29"/>
          <cell r="AS29"/>
        </row>
        <row r="30">
          <cell r="A30"/>
          <cell r="E30"/>
          <cell r="N30" t="str">
            <v/>
          </cell>
          <cell r="Y30"/>
          <cell r="Z30"/>
          <cell r="AA30"/>
          <cell r="AB30"/>
          <cell r="AC30"/>
          <cell r="AD30"/>
          <cell r="AE30"/>
          <cell r="AF30"/>
          <cell r="AG30"/>
          <cell r="AH30"/>
          <cell r="AI30"/>
          <cell r="AJ30"/>
          <cell r="AK30"/>
          <cell r="AL30"/>
          <cell r="AM30"/>
          <cell r="AN30"/>
          <cell r="AO30"/>
          <cell r="AP30"/>
          <cell r="AQ30"/>
          <cell r="AR30"/>
          <cell r="AS30"/>
        </row>
        <row r="31">
          <cell r="A31" t="str">
            <v>Total Final Consumption</v>
          </cell>
          <cell r="E31">
            <v>155825.98000000001</v>
          </cell>
          <cell r="N31" t="str">
            <v>Energy Sector</v>
          </cell>
          <cell r="Y31">
            <v>0</v>
          </cell>
          <cell r="Z31">
            <v>0</v>
          </cell>
          <cell r="AA31">
            <v>1183.47900390625</v>
          </cell>
          <cell r="AB31">
            <v>0</v>
          </cell>
          <cell r="AC31">
            <v>0</v>
          </cell>
          <cell r="AD31">
            <v>0</v>
          </cell>
          <cell r="AE31">
            <v>0</v>
          </cell>
          <cell r="AF31">
            <v>0</v>
          </cell>
          <cell r="AG31">
            <v>0</v>
          </cell>
          <cell r="AH31">
            <v>0</v>
          </cell>
          <cell r="AI31">
            <v>0</v>
          </cell>
          <cell r="AJ31">
            <v>11436.4375</v>
          </cell>
          <cell r="AK31">
            <v>0</v>
          </cell>
          <cell r="AL31">
            <v>0</v>
          </cell>
          <cell r="AM31">
            <v>0</v>
          </cell>
          <cell r="AN31">
            <v>0</v>
          </cell>
          <cell r="AO31">
            <v>0</v>
          </cell>
          <cell r="AP31">
            <v>0</v>
          </cell>
          <cell r="AQ31">
            <v>0</v>
          </cell>
          <cell r="AR31">
            <v>0</v>
          </cell>
          <cell r="AS31">
            <v>0</v>
          </cell>
        </row>
        <row r="32">
          <cell r="A32"/>
          <cell r="E32"/>
          <cell r="N32" t="str">
            <v>Coal Mines</v>
          </cell>
          <cell r="Y32"/>
          <cell r="Z32"/>
          <cell r="AA32"/>
          <cell r="AB32"/>
          <cell r="AC32"/>
          <cell r="AD32"/>
          <cell r="AE32">
            <v>0</v>
          </cell>
          <cell r="AF32"/>
          <cell r="AG32"/>
          <cell r="AH32"/>
          <cell r="AI32"/>
          <cell r="AJ32"/>
          <cell r="AK32">
            <v>0</v>
          </cell>
          <cell r="AL32"/>
          <cell r="AM32"/>
          <cell r="AN32"/>
          <cell r="AO32"/>
          <cell r="AP32"/>
          <cell r="AQ32"/>
          <cell r="AR32"/>
          <cell r="AS32"/>
        </row>
        <row r="33">
          <cell r="A33" t="str">
            <v>Industry Sector</v>
          </cell>
          <cell r="E33">
            <v>154373.18</v>
          </cell>
          <cell r="N33" t="str">
            <v>Oil and Gas Extraction</v>
          </cell>
          <cell r="Y33"/>
          <cell r="Z33"/>
          <cell r="AA33"/>
          <cell r="AB33"/>
          <cell r="AC33"/>
          <cell r="AD33"/>
          <cell r="AE33">
            <v>0</v>
          </cell>
          <cell r="AF33"/>
          <cell r="AG33"/>
          <cell r="AH33"/>
          <cell r="AI33"/>
          <cell r="AJ33"/>
          <cell r="AK33">
            <v>0</v>
          </cell>
          <cell r="AL33"/>
          <cell r="AM33"/>
          <cell r="AN33"/>
          <cell r="AO33"/>
          <cell r="AP33"/>
          <cell r="AQ33"/>
          <cell r="AR33"/>
          <cell r="AS33"/>
        </row>
        <row r="34">
          <cell r="A34" t="str">
            <v>Iron and Steel</v>
          </cell>
          <cell r="E34">
            <v>62145.38</v>
          </cell>
          <cell r="N34" t="str">
            <v>Patent Fuel Plants</v>
          </cell>
          <cell r="Y34"/>
          <cell r="Z34"/>
          <cell r="AA34"/>
          <cell r="AB34"/>
          <cell r="AC34"/>
          <cell r="AD34"/>
          <cell r="AE34">
            <v>0</v>
          </cell>
          <cell r="AF34"/>
          <cell r="AG34"/>
          <cell r="AH34"/>
          <cell r="AI34"/>
          <cell r="AJ34"/>
          <cell r="AK34">
            <v>0</v>
          </cell>
          <cell r="AL34"/>
          <cell r="AM34"/>
          <cell r="AN34"/>
          <cell r="AO34"/>
          <cell r="AP34"/>
          <cell r="AQ34"/>
          <cell r="AR34"/>
          <cell r="AS34"/>
        </row>
        <row r="35">
          <cell r="A35" t="str">
            <v>Chemical and Petrochemical</v>
          </cell>
          <cell r="E35">
            <v>55242.42</v>
          </cell>
          <cell r="N35" t="str">
            <v>Coke Ovens</v>
          </cell>
          <cell r="Y35"/>
          <cell r="Z35"/>
          <cell r="AA35"/>
          <cell r="AB35"/>
          <cell r="AC35"/>
          <cell r="AD35"/>
          <cell r="AE35">
            <v>0</v>
          </cell>
          <cell r="AF35"/>
          <cell r="AG35"/>
          <cell r="AH35"/>
          <cell r="AI35"/>
          <cell r="AJ35"/>
          <cell r="AK35">
            <v>0</v>
          </cell>
          <cell r="AL35"/>
          <cell r="AM35"/>
          <cell r="AN35"/>
          <cell r="AO35"/>
          <cell r="AP35"/>
          <cell r="AQ35"/>
          <cell r="AR35"/>
          <cell r="AS35"/>
        </row>
        <row r="36">
          <cell r="A36" t="str">
            <v>Memo: Feedst.Use In Petchem.Ind.</v>
          </cell>
          <cell r="E36"/>
          <cell r="N36" t="str">
            <v>Gas Works</v>
          </cell>
          <cell r="Y36"/>
          <cell r="Z36"/>
          <cell r="AA36"/>
          <cell r="AB36"/>
          <cell r="AC36"/>
          <cell r="AD36"/>
          <cell r="AE36">
            <v>0</v>
          </cell>
          <cell r="AF36"/>
          <cell r="AG36"/>
          <cell r="AH36"/>
          <cell r="AI36"/>
          <cell r="AJ36"/>
          <cell r="AK36">
            <v>0</v>
          </cell>
          <cell r="AL36"/>
          <cell r="AM36"/>
          <cell r="AN36"/>
          <cell r="AO36"/>
          <cell r="AP36"/>
          <cell r="AQ36"/>
          <cell r="AR36"/>
          <cell r="AS36"/>
        </row>
        <row r="37">
          <cell r="A37" t="str">
            <v>Non-Ferrous Metals</v>
          </cell>
          <cell r="E37">
            <v>2254.11</v>
          </cell>
          <cell r="N37" t="str">
            <v>BKB</v>
          </cell>
          <cell r="Y37"/>
          <cell r="Z37"/>
          <cell r="AA37"/>
          <cell r="AB37"/>
          <cell r="AC37"/>
          <cell r="AD37"/>
          <cell r="AE37">
            <v>0</v>
          </cell>
          <cell r="AF37"/>
          <cell r="AG37"/>
          <cell r="AH37"/>
          <cell r="AI37"/>
          <cell r="AJ37"/>
          <cell r="AK37">
            <v>0</v>
          </cell>
          <cell r="AL37"/>
          <cell r="AM37"/>
          <cell r="AN37"/>
          <cell r="AO37"/>
          <cell r="AP37"/>
          <cell r="AQ37"/>
          <cell r="AR37"/>
          <cell r="AS37"/>
        </row>
        <row r="38">
          <cell r="A38" t="str">
            <v>Non-Metallic Minerals</v>
          </cell>
          <cell r="E38">
            <v>15498.37</v>
          </cell>
          <cell r="N38" t="str">
            <v>Oil Refineries</v>
          </cell>
          <cell r="Y38"/>
          <cell r="Z38"/>
          <cell r="AA38"/>
          <cell r="AB38"/>
          <cell r="AC38"/>
          <cell r="AD38"/>
          <cell r="AE38">
            <v>0</v>
          </cell>
          <cell r="AF38"/>
          <cell r="AG38"/>
          <cell r="AH38"/>
          <cell r="AI38"/>
          <cell r="AJ38"/>
          <cell r="AK38">
            <v>0</v>
          </cell>
          <cell r="AL38"/>
          <cell r="AM38"/>
          <cell r="AN38"/>
          <cell r="AO38"/>
          <cell r="AP38"/>
          <cell r="AQ38"/>
          <cell r="AR38"/>
          <cell r="AS38"/>
        </row>
        <row r="39">
          <cell r="A39" t="str">
            <v>Transport Equipment</v>
          </cell>
          <cell r="E39">
            <v>669.14</v>
          </cell>
          <cell r="N39" t="str">
            <v>Ownuse in Elec., CHP and Heat plant</v>
          </cell>
          <cell r="Y39"/>
          <cell r="Z39"/>
          <cell r="AA39">
            <v>1183.47900390625</v>
          </cell>
          <cell r="AB39"/>
          <cell r="AC39"/>
          <cell r="AD39"/>
          <cell r="AE39">
            <v>0</v>
          </cell>
          <cell r="AF39"/>
          <cell r="AG39"/>
          <cell r="AH39"/>
          <cell r="AI39"/>
          <cell r="AJ39">
            <v>11436.4375</v>
          </cell>
          <cell r="AK39">
            <v>0</v>
          </cell>
          <cell r="AL39"/>
          <cell r="AM39"/>
          <cell r="AN39"/>
          <cell r="AO39"/>
          <cell r="AP39"/>
          <cell r="AQ39"/>
          <cell r="AR39"/>
          <cell r="AS39"/>
        </row>
        <row r="40">
          <cell r="A40" t="str">
            <v>Machinery</v>
          </cell>
          <cell r="E40">
            <v>1412.81</v>
          </cell>
          <cell r="N40" t="str">
            <v>Used for Pump Storage</v>
          </cell>
          <cell r="Y40"/>
          <cell r="Z40"/>
          <cell r="AA40"/>
          <cell r="AB40"/>
          <cell r="AC40"/>
          <cell r="AD40"/>
          <cell r="AE40">
            <v>0</v>
          </cell>
          <cell r="AF40"/>
          <cell r="AG40"/>
          <cell r="AH40"/>
          <cell r="AI40"/>
          <cell r="AJ40"/>
          <cell r="AK40">
            <v>0</v>
          </cell>
          <cell r="AL40"/>
          <cell r="AM40"/>
          <cell r="AN40"/>
          <cell r="AO40"/>
          <cell r="AP40"/>
          <cell r="AQ40"/>
          <cell r="AR40"/>
          <cell r="AS40"/>
        </row>
        <row r="41">
          <cell r="A41" t="str">
            <v>Mining and Quarrying</v>
          </cell>
          <cell r="E41">
            <v>1001.46</v>
          </cell>
          <cell r="N41" t="str">
            <v>Nuclear Industry</v>
          </cell>
          <cell r="Y41"/>
          <cell r="Z41"/>
          <cell r="AA41"/>
          <cell r="AB41"/>
          <cell r="AC41"/>
          <cell r="AD41"/>
          <cell r="AE41">
            <v>0</v>
          </cell>
          <cell r="AF41"/>
          <cell r="AG41"/>
          <cell r="AH41"/>
          <cell r="AI41"/>
          <cell r="AJ41"/>
          <cell r="AK41">
            <v>0</v>
          </cell>
          <cell r="AL41"/>
          <cell r="AM41"/>
          <cell r="AN41"/>
          <cell r="AO41"/>
          <cell r="AP41"/>
          <cell r="AQ41"/>
          <cell r="AR41"/>
          <cell r="AS41"/>
        </row>
        <row r="42">
          <cell r="A42" t="str">
            <v>Food and Tobacco</v>
          </cell>
          <cell r="E42">
            <v>7365.83</v>
          </cell>
          <cell r="N42" t="str">
            <v>Non-specified (Energy)</v>
          </cell>
          <cell r="Y42"/>
          <cell r="Z42"/>
          <cell r="AA42"/>
          <cell r="AB42"/>
          <cell r="AC42"/>
          <cell r="AD42"/>
          <cell r="AE42">
            <v>0</v>
          </cell>
          <cell r="AF42"/>
          <cell r="AG42"/>
          <cell r="AH42"/>
          <cell r="AI42"/>
          <cell r="AJ42"/>
          <cell r="AK42">
            <v>0</v>
          </cell>
          <cell r="AL42"/>
          <cell r="AM42"/>
          <cell r="AN42"/>
          <cell r="AO42"/>
          <cell r="AP42"/>
          <cell r="AQ42"/>
          <cell r="AR42"/>
          <cell r="AS42"/>
        </row>
        <row r="43">
          <cell r="A43" t="str">
            <v>Paper Pulp and Print</v>
          </cell>
          <cell r="E43">
            <v>4165.33</v>
          </cell>
          <cell r="N43" t="str">
            <v/>
          </cell>
          <cell r="Y43"/>
          <cell r="Z43"/>
          <cell r="AA43"/>
          <cell r="AB43"/>
          <cell r="AC43"/>
          <cell r="AD43"/>
          <cell r="AE43">
            <v>0</v>
          </cell>
          <cell r="AF43"/>
          <cell r="AG43"/>
          <cell r="AH43"/>
          <cell r="AI43"/>
          <cell r="AJ43"/>
          <cell r="AK43"/>
          <cell r="AL43"/>
          <cell r="AM43"/>
          <cell r="AN43"/>
          <cell r="AO43"/>
          <cell r="AP43"/>
          <cell r="AQ43"/>
          <cell r="AR43"/>
          <cell r="AS43"/>
        </row>
        <row r="44">
          <cell r="A44" t="str">
            <v>Wood and Wood Products</v>
          </cell>
          <cell r="E44"/>
          <cell r="N44" t="str">
            <v>Distribution Losses</v>
          </cell>
          <cell r="Y44"/>
          <cell r="Z44"/>
          <cell r="AA44"/>
          <cell r="AB44"/>
          <cell r="AC44"/>
          <cell r="AD44"/>
          <cell r="AE44">
            <v>0</v>
          </cell>
          <cell r="AF44"/>
          <cell r="AG44"/>
          <cell r="AH44"/>
          <cell r="AI44"/>
          <cell r="AJ44"/>
          <cell r="AK44">
            <v>0</v>
          </cell>
          <cell r="AL44"/>
          <cell r="AM44"/>
          <cell r="AN44"/>
          <cell r="AO44"/>
          <cell r="AP44"/>
          <cell r="AQ44"/>
          <cell r="AR44"/>
          <cell r="AS44"/>
        </row>
        <row r="45">
          <cell r="A45" t="str">
            <v>Construction</v>
          </cell>
          <cell r="E45"/>
          <cell r="N45" t="str">
            <v/>
          </cell>
          <cell r="Y45"/>
          <cell r="Z45"/>
          <cell r="AA45"/>
          <cell r="AB45"/>
          <cell r="AC45"/>
          <cell r="AD45"/>
          <cell r="AE45"/>
          <cell r="AF45"/>
          <cell r="AG45"/>
          <cell r="AH45"/>
          <cell r="AI45"/>
          <cell r="AJ45"/>
          <cell r="AK45"/>
          <cell r="AL45"/>
          <cell r="AM45"/>
          <cell r="AN45"/>
          <cell r="AO45"/>
          <cell r="AP45"/>
          <cell r="AQ45"/>
          <cell r="AR45"/>
          <cell r="AS45"/>
        </row>
        <row r="46">
          <cell r="A46" t="str">
            <v>Textile and Leather</v>
          </cell>
          <cell r="E46">
            <v>14.42</v>
          </cell>
          <cell r="N46" t="str">
            <v>Final Consumption</v>
          </cell>
          <cell r="Y46">
            <v>0</v>
          </cell>
          <cell r="Z46">
            <v>0</v>
          </cell>
          <cell r="AA46">
            <v>23914.453944206238</v>
          </cell>
          <cell r="AB46">
            <v>23257.001953125</v>
          </cell>
          <cell r="AC46">
            <v>22961</v>
          </cell>
          <cell r="AD46">
            <v>0</v>
          </cell>
          <cell r="AE46">
            <v>425901.1015625</v>
          </cell>
          <cell r="AF46">
            <v>425901.1015625</v>
          </cell>
          <cell r="AG46">
            <v>0</v>
          </cell>
          <cell r="AH46">
            <v>0</v>
          </cell>
          <cell r="AI46">
            <v>0</v>
          </cell>
          <cell r="AJ46">
            <v>85693.523286819458</v>
          </cell>
          <cell r="AK46">
            <v>0</v>
          </cell>
          <cell r="AL46">
            <v>0</v>
          </cell>
          <cell r="AM46">
            <v>0</v>
          </cell>
          <cell r="AN46">
            <v>0</v>
          </cell>
          <cell r="AO46">
            <v>0</v>
          </cell>
          <cell r="AP46">
            <v>0</v>
          </cell>
          <cell r="AQ46">
            <v>0</v>
          </cell>
          <cell r="AR46">
            <v>0</v>
          </cell>
          <cell r="AS46">
            <v>15120.919884443283</v>
          </cell>
        </row>
        <row r="47">
          <cell r="A47" t="str">
            <v>Non-specified (Industry)</v>
          </cell>
          <cell r="E47">
            <v>4603.8999999999996</v>
          </cell>
          <cell r="N47" t="str">
            <v/>
          </cell>
          <cell r="Y47"/>
          <cell r="Z47"/>
          <cell r="AA47"/>
          <cell r="AB47"/>
          <cell r="AC47"/>
          <cell r="AD47"/>
          <cell r="AE47"/>
          <cell r="AF47"/>
          <cell r="AG47"/>
          <cell r="AH47"/>
          <cell r="AI47"/>
          <cell r="AJ47"/>
          <cell r="AK47"/>
          <cell r="AL47"/>
          <cell r="AM47"/>
          <cell r="AN47"/>
          <cell r="AO47"/>
          <cell r="AP47"/>
          <cell r="AQ47"/>
          <cell r="AR47"/>
          <cell r="AS47"/>
        </row>
        <row r="48">
          <cell r="A48"/>
          <cell r="E48"/>
          <cell r="N48" t="str">
            <v>Industry Sector</v>
          </cell>
          <cell r="Y48">
            <v>0</v>
          </cell>
          <cell r="Z48">
            <v>0</v>
          </cell>
          <cell r="AA48">
            <v>23914.453944206238</v>
          </cell>
          <cell r="AB48">
            <v>23257.001953125</v>
          </cell>
          <cell r="AC48">
            <v>22961</v>
          </cell>
          <cell r="AD48">
            <v>0</v>
          </cell>
          <cell r="AE48">
            <v>396975.34375</v>
          </cell>
          <cell r="AF48">
            <v>396975.34375</v>
          </cell>
          <cell r="AG48">
            <v>0</v>
          </cell>
          <cell r="AH48">
            <v>0</v>
          </cell>
          <cell r="AI48">
            <v>0</v>
          </cell>
          <cell r="AJ48">
            <v>84240.725633621216</v>
          </cell>
          <cell r="AK48">
            <v>0</v>
          </cell>
          <cell r="AL48">
            <v>0</v>
          </cell>
          <cell r="AM48">
            <v>0</v>
          </cell>
          <cell r="AN48">
            <v>0</v>
          </cell>
          <cell r="AO48">
            <v>0</v>
          </cell>
          <cell r="AP48">
            <v>0</v>
          </cell>
          <cell r="AQ48">
            <v>0</v>
          </cell>
          <cell r="AR48">
            <v>0</v>
          </cell>
          <cell r="AS48">
            <v>789.28086853027344</v>
          </cell>
        </row>
        <row r="49">
          <cell r="A49" t="str">
            <v>Transport Sector</v>
          </cell>
          <cell r="E49" t="str">
            <v>-</v>
          </cell>
          <cell r="N49" t="str">
            <v>Iron and Steel</v>
          </cell>
          <cell r="Y49"/>
          <cell r="Z49"/>
          <cell r="AA49">
            <v>6049.716796875</v>
          </cell>
          <cell r="AB49">
            <v>23257.001953125</v>
          </cell>
          <cell r="AC49">
            <v>22961</v>
          </cell>
          <cell r="AD49"/>
          <cell r="AE49">
            <v>0</v>
          </cell>
          <cell r="AF49"/>
          <cell r="AG49"/>
          <cell r="AH49"/>
          <cell r="AI49"/>
          <cell r="AJ49">
            <v>9877.6650390625</v>
          </cell>
          <cell r="AK49">
            <v>0</v>
          </cell>
          <cell r="AL49"/>
          <cell r="AM49"/>
          <cell r="AN49"/>
          <cell r="AO49"/>
          <cell r="AP49"/>
          <cell r="AQ49"/>
          <cell r="AR49"/>
          <cell r="AS49"/>
        </row>
        <row r="50">
          <cell r="A50" t="str">
            <v>International Civil Aviation</v>
          </cell>
          <cell r="E50"/>
          <cell r="N50" t="str">
            <v>Chemical and Petrochemical</v>
          </cell>
          <cell r="Y50"/>
          <cell r="Z50"/>
          <cell r="AA50">
            <v>5246.56103515625</v>
          </cell>
          <cell r="AB50"/>
          <cell r="AC50"/>
          <cell r="AD50"/>
          <cell r="AE50">
            <v>0</v>
          </cell>
          <cell r="AF50"/>
          <cell r="AG50"/>
          <cell r="AH50"/>
          <cell r="AI50"/>
          <cell r="AJ50">
            <v>49995.85546875</v>
          </cell>
          <cell r="AK50">
            <v>0</v>
          </cell>
          <cell r="AL50"/>
          <cell r="AM50"/>
          <cell r="AN50"/>
          <cell r="AO50"/>
          <cell r="AP50"/>
          <cell r="AQ50"/>
          <cell r="AR50"/>
          <cell r="AS50"/>
        </row>
        <row r="51">
          <cell r="A51" t="str">
            <v>Domestic Air Transport</v>
          </cell>
          <cell r="E51"/>
          <cell r="N51" t="str">
            <v>Non-Ferrous Metals</v>
          </cell>
          <cell r="Y51"/>
          <cell r="Z51"/>
          <cell r="AA51">
            <v>1747.2359619140625</v>
          </cell>
          <cell r="AB51"/>
          <cell r="AC51"/>
          <cell r="AD51"/>
          <cell r="AE51">
            <v>0</v>
          </cell>
          <cell r="AF51"/>
          <cell r="AG51"/>
          <cell r="AH51"/>
          <cell r="AI51"/>
          <cell r="AJ51">
            <v>506.87100219726563</v>
          </cell>
          <cell r="AK51">
            <v>0</v>
          </cell>
          <cell r="AL51"/>
          <cell r="AM51"/>
          <cell r="AN51"/>
          <cell r="AO51"/>
          <cell r="AP51"/>
          <cell r="AQ51"/>
          <cell r="AR51"/>
          <cell r="AS51"/>
        </row>
        <row r="52">
          <cell r="A52" t="str">
            <v>Road</v>
          </cell>
          <cell r="E52"/>
          <cell r="N52" t="str">
            <v>Non-Metallic Minerals</v>
          </cell>
          <cell r="Y52"/>
          <cell r="Z52"/>
          <cell r="AA52">
            <v>375.59799194335938</v>
          </cell>
          <cell r="AB52"/>
          <cell r="AC52"/>
          <cell r="AD52"/>
          <cell r="AE52">
            <v>0</v>
          </cell>
          <cell r="AF52"/>
          <cell r="AG52"/>
          <cell r="AH52"/>
          <cell r="AI52"/>
          <cell r="AJ52">
            <v>15122.775390625</v>
          </cell>
          <cell r="AK52">
            <v>0</v>
          </cell>
          <cell r="AL52"/>
          <cell r="AM52"/>
          <cell r="AN52"/>
          <cell r="AO52"/>
          <cell r="AP52"/>
          <cell r="AQ52"/>
          <cell r="AR52"/>
          <cell r="AS52"/>
        </row>
        <row r="53">
          <cell r="A53" t="str">
            <v>Rail</v>
          </cell>
          <cell r="E53"/>
          <cell r="N53" t="str">
            <v>Transport Equipment</v>
          </cell>
          <cell r="Y53"/>
          <cell r="Z53"/>
          <cell r="AA53">
            <v>14.824000358581543</v>
          </cell>
          <cell r="AB53"/>
          <cell r="AC53"/>
          <cell r="AD53"/>
          <cell r="AE53">
            <v>0</v>
          </cell>
          <cell r="AF53"/>
          <cell r="AG53"/>
          <cell r="AH53"/>
          <cell r="AI53"/>
          <cell r="AJ53">
            <v>654.31597900390625</v>
          </cell>
          <cell r="AK53">
            <v>0</v>
          </cell>
          <cell r="AL53"/>
          <cell r="AM53"/>
          <cell r="AN53"/>
          <cell r="AO53"/>
          <cell r="AP53"/>
          <cell r="AQ53"/>
          <cell r="AR53"/>
          <cell r="AS53"/>
        </row>
        <row r="54">
          <cell r="A54" t="str">
            <v>Pipeline Transport</v>
          </cell>
          <cell r="E54"/>
          <cell r="N54" t="str">
            <v>Machinery</v>
          </cell>
          <cell r="Y54"/>
          <cell r="Z54"/>
          <cell r="AA54">
            <v>358.18099975585938</v>
          </cell>
          <cell r="AB54"/>
          <cell r="AC54"/>
          <cell r="AD54"/>
          <cell r="AE54">
            <v>0</v>
          </cell>
          <cell r="AF54"/>
          <cell r="AG54"/>
          <cell r="AH54"/>
          <cell r="AI54"/>
          <cell r="AJ54">
            <v>1054.633056640625</v>
          </cell>
          <cell r="AK54">
            <v>0</v>
          </cell>
          <cell r="AL54"/>
          <cell r="AM54"/>
          <cell r="AN54"/>
          <cell r="AO54"/>
          <cell r="AP54"/>
          <cell r="AQ54"/>
          <cell r="AR54"/>
          <cell r="AS54">
            <v>555.81072998046875</v>
          </cell>
        </row>
        <row r="55">
          <cell r="A55" t="str">
            <v>Internal Navigation</v>
          </cell>
          <cell r="E55"/>
          <cell r="N55" t="str">
            <v>Mining and Quarrying</v>
          </cell>
          <cell r="Y55"/>
          <cell r="Z55"/>
          <cell r="AA55">
            <v>1001.4639892578125</v>
          </cell>
          <cell r="AB55"/>
          <cell r="AC55"/>
          <cell r="AD55"/>
          <cell r="AE55">
            <v>0</v>
          </cell>
          <cell r="AF55"/>
          <cell r="AG55"/>
          <cell r="AH55"/>
          <cell r="AI55"/>
          <cell r="AJ55"/>
          <cell r="AK55">
            <v>0</v>
          </cell>
          <cell r="AL55"/>
          <cell r="AM55"/>
          <cell r="AN55"/>
          <cell r="AO55"/>
          <cell r="AP55"/>
          <cell r="AQ55"/>
          <cell r="AR55"/>
          <cell r="AS55">
            <v>135.85734558105469</v>
          </cell>
        </row>
        <row r="56">
          <cell r="A56" t="str">
            <v>Non-specified (Transport)</v>
          </cell>
          <cell r="E56"/>
          <cell r="N56" t="str">
            <v>Food and Tobacco</v>
          </cell>
          <cell r="Y56"/>
          <cell r="Z56"/>
          <cell r="AA56">
            <v>3541.3291015625</v>
          </cell>
          <cell r="AB56"/>
          <cell r="AC56"/>
          <cell r="AD56"/>
          <cell r="AE56">
            <v>0</v>
          </cell>
          <cell r="AF56"/>
          <cell r="AG56"/>
          <cell r="AH56"/>
          <cell r="AI56"/>
          <cell r="AJ56">
            <v>3824.499755859375</v>
          </cell>
          <cell r="AK56">
            <v>0</v>
          </cell>
          <cell r="AL56"/>
          <cell r="AM56"/>
          <cell r="AN56"/>
          <cell r="AO56"/>
          <cell r="AP56"/>
          <cell r="AQ56"/>
          <cell r="AR56"/>
          <cell r="AS56"/>
        </row>
        <row r="57">
          <cell r="A57"/>
          <cell r="E57"/>
          <cell r="N57" t="str">
            <v>Paper Pulp and Print</v>
          </cell>
          <cell r="Y57"/>
          <cell r="Z57"/>
          <cell r="AA57">
            <v>3541.3291015625</v>
          </cell>
          <cell r="AB57"/>
          <cell r="AC57"/>
          <cell r="AD57"/>
          <cell r="AE57">
            <v>0</v>
          </cell>
          <cell r="AF57"/>
          <cell r="AG57"/>
          <cell r="AH57"/>
          <cell r="AI57"/>
          <cell r="AJ57">
            <v>624.001708984375</v>
          </cell>
          <cell r="AK57">
            <v>0</v>
          </cell>
          <cell r="AL57"/>
          <cell r="AM57"/>
          <cell r="AN57"/>
          <cell r="AO57"/>
          <cell r="AP57"/>
          <cell r="AQ57"/>
          <cell r="AR57"/>
          <cell r="AS57"/>
        </row>
        <row r="58">
          <cell r="A58" t="str">
            <v>Other Sectors</v>
          </cell>
          <cell r="E58">
            <v>1452.8</v>
          </cell>
          <cell r="N58" t="str">
            <v>Wood and Wood Products</v>
          </cell>
          <cell r="Y58"/>
          <cell r="Z58"/>
          <cell r="AA58"/>
          <cell r="AB58"/>
          <cell r="AC58"/>
          <cell r="AD58"/>
          <cell r="AE58">
            <v>0</v>
          </cell>
          <cell r="AF58"/>
          <cell r="AG58"/>
          <cell r="AH58"/>
          <cell r="AI58"/>
          <cell r="AJ58"/>
          <cell r="AK58">
            <v>0</v>
          </cell>
          <cell r="AL58"/>
          <cell r="AM58"/>
          <cell r="AN58"/>
          <cell r="AO58"/>
          <cell r="AP58"/>
          <cell r="AQ58"/>
          <cell r="AR58"/>
          <cell r="AS58"/>
        </row>
        <row r="59">
          <cell r="A59" t="str">
            <v>Agriculture</v>
          </cell>
          <cell r="E59"/>
          <cell r="N59" t="str">
            <v>Construction</v>
          </cell>
          <cell r="Y59"/>
          <cell r="Z59"/>
          <cell r="AA59"/>
          <cell r="AB59"/>
          <cell r="AC59"/>
          <cell r="AD59"/>
          <cell r="AE59">
            <v>0</v>
          </cell>
          <cell r="AF59"/>
          <cell r="AG59"/>
          <cell r="AH59"/>
          <cell r="AI59"/>
          <cell r="AJ59"/>
          <cell r="AK59">
            <v>0</v>
          </cell>
          <cell r="AL59"/>
          <cell r="AM59"/>
          <cell r="AN59"/>
          <cell r="AO59"/>
          <cell r="AP59"/>
          <cell r="AQ59"/>
          <cell r="AR59"/>
          <cell r="AS59"/>
        </row>
        <row r="60">
          <cell r="A60" t="str">
            <v>Commerce and Public Services</v>
          </cell>
          <cell r="E60">
            <v>1232.3</v>
          </cell>
          <cell r="N60" t="str">
            <v>Textile and Leather</v>
          </cell>
          <cell r="Y60"/>
          <cell r="Z60"/>
          <cell r="AA60"/>
          <cell r="AB60"/>
          <cell r="AC60"/>
          <cell r="AD60"/>
          <cell r="AE60">
            <v>0</v>
          </cell>
          <cell r="AF60"/>
          <cell r="AG60"/>
          <cell r="AH60"/>
          <cell r="AI60"/>
          <cell r="AJ60">
            <v>14.420000076293945</v>
          </cell>
          <cell r="AK60">
            <v>0</v>
          </cell>
          <cell r="AL60"/>
          <cell r="AM60"/>
          <cell r="AN60"/>
          <cell r="AO60"/>
          <cell r="AP60"/>
          <cell r="AQ60"/>
          <cell r="AR60"/>
          <cell r="AS60">
            <v>97.61279296875</v>
          </cell>
        </row>
        <row r="61">
          <cell r="A61" t="str">
            <v>Residential</v>
          </cell>
          <cell r="E61">
            <v>220.5</v>
          </cell>
          <cell r="N61" t="str">
            <v>Non-specified (Industry)</v>
          </cell>
          <cell r="Y61"/>
          <cell r="Z61"/>
          <cell r="AA61">
            <v>2038.2149658203125</v>
          </cell>
          <cell r="AB61"/>
          <cell r="AC61"/>
          <cell r="AD61"/>
          <cell r="AE61">
            <v>396975.34375</v>
          </cell>
          <cell r="AF61">
            <v>396975.34375</v>
          </cell>
          <cell r="AG61"/>
          <cell r="AH61"/>
          <cell r="AI61"/>
          <cell r="AJ61">
            <v>2565.688232421875</v>
          </cell>
          <cell r="AK61">
            <v>0</v>
          </cell>
          <cell r="AL61"/>
          <cell r="AM61"/>
          <cell r="AN61"/>
          <cell r="AO61"/>
          <cell r="AP61"/>
          <cell r="AQ61"/>
          <cell r="AR61"/>
          <cell r="AS61"/>
        </row>
        <row r="62">
          <cell r="A62" t="str">
            <v>Non-specified (Other)</v>
          </cell>
          <cell r="E62"/>
          <cell r="N62" t="str">
            <v/>
          </cell>
          <cell r="Y62"/>
          <cell r="Z62"/>
          <cell r="AA62"/>
          <cell r="AB62"/>
          <cell r="AC62"/>
          <cell r="AD62"/>
          <cell r="AE62">
            <v>0</v>
          </cell>
          <cell r="AF62"/>
          <cell r="AG62"/>
          <cell r="AH62"/>
          <cell r="AI62"/>
          <cell r="AJ62"/>
          <cell r="AK62"/>
          <cell r="AL62"/>
          <cell r="AM62"/>
          <cell r="AN62"/>
          <cell r="AO62"/>
          <cell r="AP62"/>
          <cell r="AQ62"/>
          <cell r="AR62"/>
          <cell r="AS62"/>
        </row>
        <row r="63">
          <cell r="A63"/>
          <cell r="E63"/>
          <cell r="N63" t="str">
            <v>Transport Sector</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125.96045684814453</v>
          </cell>
        </row>
        <row r="64">
          <cell r="A64" t="str">
            <v>Non-Energy Use</v>
          </cell>
          <cell r="E64" t="str">
            <v>-</v>
          </cell>
          <cell r="N64" t="str">
            <v>International Civil Aviation</v>
          </cell>
          <cell r="Y64"/>
          <cell r="Z64"/>
          <cell r="AA64"/>
          <cell r="AB64"/>
          <cell r="AC64"/>
          <cell r="AD64"/>
          <cell r="AE64">
            <v>0</v>
          </cell>
          <cell r="AF64"/>
          <cell r="AG64"/>
          <cell r="AH64"/>
          <cell r="AI64"/>
          <cell r="AJ64"/>
          <cell r="AK64">
            <v>0</v>
          </cell>
          <cell r="AL64"/>
          <cell r="AM64"/>
          <cell r="AN64"/>
          <cell r="AO64"/>
          <cell r="AP64"/>
          <cell r="AQ64"/>
          <cell r="AR64"/>
          <cell r="AS64"/>
        </row>
        <row r="65">
          <cell r="A65" t="str">
            <v>Memo:Non-Energy Use Ind/Transf/Ener</v>
          </cell>
          <cell r="E65"/>
          <cell r="N65" t="str">
            <v>Domestic Air Transport</v>
          </cell>
          <cell r="Y65"/>
          <cell r="Z65"/>
          <cell r="AA65"/>
          <cell r="AB65"/>
          <cell r="AC65"/>
          <cell r="AD65"/>
          <cell r="AE65">
            <v>0</v>
          </cell>
          <cell r="AF65"/>
          <cell r="AG65"/>
          <cell r="AH65"/>
          <cell r="AI65"/>
          <cell r="AJ65"/>
          <cell r="AK65">
            <v>0</v>
          </cell>
          <cell r="AL65"/>
          <cell r="AM65"/>
          <cell r="AN65"/>
          <cell r="AO65"/>
          <cell r="AP65"/>
          <cell r="AQ65"/>
          <cell r="AR65"/>
          <cell r="AS65"/>
        </row>
        <row r="66">
          <cell r="A66" t="str">
            <v>Memo:Non-Energy Use in Transport</v>
          </cell>
          <cell r="E66"/>
          <cell r="N66" t="str">
            <v>Road</v>
          </cell>
          <cell r="Y66"/>
          <cell r="Z66"/>
          <cell r="AA66"/>
          <cell r="AB66"/>
          <cell r="AC66"/>
          <cell r="AD66"/>
          <cell r="AE66">
            <v>0</v>
          </cell>
          <cell r="AF66"/>
          <cell r="AG66"/>
          <cell r="AH66"/>
          <cell r="AI66"/>
          <cell r="AJ66"/>
          <cell r="AK66">
            <v>0</v>
          </cell>
          <cell r="AL66"/>
          <cell r="AM66"/>
          <cell r="AN66"/>
          <cell r="AO66"/>
          <cell r="AP66"/>
          <cell r="AQ66"/>
          <cell r="AR66"/>
          <cell r="AS66">
            <v>117.25839233398438</v>
          </cell>
        </row>
        <row r="67">
          <cell r="A67" t="str">
            <v>Memo:Non-Energy Use in Oth. Sect</v>
          </cell>
          <cell r="E67"/>
          <cell r="N67" t="str">
            <v>Rail</v>
          </cell>
          <cell r="Y67"/>
          <cell r="Z67"/>
          <cell r="AA67"/>
          <cell r="AB67"/>
          <cell r="AC67"/>
          <cell r="AD67"/>
          <cell r="AE67">
            <v>0</v>
          </cell>
          <cell r="AF67"/>
          <cell r="AG67"/>
          <cell r="AH67"/>
          <cell r="AI67"/>
          <cell r="AJ67"/>
          <cell r="AK67">
            <v>0</v>
          </cell>
          <cell r="AL67"/>
          <cell r="AM67"/>
          <cell r="AN67"/>
          <cell r="AO67"/>
          <cell r="AP67"/>
          <cell r="AQ67"/>
          <cell r="AR67"/>
          <cell r="AS67"/>
        </row>
        <row r="68">
          <cell r="A68"/>
          <cell r="E68"/>
          <cell r="N68" t="str">
            <v>Pipeline Transport</v>
          </cell>
          <cell r="Y68"/>
          <cell r="Z68"/>
          <cell r="AA68"/>
          <cell r="AB68"/>
          <cell r="AC68"/>
          <cell r="AD68"/>
          <cell r="AE68">
            <v>0</v>
          </cell>
          <cell r="AF68"/>
          <cell r="AG68"/>
          <cell r="AH68"/>
          <cell r="AI68"/>
          <cell r="AJ68"/>
          <cell r="AK68">
            <v>0</v>
          </cell>
          <cell r="AL68"/>
          <cell r="AM68"/>
          <cell r="AN68"/>
          <cell r="AO68"/>
          <cell r="AP68"/>
          <cell r="AQ68"/>
          <cell r="AR68"/>
          <cell r="AS68">
            <v>8.7020645141601563</v>
          </cell>
        </row>
        <row r="69">
          <cell r="A69"/>
          <cell r="E69"/>
          <cell r="N69" t="str">
            <v>Internal Navigation</v>
          </cell>
          <cell r="Y69"/>
          <cell r="Z69"/>
          <cell r="AA69"/>
          <cell r="AB69"/>
          <cell r="AC69"/>
          <cell r="AD69"/>
          <cell r="AE69">
            <v>0</v>
          </cell>
          <cell r="AF69"/>
          <cell r="AG69"/>
          <cell r="AH69"/>
          <cell r="AI69"/>
          <cell r="AJ69"/>
          <cell r="AK69">
            <v>0</v>
          </cell>
          <cell r="AL69"/>
          <cell r="AM69"/>
          <cell r="AN69"/>
          <cell r="AO69"/>
          <cell r="AP69"/>
          <cell r="AQ69"/>
          <cell r="AR69"/>
          <cell r="AS69"/>
        </row>
        <row r="70">
          <cell r="A70" t="str">
            <v>Elect.Output in GWh</v>
          </cell>
          <cell r="E70" t="str">
            <v>-</v>
          </cell>
          <cell r="N70" t="str">
            <v>Non-specified (Transport)</v>
          </cell>
          <cell r="Y70"/>
          <cell r="Z70"/>
          <cell r="AA70"/>
          <cell r="AB70"/>
          <cell r="AC70"/>
          <cell r="AD70"/>
          <cell r="AE70">
            <v>0</v>
          </cell>
          <cell r="AF70"/>
          <cell r="AG70"/>
          <cell r="AH70"/>
          <cell r="AI70"/>
          <cell r="AJ70"/>
          <cell r="AK70">
            <v>0</v>
          </cell>
          <cell r="AL70"/>
          <cell r="AM70"/>
          <cell r="AN70"/>
          <cell r="AO70"/>
          <cell r="AP70"/>
          <cell r="AQ70"/>
          <cell r="AR70"/>
          <cell r="AS70"/>
        </row>
        <row r="71">
          <cell r="A71" t="str">
            <v>Elect.Output-public elec. plant</v>
          </cell>
          <cell r="E71"/>
          <cell r="N71" t="str">
            <v/>
          </cell>
          <cell r="Y71"/>
          <cell r="Z71"/>
          <cell r="AA71"/>
          <cell r="AB71"/>
          <cell r="AC71"/>
          <cell r="AD71"/>
          <cell r="AE71"/>
          <cell r="AF71"/>
          <cell r="AG71"/>
          <cell r="AH71"/>
          <cell r="AI71"/>
          <cell r="AJ71"/>
          <cell r="AK71"/>
          <cell r="AL71"/>
          <cell r="AM71"/>
          <cell r="AN71"/>
          <cell r="AO71"/>
          <cell r="AP71"/>
          <cell r="AQ71"/>
          <cell r="AR71"/>
          <cell r="AS71"/>
        </row>
        <row r="72">
          <cell r="A72" t="str">
            <v>Elect.Output-autoprod. elec. plant</v>
          </cell>
          <cell r="E72"/>
          <cell r="N72" t="str">
            <v>Other Sectors</v>
          </cell>
          <cell r="Y72">
            <v>0</v>
          </cell>
          <cell r="Z72">
            <v>0</v>
          </cell>
          <cell r="AA72">
            <v>0</v>
          </cell>
          <cell r="AB72">
            <v>0</v>
          </cell>
          <cell r="AC72">
            <v>0</v>
          </cell>
          <cell r="AD72">
            <v>0</v>
          </cell>
          <cell r="AE72">
            <v>28925.7578125</v>
          </cell>
          <cell r="AF72">
            <v>28925.7578125</v>
          </cell>
          <cell r="AG72">
            <v>0</v>
          </cell>
          <cell r="AH72">
            <v>0</v>
          </cell>
          <cell r="AI72">
            <v>0</v>
          </cell>
          <cell r="AJ72">
            <v>1452.7976531982422</v>
          </cell>
          <cell r="AK72">
            <v>0</v>
          </cell>
          <cell r="AL72">
            <v>0</v>
          </cell>
          <cell r="AM72">
            <v>0</v>
          </cell>
          <cell r="AN72">
            <v>0</v>
          </cell>
          <cell r="AO72">
            <v>0</v>
          </cell>
          <cell r="AP72">
            <v>0</v>
          </cell>
          <cell r="AQ72">
            <v>0</v>
          </cell>
          <cell r="AR72">
            <v>0</v>
          </cell>
          <cell r="AS72">
            <v>14205.678559064865</v>
          </cell>
        </row>
        <row r="73">
          <cell r="A73" t="str">
            <v>Elect.Output-public CHP plant</v>
          </cell>
          <cell r="E73"/>
          <cell r="N73" t="str">
            <v>Agriculture</v>
          </cell>
          <cell r="Y73"/>
          <cell r="Z73"/>
          <cell r="AA73"/>
          <cell r="AB73"/>
          <cell r="AC73"/>
          <cell r="AD73"/>
          <cell r="AE73">
            <v>0</v>
          </cell>
          <cell r="AF73"/>
          <cell r="AG73"/>
          <cell r="AH73"/>
          <cell r="AI73"/>
          <cell r="AJ73"/>
          <cell r="AK73">
            <v>0</v>
          </cell>
          <cell r="AL73"/>
          <cell r="AM73"/>
          <cell r="AN73"/>
          <cell r="AO73"/>
          <cell r="AP73"/>
          <cell r="AQ73"/>
          <cell r="AR73"/>
          <cell r="AS73">
            <v>1.0114448070526123</v>
          </cell>
        </row>
        <row r="74">
          <cell r="A74" t="str">
            <v>Elect.Output-autoprod. CHP plant</v>
          </cell>
          <cell r="E74"/>
          <cell r="N74" t="str">
            <v>Commerce and Public Services</v>
          </cell>
          <cell r="Y74"/>
          <cell r="Z74"/>
          <cell r="AA74"/>
          <cell r="AB74"/>
          <cell r="AC74"/>
          <cell r="AD74"/>
          <cell r="AE74">
            <v>0</v>
          </cell>
          <cell r="AF74"/>
          <cell r="AG74"/>
          <cell r="AH74"/>
          <cell r="AI74"/>
          <cell r="AJ74">
            <v>1232.300537109375</v>
          </cell>
          <cell r="AK74">
            <v>0</v>
          </cell>
          <cell r="AL74"/>
          <cell r="AM74"/>
          <cell r="AN74"/>
          <cell r="AO74"/>
          <cell r="AP74"/>
          <cell r="AQ74"/>
          <cell r="AR74"/>
          <cell r="AS74">
            <v>1846.6065673828125</v>
          </cell>
        </row>
        <row r="75">
          <cell r="A75"/>
          <cell r="E75"/>
          <cell r="N75" t="str">
            <v>Residential</v>
          </cell>
          <cell r="Y75"/>
          <cell r="Z75"/>
          <cell r="AA75"/>
          <cell r="AB75"/>
          <cell r="AC75"/>
          <cell r="AD75"/>
          <cell r="AE75">
            <v>28925.7578125</v>
          </cell>
          <cell r="AF75">
            <v>28925.7578125</v>
          </cell>
          <cell r="AG75"/>
          <cell r="AH75"/>
          <cell r="AI75"/>
          <cell r="AJ75">
            <v>220.49711608886719</v>
          </cell>
          <cell r="AK75">
            <v>0</v>
          </cell>
          <cell r="AL75"/>
          <cell r="AM75"/>
          <cell r="AN75"/>
          <cell r="AO75"/>
          <cell r="AP75"/>
          <cell r="AQ75"/>
          <cell r="AR75"/>
          <cell r="AS75">
            <v>12358.060546875</v>
          </cell>
        </row>
        <row r="76">
          <cell r="A76" t="str">
            <v>Heat Output-public CHP plant</v>
          </cell>
          <cell r="E76"/>
          <cell r="N76" t="str">
            <v>Non-specified (Other)</v>
          </cell>
          <cell r="Y76"/>
          <cell r="Z76"/>
          <cell r="AA76"/>
          <cell r="AB76"/>
          <cell r="AC76"/>
          <cell r="AD76"/>
          <cell r="AE76">
            <v>0</v>
          </cell>
          <cell r="AF76"/>
          <cell r="AG76"/>
          <cell r="AH76"/>
          <cell r="AI76"/>
          <cell r="AJ76"/>
          <cell r="AK76">
            <v>0</v>
          </cell>
          <cell r="AL76"/>
          <cell r="AM76"/>
          <cell r="AN76"/>
          <cell r="AO76"/>
          <cell r="AP76"/>
          <cell r="AQ76"/>
          <cell r="AR76"/>
          <cell r="AS76"/>
        </row>
        <row r="77">
          <cell r="A77" t="str">
            <v>Heat Output-autoproducer CHP plant</v>
          </cell>
          <cell r="E77"/>
          <cell r="N77" t="str">
            <v/>
          </cell>
          <cell r="Y77"/>
          <cell r="Z77"/>
          <cell r="AA77"/>
          <cell r="AB77"/>
          <cell r="AC77"/>
          <cell r="AD77"/>
          <cell r="AE77"/>
          <cell r="AF77"/>
          <cell r="AG77"/>
          <cell r="AH77"/>
          <cell r="AI77"/>
          <cell r="AJ77"/>
          <cell r="AK77"/>
          <cell r="AL77"/>
          <cell r="AM77"/>
          <cell r="AN77"/>
          <cell r="AO77"/>
          <cell r="AP77"/>
          <cell r="AQ77"/>
          <cell r="AR77"/>
          <cell r="AS77"/>
        </row>
        <row r="78">
          <cell r="A78" t="str">
            <v>Heat Output-public heat plant</v>
          </cell>
          <cell r="E78"/>
          <cell r="N78" t="str">
            <v>Non-Energy Use</v>
          </cell>
          <cell r="Y78">
            <v>0</v>
          </cell>
          <cell r="Z78">
            <v>0</v>
          </cell>
          <cell r="AA78">
            <v>0</v>
          </cell>
          <cell r="AB78">
            <v>0</v>
          </cell>
          <cell r="AC78">
            <v>0</v>
          </cell>
          <cell r="AD78">
            <v>0</v>
          </cell>
          <cell r="AE78">
            <v>0</v>
          </cell>
          <cell r="AF78">
            <v>0</v>
          </cell>
          <cell r="AG78">
            <v>0</v>
          </cell>
          <cell r="AH78">
            <v>0</v>
          </cell>
          <cell r="AI78">
            <v>0</v>
          </cell>
          <cell r="AJ78">
            <v>0</v>
          </cell>
          <cell r="AK78">
            <v>0</v>
          </cell>
          <cell r="AL78"/>
          <cell r="AM78"/>
          <cell r="AN78"/>
          <cell r="AO78"/>
          <cell r="AP78"/>
          <cell r="AQ78"/>
          <cell r="AR78"/>
          <cell r="AS78"/>
        </row>
        <row r="79">
          <cell r="A79" t="str">
            <v>Heat Output-autoprod. heat plant</v>
          </cell>
          <cell r="E79"/>
          <cell r="N79" t="str">
            <v>Memo:Non-Energy Use Ind/Transf/Ener</v>
          </cell>
          <cell r="Y79"/>
          <cell r="Z79"/>
          <cell r="AA79"/>
          <cell r="AB79"/>
          <cell r="AC79"/>
          <cell r="AD79"/>
          <cell r="AE79">
            <v>0</v>
          </cell>
          <cell r="AF79"/>
          <cell r="AG79"/>
          <cell r="AH79"/>
          <cell r="AI79"/>
          <cell r="AJ79"/>
          <cell r="AK79">
            <v>0</v>
          </cell>
          <cell r="AL79"/>
          <cell r="AM79"/>
          <cell r="AN79"/>
          <cell r="AO79"/>
          <cell r="AP79"/>
          <cell r="AQ79"/>
          <cell r="AR79"/>
          <cell r="AS79"/>
        </row>
        <row r="80">
          <cell r="A80" t="str">
            <v>Heat Output in TJ</v>
          </cell>
          <cell r="E80" t="str">
            <v>-</v>
          </cell>
          <cell r="N80" t="str">
            <v>Memo:Non-Energy Use in Transport</v>
          </cell>
          <cell r="Y80"/>
          <cell r="Z80"/>
          <cell r="AA80"/>
          <cell r="AB80"/>
          <cell r="AC80"/>
          <cell r="AD80"/>
          <cell r="AE80">
            <v>0</v>
          </cell>
          <cell r="AF80"/>
          <cell r="AG80"/>
          <cell r="AH80"/>
          <cell r="AI80"/>
          <cell r="AJ80"/>
          <cell r="AK80">
            <v>0</v>
          </cell>
          <cell r="AL80"/>
          <cell r="AM80"/>
          <cell r="AN80"/>
          <cell r="AO80"/>
          <cell r="AP80"/>
          <cell r="AQ80"/>
          <cell r="AR80"/>
          <cell r="AS80"/>
        </row>
        <row r="81">
          <cell r="N81" t="str">
            <v>Memo:Non-Energy Use in Oth.Sect.</v>
          </cell>
          <cell r="Y81"/>
          <cell r="Z81"/>
          <cell r="AA81"/>
          <cell r="AB81"/>
          <cell r="AC81"/>
          <cell r="AD81"/>
          <cell r="AE81">
            <v>0</v>
          </cell>
          <cell r="AF81"/>
          <cell r="AG81"/>
          <cell r="AH81"/>
          <cell r="AI81"/>
          <cell r="AJ81"/>
          <cell r="AK81">
            <v>0</v>
          </cell>
          <cell r="AL81"/>
          <cell r="AM81"/>
          <cell r="AN81"/>
          <cell r="AO81"/>
          <cell r="AP81"/>
          <cell r="AQ81"/>
          <cell r="AR81"/>
          <cell r="AS81"/>
        </row>
        <row r="82">
          <cell r="N82" t="str">
            <v>Memo:Feedst.Use in Petchem. Ind.</v>
          </cell>
          <cell r="Y82"/>
          <cell r="Z82"/>
          <cell r="AA82"/>
          <cell r="AB82"/>
          <cell r="AC82"/>
          <cell r="AD82"/>
          <cell r="AE82">
            <v>0</v>
          </cell>
          <cell r="AF82"/>
          <cell r="AG82"/>
          <cell r="AH82"/>
          <cell r="AI82"/>
          <cell r="AJ82"/>
          <cell r="AK82">
            <v>0</v>
          </cell>
          <cell r="AL82"/>
          <cell r="AM82"/>
          <cell r="AN82"/>
          <cell r="AO82"/>
          <cell r="AP82"/>
          <cell r="AQ82"/>
          <cell r="AR82"/>
          <cell r="AS82"/>
        </row>
        <row r="83">
          <cell r="N83" t="str">
            <v/>
          </cell>
          <cell r="Y83"/>
          <cell r="Z83"/>
          <cell r="AA83"/>
          <cell r="AB83"/>
          <cell r="AC83"/>
          <cell r="AD83"/>
          <cell r="AE83">
            <v>0</v>
          </cell>
          <cell r="AF83"/>
          <cell r="AG83"/>
          <cell r="AH83"/>
          <cell r="AI83"/>
          <cell r="AJ83"/>
          <cell r="AK83"/>
          <cell r="AL83"/>
          <cell r="AM83"/>
          <cell r="AN83"/>
          <cell r="AO83"/>
          <cell r="AP83"/>
          <cell r="AQ83"/>
          <cell r="AR83"/>
          <cell r="AS83"/>
        </row>
        <row r="84">
          <cell r="N84" t="str">
            <v>Elect.Output in GWh</v>
          </cell>
          <cell r="Y84">
            <v>0</v>
          </cell>
          <cell r="Z84">
            <v>0</v>
          </cell>
          <cell r="AA84">
            <v>0</v>
          </cell>
          <cell r="AB84">
            <v>0</v>
          </cell>
          <cell r="AC84">
            <v>0</v>
          </cell>
          <cell r="AD84">
            <v>0</v>
          </cell>
          <cell r="AE84">
            <v>299.67000543733872</v>
          </cell>
          <cell r="AF84">
            <v>299.67000543733872</v>
          </cell>
          <cell r="AG84">
            <v>0</v>
          </cell>
          <cell r="AH84">
            <v>0</v>
          </cell>
          <cell r="AI84">
            <v>0</v>
          </cell>
          <cell r="AJ84">
            <v>0</v>
          </cell>
          <cell r="AK84">
            <v>0</v>
          </cell>
          <cell r="AL84">
            <v>0</v>
          </cell>
          <cell r="AM84">
            <v>0</v>
          </cell>
          <cell r="AN84">
            <v>0</v>
          </cell>
          <cell r="AO84">
            <v>0</v>
          </cell>
          <cell r="AP84">
            <v>0</v>
          </cell>
          <cell r="AQ84">
            <v>0</v>
          </cell>
          <cell r="AR84">
            <v>0</v>
          </cell>
          <cell r="AS84">
            <v>0</v>
          </cell>
        </row>
        <row r="85">
          <cell r="N85" t="str">
            <v>Elect.Output-public elec. plant</v>
          </cell>
          <cell r="Y85"/>
          <cell r="Z85"/>
          <cell r="AA85"/>
          <cell r="AB85"/>
          <cell r="AC85"/>
          <cell r="AD85"/>
          <cell r="AE85">
            <v>0</v>
          </cell>
          <cell r="AF85"/>
          <cell r="AG85"/>
          <cell r="AH85"/>
          <cell r="AI85"/>
          <cell r="AJ85"/>
          <cell r="AK85">
            <v>0</v>
          </cell>
          <cell r="AL85"/>
          <cell r="AM85"/>
          <cell r="AN85"/>
          <cell r="AO85"/>
          <cell r="AP85"/>
          <cell r="AQ85"/>
          <cell r="AR85"/>
          <cell r="AS85"/>
        </row>
        <row r="86">
          <cell r="N86" t="str">
            <v>Elect.Output-autoprod. elec. plant</v>
          </cell>
          <cell r="Y86"/>
          <cell r="Z86"/>
          <cell r="AA86"/>
          <cell r="AB86"/>
          <cell r="AC86"/>
          <cell r="AD86"/>
          <cell r="AE86">
            <v>299.67000543733872</v>
          </cell>
          <cell r="AF86">
            <v>299.67000543733872</v>
          </cell>
          <cell r="AG86"/>
          <cell r="AH86"/>
          <cell r="AI86"/>
          <cell r="AJ86"/>
          <cell r="AK86">
            <v>0</v>
          </cell>
          <cell r="AL86"/>
          <cell r="AM86"/>
          <cell r="AN86"/>
          <cell r="AO86"/>
          <cell r="AP86"/>
          <cell r="AQ86"/>
          <cell r="AR86"/>
          <cell r="AS86"/>
        </row>
        <row r="87">
          <cell r="N87" t="str">
            <v>Elect.Output-public CHP plant</v>
          </cell>
          <cell r="Y87"/>
          <cell r="Z87"/>
          <cell r="AA87"/>
          <cell r="AB87"/>
          <cell r="AC87"/>
          <cell r="AD87"/>
          <cell r="AE87">
            <v>0</v>
          </cell>
          <cell r="AF87"/>
          <cell r="AG87"/>
          <cell r="AH87"/>
          <cell r="AI87"/>
          <cell r="AJ87"/>
          <cell r="AK87">
            <v>0</v>
          </cell>
          <cell r="AL87"/>
          <cell r="AM87"/>
          <cell r="AN87"/>
          <cell r="AO87"/>
          <cell r="AP87"/>
          <cell r="AQ87"/>
          <cell r="AR87"/>
          <cell r="AS87"/>
        </row>
        <row r="88">
          <cell r="N88" t="str">
            <v>Elect.Output-autoprod. CHP plant</v>
          </cell>
          <cell r="Y88"/>
          <cell r="Z88"/>
          <cell r="AA88"/>
          <cell r="AB88"/>
          <cell r="AC88"/>
          <cell r="AD88"/>
          <cell r="AE88">
            <v>0</v>
          </cell>
          <cell r="AF88"/>
          <cell r="AG88"/>
          <cell r="AH88"/>
          <cell r="AI88"/>
          <cell r="AJ88"/>
          <cell r="AK88">
            <v>0</v>
          </cell>
          <cell r="AL88"/>
          <cell r="AM88"/>
          <cell r="AN88"/>
          <cell r="AO88"/>
          <cell r="AP88"/>
          <cell r="AQ88"/>
          <cell r="AR88"/>
          <cell r="AS88"/>
        </row>
        <row r="89">
          <cell r="N89" t="str">
            <v/>
          </cell>
          <cell r="Y89"/>
          <cell r="Z89"/>
          <cell r="AA89"/>
          <cell r="AB89"/>
          <cell r="AC89"/>
          <cell r="AD89"/>
          <cell r="AE89"/>
          <cell r="AF89"/>
          <cell r="AG89"/>
          <cell r="AH89"/>
          <cell r="AI89"/>
          <cell r="AJ89"/>
          <cell r="AK89"/>
          <cell r="AL89"/>
          <cell r="AM89"/>
          <cell r="AN89"/>
          <cell r="AO89"/>
          <cell r="AP89"/>
          <cell r="AQ89"/>
          <cell r="AR89"/>
          <cell r="AS89"/>
        </row>
        <row r="90">
          <cell r="N90" t="str">
            <v>Heat Output-public CHP plant</v>
          </cell>
          <cell r="Y90"/>
          <cell r="Z90"/>
          <cell r="AA90"/>
          <cell r="AB90"/>
          <cell r="AC90"/>
          <cell r="AD90"/>
          <cell r="AE90">
            <v>0</v>
          </cell>
          <cell r="AF90"/>
          <cell r="AG90"/>
          <cell r="AH90"/>
          <cell r="AI90"/>
          <cell r="AJ90"/>
          <cell r="AK90">
            <v>0</v>
          </cell>
          <cell r="AL90"/>
          <cell r="AM90"/>
          <cell r="AN90"/>
          <cell r="AO90"/>
          <cell r="AP90"/>
          <cell r="AQ90"/>
          <cell r="AR90"/>
          <cell r="AS90"/>
        </row>
        <row r="91">
          <cell r="N91" t="str">
            <v>Heat Output-autoproducer CHP plant</v>
          </cell>
          <cell r="Y91"/>
          <cell r="Z91"/>
          <cell r="AA91"/>
          <cell r="AB91"/>
          <cell r="AC91"/>
          <cell r="AD91"/>
          <cell r="AE91">
            <v>0</v>
          </cell>
          <cell r="AF91"/>
          <cell r="AG91"/>
          <cell r="AH91"/>
          <cell r="AI91"/>
          <cell r="AJ91"/>
          <cell r="AK91">
            <v>0</v>
          </cell>
          <cell r="AL91"/>
          <cell r="AM91"/>
          <cell r="AN91"/>
          <cell r="AO91"/>
          <cell r="AP91"/>
          <cell r="AQ91"/>
          <cell r="AR91"/>
          <cell r="AS91"/>
        </row>
        <row r="92">
          <cell r="N92" t="str">
            <v>Heat Output-public heat plant</v>
          </cell>
          <cell r="Y92"/>
          <cell r="Z92"/>
          <cell r="AA92"/>
          <cell r="AB92"/>
          <cell r="AC92"/>
          <cell r="AD92"/>
          <cell r="AE92">
            <v>0</v>
          </cell>
          <cell r="AF92"/>
          <cell r="AG92"/>
          <cell r="AH92"/>
          <cell r="AI92"/>
          <cell r="AJ92"/>
          <cell r="AK92">
            <v>0</v>
          </cell>
          <cell r="AL92"/>
          <cell r="AM92"/>
          <cell r="AN92"/>
          <cell r="AO92"/>
          <cell r="AP92"/>
          <cell r="AQ92"/>
          <cell r="AR92"/>
          <cell r="AS92"/>
        </row>
        <row r="93">
          <cell r="N93" t="str">
            <v>Heat Output-autoprod. heat plant</v>
          </cell>
          <cell r="Y93"/>
          <cell r="Z93"/>
          <cell r="AA93"/>
          <cell r="AB93"/>
          <cell r="AC93"/>
          <cell r="AD93"/>
          <cell r="AE93">
            <v>0</v>
          </cell>
          <cell r="AF93"/>
          <cell r="AG93"/>
          <cell r="AH93"/>
          <cell r="AI93"/>
          <cell r="AJ93"/>
          <cell r="AK93">
            <v>0</v>
          </cell>
          <cell r="AL93"/>
          <cell r="AM93"/>
          <cell r="AN93"/>
          <cell r="AO93"/>
          <cell r="AP93"/>
          <cell r="AQ93"/>
          <cell r="AR93"/>
          <cell r="AS93"/>
        </row>
        <row r="94">
          <cell r="N94" t="str">
            <v>Heat Output in TJ</v>
          </cell>
          <cell r="Y94">
            <v>0</v>
          </cell>
          <cell r="Z94">
            <v>0</v>
          </cell>
          <cell r="AA94">
            <v>0</v>
          </cell>
          <cell r="AB94">
            <v>0</v>
          </cell>
          <cell r="AC94">
            <v>0</v>
          </cell>
          <cell r="AD94">
            <v>0</v>
          </cell>
          <cell r="AE94">
            <v>0</v>
          </cell>
          <cell r="AF94">
            <v>0</v>
          </cell>
          <cell r="AG94">
            <v>0</v>
          </cell>
          <cell r="AH94">
            <v>0</v>
          </cell>
          <cell r="AI94">
            <v>0</v>
          </cell>
          <cell r="AJ94">
            <v>0</v>
          </cell>
          <cell r="AK94">
            <v>0</v>
          </cell>
          <cell r="AL94">
            <v>0</v>
          </cell>
          <cell r="AM94">
            <v>0</v>
          </cell>
          <cell r="AN94">
            <v>0</v>
          </cell>
          <cell r="AO94">
            <v>0</v>
          </cell>
          <cell r="AP94">
            <v>0</v>
          </cell>
          <cell r="AQ94">
            <v>0</v>
          </cell>
          <cell r="AR94">
            <v>0</v>
          </cell>
          <cell r="AS94">
            <v>0</v>
          </cell>
        </row>
        <row r="95">
          <cell r="N95" t="str">
            <v/>
          </cell>
          <cell r="Y95"/>
          <cell r="Z95"/>
          <cell r="AA95"/>
          <cell r="AB95"/>
          <cell r="AC95"/>
          <cell r="AD95"/>
          <cell r="AE95"/>
          <cell r="AF95"/>
          <cell r="AG95"/>
          <cell r="AH95"/>
          <cell r="AI95"/>
          <cell r="AJ95"/>
          <cell r="AK95"/>
          <cell r="AL95"/>
          <cell r="AM95"/>
          <cell r="AN95"/>
          <cell r="AO95"/>
          <cell r="AP95"/>
          <cell r="AQ95"/>
          <cell r="AR95"/>
          <cell r="AS95"/>
        </row>
        <row r="96">
          <cell r="N96" t="str">
            <v>Pumped Hydro Production</v>
          </cell>
          <cell r="Y96"/>
          <cell r="Z96"/>
          <cell r="AA96"/>
          <cell r="AB96"/>
          <cell r="AC96"/>
          <cell r="AD96"/>
          <cell r="AE96"/>
          <cell r="AF96"/>
          <cell r="AG96"/>
          <cell r="AH96"/>
          <cell r="AI96"/>
          <cell r="AJ96"/>
          <cell r="AK96">
            <v>0</v>
          </cell>
          <cell r="AL96"/>
          <cell r="AM96"/>
          <cell r="AN96"/>
          <cell r="AO96"/>
          <cell r="AP96"/>
          <cell r="AQ96"/>
          <cell r="AR96"/>
          <cell r="AS96"/>
        </row>
        <row r="97">
          <cell r="N97" t="str">
            <v/>
          </cell>
          <cell r="Y97"/>
          <cell r="Z97"/>
          <cell r="AA97"/>
          <cell r="AB97"/>
          <cell r="AC97"/>
          <cell r="AD97"/>
          <cell r="AE97"/>
          <cell r="AF97"/>
          <cell r="AG97"/>
          <cell r="AH97"/>
          <cell r="AI97"/>
          <cell r="AJ97"/>
          <cell r="AK97"/>
          <cell r="AL97"/>
          <cell r="AM97"/>
          <cell r="AN97"/>
          <cell r="AO97"/>
          <cell r="AP97"/>
          <cell r="AQ97"/>
          <cell r="AR97"/>
          <cell r="AS97"/>
        </row>
        <row r="98">
          <cell r="N98" t="str">
            <v>Memo: Gas vented</v>
          </cell>
          <cell r="Y98"/>
          <cell r="Z98"/>
          <cell r="AA98"/>
          <cell r="AB98"/>
          <cell r="AC98"/>
          <cell r="AD98"/>
          <cell r="AE98"/>
          <cell r="AF98"/>
          <cell r="AG98"/>
          <cell r="AH98"/>
          <cell r="AI98"/>
          <cell r="AJ98"/>
          <cell r="AK98">
            <v>0</v>
          </cell>
          <cell r="AL98"/>
          <cell r="AM98"/>
          <cell r="AN98"/>
          <cell r="AO98"/>
          <cell r="AP98"/>
          <cell r="AQ98"/>
          <cell r="AR98"/>
          <cell r="AS98"/>
        </row>
        <row r="99">
          <cell r="N99" t="str">
            <v>Memo: Gas flared</v>
          </cell>
          <cell r="Y99"/>
          <cell r="Z99"/>
          <cell r="AA99"/>
          <cell r="AB99"/>
          <cell r="AC99"/>
          <cell r="AD99"/>
          <cell r="AE99"/>
          <cell r="AF99"/>
          <cell r="AG99"/>
          <cell r="AH99"/>
          <cell r="AI99"/>
          <cell r="AJ99"/>
          <cell r="AK99">
            <v>0</v>
          </cell>
          <cell r="AL99"/>
          <cell r="AM99"/>
          <cell r="AN99"/>
          <cell r="AO99"/>
          <cell r="AP99"/>
          <cell r="AQ99"/>
          <cell r="AR99"/>
          <cell r="AS99"/>
        </row>
        <row r="100">
          <cell r="N100" t="str">
            <v>Memo: Energy use for Gold Mining</v>
          </cell>
          <cell r="Y100"/>
          <cell r="Z100"/>
          <cell r="AA100"/>
          <cell r="AB100"/>
          <cell r="AC100"/>
          <cell r="AD100"/>
          <cell r="AE100"/>
          <cell r="AF100"/>
          <cell r="AG100"/>
          <cell r="AH100"/>
          <cell r="AI100"/>
          <cell r="AJ100"/>
          <cell r="AK100">
            <v>0</v>
          </cell>
          <cell r="AL100"/>
          <cell r="AM100"/>
          <cell r="AN100"/>
          <cell r="AO100"/>
          <cell r="AP100"/>
          <cell r="AQ100"/>
          <cell r="AR100"/>
          <cell r="AS100"/>
        </row>
        <row r="101">
          <cell r="N101" t="str">
            <v>Memo: Energy use for Other Mining</v>
          </cell>
          <cell r="Y101"/>
          <cell r="Z101"/>
          <cell r="AA101"/>
          <cell r="AB101"/>
          <cell r="AC101"/>
          <cell r="AD101"/>
          <cell r="AE101"/>
          <cell r="AF101"/>
          <cell r="AG101"/>
          <cell r="AH101"/>
          <cell r="AI101"/>
          <cell r="AJ101"/>
          <cell r="AK101">
            <v>0</v>
          </cell>
          <cell r="AL101"/>
          <cell r="AM101"/>
          <cell r="AN101"/>
          <cell r="AO101"/>
          <cell r="AP101"/>
          <cell r="AQ101"/>
          <cell r="AR101"/>
          <cell r="AS101"/>
        </row>
      </sheetData>
      <sheetData sheetId="4"/>
      <sheetData sheetId="5"/>
      <sheetData sheetId="6"/>
      <sheetData sheetId="7"/>
      <sheetData sheetId="8">
        <row r="49">
          <cell r="A49" t="str">
            <v>#REF!</v>
          </cell>
          <cell r="D49">
            <v>0</v>
          </cell>
        </row>
        <row r="50">
          <cell r="A50" t="str">
            <v>#REF!</v>
          </cell>
          <cell r="D50">
            <v>0</v>
          </cell>
        </row>
        <row r="51">
          <cell r="A51" t="str">
            <v>#REF!</v>
          </cell>
          <cell r="D51">
            <v>0</v>
          </cell>
        </row>
        <row r="52">
          <cell r="A52" t="str">
            <v>#REF!</v>
          </cell>
          <cell r="D52">
            <v>0</v>
          </cell>
        </row>
        <row r="53">
          <cell r="A53" t="str">
            <v>#REF!</v>
          </cell>
          <cell r="D53">
            <v>0</v>
          </cell>
        </row>
        <row r="54">
          <cell r="A54" t="str">
            <v>#REF!</v>
          </cell>
          <cell r="D54">
            <v>0</v>
          </cell>
        </row>
        <row r="55">
          <cell r="A55" t="str">
            <v>#REF!</v>
          </cell>
          <cell r="D55">
            <v>0</v>
          </cell>
        </row>
        <row r="56">
          <cell r="A56" t="str">
            <v>#REF!</v>
          </cell>
          <cell r="D56">
            <v>0</v>
          </cell>
        </row>
      </sheetData>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ogle.com/url?q=https://www.ers.usda.gov/webdocs/outlooks/40459/11717_wrs0702_1_.pdf?v%3D3385.2%23:~:text%3DNatural%2520gas%2520is%2520the%2520primary,produce%25201%2520ton%2520of%2520ammonia&amp;sa=D&amp;source=editors&amp;ust=1616067852073000&amp;usg=AFQjCNHWy75QnDQemwK02LQbO73Ku38bFg" TargetMode="External"/><Relationship Id="rId1" Type="http://schemas.openxmlformats.org/officeDocument/2006/relationships/hyperlink" Target="https://www.sasol.com/sites/default/files/financial_reports/Additional%20Analyst%20Information%20-%2031%20December%202017.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69821-0AAB-4368-8555-EBE36569EFBC}">
  <sheetPr codeName="Sheet7"/>
  <dimension ref="A1:AG1000"/>
  <sheetViews>
    <sheetView tabSelected="1" topLeftCell="M11" zoomScale="110" zoomScaleNormal="110" workbookViewId="0">
      <selection activeCell="X28" sqref="X28"/>
    </sheetView>
  </sheetViews>
  <sheetFormatPr defaultColWidth="11.21875" defaultRowHeight="15" customHeight="1"/>
  <cols>
    <col min="1" max="11" width="10.5546875" customWidth="1"/>
    <col min="12" max="12" width="20.88671875" customWidth="1"/>
    <col min="13" max="16" width="10.5546875" customWidth="1"/>
    <col min="17" max="17" width="2.88671875" customWidth="1"/>
    <col min="18" max="18" width="21" customWidth="1"/>
    <col min="19" max="19" width="17.77734375" customWidth="1"/>
    <col min="20" max="20" width="14" customWidth="1"/>
    <col min="21" max="28" width="10.5546875" customWidth="1"/>
  </cols>
  <sheetData>
    <row r="1" spans="1:28" ht="15.75" customHeight="1">
      <c r="A1" t="s">
        <v>0</v>
      </c>
    </row>
    <row r="2" spans="1:28" ht="15.75" customHeight="1" thickBot="1">
      <c r="A2" t="s">
        <v>1</v>
      </c>
    </row>
    <row r="3" spans="1:28" ht="15.75" customHeight="1" thickBot="1">
      <c r="A3" s="1" t="s">
        <v>2</v>
      </c>
      <c r="B3" s="1"/>
      <c r="C3" s="74" t="s">
        <v>3</v>
      </c>
      <c r="D3" s="75"/>
      <c r="E3" s="75"/>
      <c r="F3" s="75"/>
      <c r="G3" s="75"/>
      <c r="H3" s="75"/>
      <c r="I3" s="75"/>
      <c r="J3" s="76"/>
      <c r="K3" s="2" t="s">
        <v>4</v>
      </c>
      <c r="R3" s="3" t="s">
        <v>5</v>
      </c>
    </row>
    <row r="4" spans="1:28" ht="46.5" customHeight="1">
      <c r="A4" s="4"/>
      <c r="B4" s="5"/>
      <c r="C4" s="5" t="str">
        <f>'[1]DMRE 2017EB'!AJ2</f>
        <v>Natural Gas</v>
      </c>
      <c r="D4" s="5" t="str">
        <f>'[1]DMRE 2017EB'!AA2</f>
        <v>Gasworks Gas</v>
      </c>
      <c r="E4" s="5" t="str">
        <f>'[1]DMRE 2017EB'!AB2</f>
        <v>Coke oven Gas</v>
      </c>
      <c r="F4" s="5" t="str">
        <f>'[1]DMRE 2017EB'!AC2</f>
        <v>Blast Furnace Gas</v>
      </c>
      <c r="G4" s="5" t="str">
        <f>'[1]DMRE 2017EB'!AD2</f>
        <v>Oxygen Furnace Gas</v>
      </c>
      <c r="H4" s="5" t="str">
        <f>'[1]DMRE 2017EB'!AQ2</f>
        <v>Refinery Gas</v>
      </c>
      <c r="I4" s="5" t="str">
        <f>'[1]DMRE 2017EB'!AR2</f>
        <v>Ethane</v>
      </c>
      <c r="J4" s="6" t="str">
        <f>'[1]DMRE 2017EB'!E2</f>
        <v>Gas</v>
      </c>
      <c r="K4" s="7" t="s">
        <v>6</v>
      </c>
      <c r="M4" s="4"/>
      <c r="N4" s="4"/>
      <c r="O4" s="4"/>
      <c r="P4" s="4"/>
      <c r="Q4" s="4"/>
      <c r="T4" s="4" t="s">
        <v>7</v>
      </c>
      <c r="U4" s="2" t="s">
        <v>8</v>
      </c>
      <c r="V4" s="2" t="s">
        <v>9</v>
      </c>
      <c r="W4" s="4" t="s">
        <v>10</v>
      </c>
      <c r="X4" s="4" t="s">
        <v>11</v>
      </c>
      <c r="Y4" s="4"/>
      <c r="Z4" s="4"/>
      <c r="AA4" s="4"/>
      <c r="AB4" s="4"/>
    </row>
    <row r="5" spans="1:28" ht="33.75" customHeight="1">
      <c r="A5" s="2" t="str">
        <f>'[1]DMRE 2017EB'!N4</f>
        <v>Indigenous Production</v>
      </c>
      <c r="B5" s="5"/>
      <c r="C5" s="8">
        <f t="array" ref="C5">SUMPRODUCT('[1]DMRE 2017EB'!$Y$4:$AS$101*('[1]DMRE 2017EB'!$N$4:$N$101=$A5)*('[1]DMRE 2017EB'!$Y$2:$AS$2=C$4))</f>
        <v>25570.8125</v>
      </c>
      <c r="D5" s="8">
        <f t="array" ref="D5">SUMPRODUCT('[1]DMRE 2017EB'!$Y$4:$AS$101*('[1]DMRE 2017EB'!$N$4:$N$101=$A5)*('[1]DMRE 2017EB'!$Y$2:$AS$2=D$4))</f>
        <v>0</v>
      </c>
      <c r="E5" s="8">
        <f t="array" ref="E5">SUMPRODUCT('[1]DMRE 2017EB'!$Y$4:$AS$101*('[1]DMRE 2017EB'!$N$4:$N$101=$A5)*('[1]DMRE 2017EB'!$Y$2:$AS$2=E$4))</f>
        <v>0</v>
      </c>
      <c r="F5" s="8">
        <f t="array" ref="F5">SUMPRODUCT('[1]DMRE 2017EB'!$Y$4:$AS$101*('[1]DMRE 2017EB'!$N$4:$N$101=$A5)*('[1]DMRE 2017EB'!$Y$2:$AS$2=F$4))</f>
        <v>0</v>
      </c>
      <c r="G5" s="8">
        <f t="array" ref="G5">SUMPRODUCT('[1]DMRE 2017EB'!$Y$4:$AS$101*('[1]DMRE 2017EB'!$N$4:$N$101=$A5)*('[1]DMRE 2017EB'!$Y$2:$AS$2=G$4))</f>
        <v>0</v>
      </c>
      <c r="H5" s="8">
        <f t="array" ref="H5">SUMPRODUCT('[1]DMRE 2017EB'!$Y$4:$AS$101*('[1]DMRE 2017EB'!$N$4:$N$101=$A5)*('[1]DMRE 2017EB'!$Y$2:$AS$2=H$4))</f>
        <v>0</v>
      </c>
      <c r="I5" s="8">
        <f t="array" ref="I5">SUMPRODUCT('[1]DMRE 2017EB'!$Y$4:$AS$101*('[1]DMRE 2017EB'!$N$4:$N$101=$A5)*('[1]DMRE 2017EB'!$Y$2:$AS$2=I$4))</f>
        <v>0</v>
      </c>
      <c r="J5" s="8" t="e">
        <f>SUMIF('[1]DMRE 2017EB'!$A$4:$A$80,gas!A5,'[1]DMRE 2017EB'!$E$4:$E$80)</f>
        <v>#VALUE!</v>
      </c>
      <c r="K5" s="4"/>
      <c r="M5" s="4"/>
      <c r="N5" s="4"/>
      <c r="O5" s="4"/>
      <c r="P5" s="4"/>
      <c r="Q5" s="4"/>
      <c r="R5" s="3" t="s">
        <v>12</v>
      </c>
      <c r="S5" s="3"/>
      <c r="T5" s="9">
        <f t="shared" ref="T5:U5" si="0">T6+T7</f>
        <v>25.570812499999999</v>
      </c>
      <c r="U5" s="9">
        <f t="shared" si="0"/>
        <v>50.152312499999994</v>
      </c>
      <c r="W5" s="4"/>
      <c r="X5" s="4"/>
      <c r="Y5" s="4"/>
      <c r="Z5" s="4"/>
      <c r="AA5" s="4"/>
      <c r="AB5" s="4"/>
    </row>
    <row r="6" spans="1:28" ht="15.75" customHeight="1">
      <c r="A6" s="2" t="str">
        <f>'[1]DMRE 2017EB'!N5</f>
        <v>Import</v>
      </c>
      <c r="C6" s="8">
        <f t="array" ref="C6">SUMPRODUCT('[1]DMRE 2017EB'!$Y$4:$AS$101*('[1]DMRE 2017EB'!$N$4:$N$101=$A6)*('[1]DMRE 2017EB'!$Y$2:$AS$2=C$4))</f>
        <v>124124.4375</v>
      </c>
      <c r="D6" s="8">
        <f t="array" ref="D6">SUMPRODUCT('[1]DMRE 2017EB'!$Y$4:$AS$101*('[1]DMRE 2017EB'!$N$4:$N$101=$A6)*('[1]DMRE 2017EB'!$Y$2:$AS$2=D$4))</f>
        <v>0</v>
      </c>
      <c r="E6" s="8">
        <f t="array" ref="E6">SUMPRODUCT('[1]DMRE 2017EB'!$Y$4:$AS$101*('[1]DMRE 2017EB'!$N$4:$N$101=$A6)*('[1]DMRE 2017EB'!$Y$2:$AS$2=E$4))</f>
        <v>0</v>
      </c>
      <c r="F6" s="8">
        <f t="array" ref="F6">SUMPRODUCT('[1]DMRE 2017EB'!$Y$4:$AS$101*('[1]DMRE 2017EB'!$N$4:$N$101=$A6)*('[1]DMRE 2017EB'!$Y$2:$AS$2=F$4))</f>
        <v>0</v>
      </c>
      <c r="G6" s="8">
        <f t="array" ref="G6">SUMPRODUCT('[1]DMRE 2017EB'!$Y$4:$AS$101*('[1]DMRE 2017EB'!$N$4:$N$101=$A6)*('[1]DMRE 2017EB'!$Y$2:$AS$2=G$4))</f>
        <v>0</v>
      </c>
      <c r="H6" s="8">
        <f t="array" ref="H6">SUMPRODUCT('[1]DMRE 2017EB'!$Y$4:$AS$101*('[1]DMRE 2017EB'!$N$4:$N$101=$A6)*('[1]DMRE 2017EB'!$Y$2:$AS$2=H$4))</f>
        <v>0</v>
      </c>
      <c r="I6" s="8">
        <f t="array" ref="I6">SUMPRODUCT('[1]DMRE 2017EB'!$Y$4:$AS$101*('[1]DMRE 2017EB'!$N$4:$N$101=$A6)*('[1]DMRE 2017EB'!$Y$2:$AS$2=I$4))</f>
        <v>0</v>
      </c>
      <c r="J6" s="8" t="e">
        <f>SUMIF('[1]DMRE 2017EB'!$A$4:$A$80,gas!A6,'[1]DMRE 2017EB'!$E$4:$E$80)</f>
        <v>#VALUE!</v>
      </c>
      <c r="S6" s="2" t="s">
        <v>13</v>
      </c>
      <c r="T6" s="10">
        <f>C5/1000</f>
        <v>25.570812499999999</v>
      </c>
      <c r="U6" s="10">
        <f>T6</f>
        <v>25.570812499999999</v>
      </c>
      <c r="V6" s="2" t="s">
        <v>0</v>
      </c>
    </row>
    <row r="7" spans="1:28" ht="15.75" customHeight="1">
      <c r="A7" s="2" t="str">
        <f>'[1]DMRE 2017EB'!N6</f>
        <v>Export</v>
      </c>
      <c r="C7" s="8">
        <f t="array" ref="C7">SUMPRODUCT('[1]DMRE 2017EB'!$Y$4:$AS$101*('[1]DMRE 2017EB'!$N$4:$N$101=$A7)*('[1]DMRE 2017EB'!$Y$2:$AS$2=C$4))</f>
        <v>-498.75</v>
      </c>
      <c r="D7" s="8">
        <f t="array" ref="D7">SUMPRODUCT('[1]DMRE 2017EB'!$Y$4:$AS$101*('[1]DMRE 2017EB'!$N$4:$N$101=$A7)*('[1]DMRE 2017EB'!$Y$2:$AS$2=D$4))</f>
        <v>0</v>
      </c>
      <c r="E7" s="8">
        <f t="array" ref="E7">SUMPRODUCT('[1]DMRE 2017EB'!$Y$4:$AS$101*('[1]DMRE 2017EB'!$N$4:$N$101=$A7)*('[1]DMRE 2017EB'!$Y$2:$AS$2=E$4))</f>
        <v>0</v>
      </c>
      <c r="F7" s="8">
        <f t="array" ref="F7">SUMPRODUCT('[1]DMRE 2017EB'!$Y$4:$AS$101*('[1]DMRE 2017EB'!$N$4:$N$101=$A7)*('[1]DMRE 2017EB'!$Y$2:$AS$2=F$4))</f>
        <v>0</v>
      </c>
      <c r="G7" s="8">
        <f t="array" ref="G7">SUMPRODUCT('[1]DMRE 2017EB'!$Y$4:$AS$101*('[1]DMRE 2017EB'!$N$4:$N$101=$A7)*('[1]DMRE 2017EB'!$Y$2:$AS$2=G$4))</f>
        <v>0</v>
      </c>
      <c r="H7" s="8">
        <f t="array" ref="H7">SUMPRODUCT('[1]DMRE 2017EB'!$Y$4:$AS$101*('[1]DMRE 2017EB'!$N$4:$N$101=$A7)*('[1]DMRE 2017EB'!$Y$2:$AS$2=H$4))</f>
        <v>0</v>
      </c>
      <c r="I7" s="8">
        <f t="array" ref="I7">SUMPRODUCT('[1]DMRE 2017EB'!$Y$4:$AS$101*('[1]DMRE 2017EB'!$N$4:$N$101=$A7)*('[1]DMRE 2017EB'!$Y$2:$AS$2=I$4))</f>
        <v>0</v>
      </c>
      <c r="J7" s="8" t="e">
        <f>SUMIF('[1]DMRE 2017EB'!$A$4:$A$80,gas!A7,'[1]DMRE 2017EB'!$E$4:$E$80)</f>
        <v>#VALUE!</v>
      </c>
      <c r="S7" s="2" t="s">
        <v>14</v>
      </c>
      <c r="T7" s="2">
        <v>0</v>
      </c>
      <c r="U7" s="2">
        <f>N33</f>
        <v>24.581499999999998</v>
      </c>
      <c r="V7" s="2" t="s">
        <v>4</v>
      </c>
    </row>
    <row r="8" spans="1:28" ht="15.75" customHeight="1">
      <c r="A8" s="11" t="str">
        <f>'[1]DMRE 2017EB'!N9</f>
        <v>Domestic Supply</v>
      </c>
      <c r="B8" s="11"/>
      <c r="C8" s="12">
        <f t="array" ref="C8">SUMPRODUCT('[1]DMRE 2017EB'!$Y$4:$AS$101*('[1]DMRE 2017EB'!$N$4:$N$101=$A8)*('[1]DMRE 2017EB'!$Y$2:$AS$2=C$4))</f>
        <v>149196.5</v>
      </c>
      <c r="D8" s="12">
        <f t="array" ref="D8">SUMPRODUCT('[1]DMRE 2017EB'!$Y$4:$AS$101*('[1]DMRE 2017EB'!$N$4:$N$101=$A8)*('[1]DMRE 2017EB'!$Y$2:$AS$2=D$4))</f>
        <v>0</v>
      </c>
      <c r="E8" s="12">
        <f t="array" ref="E8">SUMPRODUCT('[1]DMRE 2017EB'!$Y$4:$AS$101*('[1]DMRE 2017EB'!$N$4:$N$101=$A8)*('[1]DMRE 2017EB'!$Y$2:$AS$2=E$4))</f>
        <v>0</v>
      </c>
      <c r="F8" s="12">
        <f t="array" ref="F8">SUMPRODUCT('[1]DMRE 2017EB'!$Y$4:$AS$101*('[1]DMRE 2017EB'!$N$4:$N$101=$A8)*('[1]DMRE 2017EB'!$Y$2:$AS$2=F$4))</f>
        <v>0</v>
      </c>
      <c r="G8" s="12">
        <f t="array" ref="G8">SUMPRODUCT('[1]DMRE 2017EB'!$Y$4:$AS$101*('[1]DMRE 2017EB'!$N$4:$N$101=$A8)*('[1]DMRE 2017EB'!$Y$2:$AS$2=G$4))</f>
        <v>0</v>
      </c>
      <c r="H8" s="12">
        <f t="array" ref="H8">SUMPRODUCT('[1]DMRE 2017EB'!$Y$4:$AS$101*('[1]DMRE 2017EB'!$N$4:$N$101=$A8)*('[1]DMRE 2017EB'!$Y$2:$AS$2=H$4))</f>
        <v>0</v>
      </c>
      <c r="I8" s="12">
        <f t="array" ref="I8">SUMPRODUCT('[1]DMRE 2017EB'!$Y$4:$AS$101*('[1]DMRE 2017EB'!$N$4:$N$101=$A8)*('[1]DMRE 2017EB'!$Y$2:$AS$2=I$4))</f>
        <v>0</v>
      </c>
      <c r="J8" s="12" t="e">
        <f>SUMIF('[1]DMRE 2017EB'!$A$4:$A$80,gas!A8,'[1]DMRE 2017EB'!$E$4:$E$80)</f>
        <v>#VALUE!</v>
      </c>
      <c r="R8" s="2" t="s">
        <v>15</v>
      </c>
      <c r="T8" s="10">
        <f>C6/1000</f>
        <v>124.1244375</v>
      </c>
      <c r="U8" s="10">
        <f>N32</f>
        <v>151.28700000000001</v>
      </c>
      <c r="V8" s="2" t="s">
        <v>4</v>
      </c>
    </row>
    <row r="9" spans="1:28" ht="15.75" customHeight="1">
      <c r="A9" s="13" t="str">
        <f>'[1]DMRE 2017EB'!N12</f>
        <v>Statistical Differences</v>
      </c>
      <c r="B9" s="13"/>
      <c r="C9" s="14">
        <f t="array" ref="C9">SUMPRODUCT('[1]DMRE 2017EB'!$Y$4:$AS$101*('[1]DMRE 2017EB'!$N$4:$N$101=$A9)*('[1]DMRE 2017EB'!$Y$2:$AS$2=C$4))</f>
        <v>13379.132661819458</v>
      </c>
      <c r="D9" s="14">
        <f t="array" ref="D9">SUMPRODUCT('[1]DMRE 2017EB'!$Y$4:$AS$101*('[1]DMRE 2017EB'!$N$4:$N$101=$A9)*('[1]DMRE 2017EB'!$Y$2:$AS$2=D$4))</f>
        <v>1174.3655652999878</v>
      </c>
      <c r="E9" s="14">
        <f t="array" ref="E9">SUMPRODUCT('[1]DMRE 2017EB'!$Y$4:$AS$101*('[1]DMRE 2017EB'!$N$4:$N$101=$A9)*('[1]DMRE 2017EB'!$Y$2:$AS$2=E$4))</f>
        <v>0</v>
      </c>
      <c r="F9" s="14">
        <f t="array" ref="F9">SUMPRODUCT('[1]DMRE 2017EB'!$Y$4:$AS$101*('[1]DMRE 2017EB'!$N$4:$N$101=$A9)*('[1]DMRE 2017EB'!$Y$2:$AS$2=F$4))</f>
        <v>0</v>
      </c>
      <c r="G9" s="14">
        <f t="array" ref="G9">SUMPRODUCT('[1]DMRE 2017EB'!$Y$4:$AS$101*('[1]DMRE 2017EB'!$N$4:$N$101=$A9)*('[1]DMRE 2017EB'!$Y$2:$AS$2=G$4))</f>
        <v>0</v>
      </c>
      <c r="H9" s="14">
        <f t="array" ref="H9">SUMPRODUCT('[1]DMRE 2017EB'!$Y$4:$AS$101*('[1]DMRE 2017EB'!$N$4:$N$101=$A9)*('[1]DMRE 2017EB'!$Y$2:$AS$2=H$4))</f>
        <v>-35803.75</v>
      </c>
      <c r="I9" s="14">
        <f t="array" ref="I9">SUMPRODUCT('[1]DMRE 2017EB'!$Y$4:$AS$101*('[1]DMRE 2017EB'!$N$4:$N$101=$A9)*('[1]DMRE 2017EB'!$Y$2:$AS$2=I$4))</f>
        <v>0</v>
      </c>
      <c r="J9" s="14" t="e">
        <f>SUMIF('[1]DMRE 2017EB'!$A$4:$A$80,gas!A9,'[1]DMRE 2017EB'!$E$4:$E$80)</f>
        <v>#VALUE!</v>
      </c>
      <c r="K9" s="13"/>
      <c r="R9" s="3" t="s">
        <v>16</v>
      </c>
      <c r="S9" s="3"/>
      <c r="T9" s="9">
        <f t="shared" ref="T9:U9" si="1">T8+T5</f>
        <v>149.69524999999999</v>
      </c>
      <c r="U9" s="9">
        <f t="shared" si="1"/>
        <v>201.4393125</v>
      </c>
    </row>
    <row r="10" spans="1:28" ht="15.75" customHeight="1">
      <c r="A10" s="15" t="str">
        <f>'[1]DMRE 2017EB'!N13</f>
        <v>Transformation Sector</v>
      </c>
      <c r="B10" s="15"/>
      <c r="C10" s="16">
        <f t="array" ref="C10">SUMPRODUCT('[1]DMRE 2017EB'!$Y$4:$AS$101*('[1]DMRE 2017EB'!$N$4:$N$101=$A10)*('[1]DMRE 2017EB'!$Y$2:$AS$2=C$4))</f>
        <v>-88318.546875</v>
      </c>
      <c r="D10" s="16">
        <f t="array" ref="D10">SUMPRODUCT('[1]DMRE 2017EB'!$Y$4:$AS$101*('[1]DMRE 2017EB'!$N$4:$N$101=$A10)*('[1]DMRE 2017EB'!$Y$2:$AS$2=D$4))</f>
        <v>21556.609375</v>
      </c>
      <c r="E10" s="16">
        <f t="array" ref="E10">SUMPRODUCT('[1]DMRE 2017EB'!$Y$4:$AS$101*('[1]DMRE 2017EB'!$N$4:$N$101=$A10)*('[1]DMRE 2017EB'!$Y$2:$AS$2=E$4))</f>
        <v>23257.001953125</v>
      </c>
      <c r="F10" s="16">
        <f t="array" ref="F10">SUMPRODUCT('[1]DMRE 2017EB'!$Y$4:$AS$101*('[1]DMRE 2017EB'!$N$4:$N$101=$A10)*('[1]DMRE 2017EB'!$Y$2:$AS$2=F$4))</f>
        <v>22961</v>
      </c>
      <c r="G10" s="16">
        <f t="array" ref="G10">SUMPRODUCT('[1]DMRE 2017EB'!$Y$4:$AS$101*('[1]DMRE 2017EB'!$N$4:$N$101=$A10)*('[1]DMRE 2017EB'!$Y$2:$AS$2=G$4))</f>
        <v>0</v>
      </c>
      <c r="H10" s="16">
        <f t="array" ref="H10">SUMPRODUCT('[1]DMRE 2017EB'!$Y$4:$AS$101*('[1]DMRE 2017EB'!$N$4:$N$101=$A10)*('[1]DMRE 2017EB'!$Y$2:$AS$2=H$4))</f>
        <v>35803.75</v>
      </c>
      <c r="I10" s="16">
        <f t="array" ref="I10">SUMPRODUCT('[1]DMRE 2017EB'!$Y$4:$AS$101*('[1]DMRE 2017EB'!$N$4:$N$101=$A10)*('[1]DMRE 2017EB'!$Y$2:$AS$2=I$4))</f>
        <v>0</v>
      </c>
      <c r="J10" s="16" t="e">
        <f>SUMIF('[1]DMRE 2017EB'!$A$4:$A$80,gas!A10,'[1]DMRE 2017EB'!$E$4:$E$80)</f>
        <v>#VALUE!</v>
      </c>
      <c r="K10" s="15"/>
      <c r="R10" s="17" t="s">
        <v>17</v>
      </c>
      <c r="S10" s="17"/>
      <c r="T10" s="18">
        <f t="shared" ref="T10:U10" si="2">T9+T11-T20</f>
        <v>-59.667711606025705</v>
      </c>
      <c r="U10" s="18">
        <f t="shared" si="2"/>
        <v>0</v>
      </c>
    </row>
    <row r="11" spans="1:28" ht="15.75" customHeight="1">
      <c r="A11" s="2" t="str">
        <f>'[1]DMRE 2017EB'!N22</f>
        <v>Coke Ovens</v>
      </c>
      <c r="C11" s="8">
        <f t="array" ref="C11">SUMPRODUCT('[1]DMRE 2017EB'!$Y$4:$AS$101*('[1]DMRE 2017EB'!$N$4:$N$101=$A11)*('[1]DMRE 2017EB'!$Y$2:$AS$2=C$4))</f>
        <v>0</v>
      </c>
      <c r="D11" s="8">
        <f t="array" ref="D11">SUMPRODUCT('[1]DMRE 2017EB'!$Y$4:$AS$101*('[1]DMRE 2017EB'!$N$4:$N$101=$A11)*('[1]DMRE 2017EB'!$Y$2:$AS$2=D$4))</f>
        <v>0</v>
      </c>
      <c r="E11" s="8">
        <f t="array" ref="E11">SUMPRODUCT('[1]DMRE 2017EB'!$Y$4:$AS$101*('[1]DMRE 2017EB'!$N$4:$N$101=$A11)*('[1]DMRE 2017EB'!$Y$2:$AS$2=E$4))</f>
        <v>23257.001953125</v>
      </c>
      <c r="F11" s="8">
        <f t="array" ref="F11">SUMPRODUCT('[1]DMRE 2017EB'!$Y$4:$AS$101*('[1]DMRE 2017EB'!$N$4:$N$101=$A11)*('[1]DMRE 2017EB'!$Y$2:$AS$2=F$4))</f>
        <v>0</v>
      </c>
      <c r="G11" s="8">
        <f t="array" ref="G11">SUMPRODUCT('[1]DMRE 2017EB'!$Y$4:$AS$101*('[1]DMRE 2017EB'!$N$4:$N$101=$A11)*('[1]DMRE 2017EB'!$Y$2:$AS$2=G$4))</f>
        <v>0</v>
      </c>
      <c r="H11" s="8">
        <f t="array" ref="H11">SUMPRODUCT('[1]DMRE 2017EB'!$Y$4:$AS$101*('[1]DMRE 2017EB'!$N$4:$N$101=$A11)*('[1]DMRE 2017EB'!$Y$2:$AS$2=H$4))</f>
        <v>0</v>
      </c>
      <c r="I11" s="8">
        <f t="array" ref="I11">SUMPRODUCT('[1]DMRE 2017EB'!$Y$4:$AS$101*('[1]DMRE 2017EB'!$N$4:$N$101=$A11)*('[1]DMRE 2017EB'!$Y$2:$AS$2=I$4))</f>
        <v>0</v>
      </c>
      <c r="J11" s="8" t="e">
        <f>SUMIF('[1]DMRE 2017EB'!$A$4:$A$80,gas!A11,'[1]DMRE 2017EB'!$E$4:$E$80)</f>
        <v>#VALUE!</v>
      </c>
      <c r="R11" s="3" t="s">
        <v>18</v>
      </c>
      <c r="S11" s="3"/>
      <c r="T11" s="19">
        <f>T12+T13+T17</f>
        <v>-99.754984374999992</v>
      </c>
      <c r="U11" s="9">
        <f>U12+U13+U17+U16</f>
        <v>-113.94491654499997</v>
      </c>
      <c r="W11" s="8">
        <f>-U11+U20</f>
        <v>201.43931249999997</v>
      </c>
    </row>
    <row r="12" spans="1:28" ht="15.75" customHeight="1">
      <c r="A12" s="2" t="str">
        <f>'[1]DMRE 2017EB'!N23</f>
        <v>Gas Works</v>
      </c>
      <c r="C12" s="8">
        <f t="array" ref="C12">SUMPRODUCT('[1]DMRE 2017EB'!$Y$4:$AS$101*('[1]DMRE 2017EB'!$N$4:$N$101=$A12)*('[1]DMRE 2017EB'!$Y$2:$AS$2=C$4))</f>
        <v>0</v>
      </c>
      <c r="D12" s="8">
        <f t="array" ref="D12">SUMPRODUCT('[1]DMRE 2017EB'!$Y$4:$AS$101*('[1]DMRE 2017EB'!$N$4:$N$101=$A12)*('[1]DMRE 2017EB'!$Y$2:$AS$2=D$4))</f>
        <v>21556.609375</v>
      </c>
      <c r="E12" s="8">
        <f t="array" ref="E12">SUMPRODUCT('[1]DMRE 2017EB'!$Y$4:$AS$101*('[1]DMRE 2017EB'!$N$4:$N$101=$A12)*('[1]DMRE 2017EB'!$Y$2:$AS$2=E$4))</f>
        <v>0</v>
      </c>
      <c r="F12" s="8">
        <f t="array" ref="F12">SUMPRODUCT('[1]DMRE 2017EB'!$Y$4:$AS$101*('[1]DMRE 2017EB'!$N$4:$N$101=$A12)*('[1]DMRE 2017EB'!$Y$2:$AS$2=F$4))</f>
        <v>0</v>
      </c>
      <c r="G12" s="8">
        <f t="array" ref="G12">SUMPRODUCT('[1]DMRE 2017EB'!$Y$4:$AS$101*('[1]DMRE 2017EB'!$N$4:$N$101=$A12)*('[1]DMRE 2017EB'!$Y$2:$AS$2=G$4))</f>
        <v>0</v>
      </c>
      <c r="H12" s="8">
        <f t="array" ref="H12">SUMPRODUCT('[1]DMRE 2017EB'!$Y$4:$AS$101*('[1]DMRE 2017EB'!$N$4:$N$101=$A12)*('[1]DMRE 2017EB'!$Y$2:$AS$2=H$4))</f>
        <v>0</v>
      </c>
      <c r="I12" s="8">
        <f t="array" ref="I12">SUMPRODUCT('[1]DMRE 2017EB'!$Y$4:$AS$101*('[1]DMRE 2017EB'!$N$4:$N$101=$A12)*('[1]DMRE 2017EB'!$Y$2:$AS$2=I$4))</f>
        <v>0</v>
      </c>
      <c r="J12" s="8" t="e">
        <f>SUMIF('[1]DMRE 2017EB'!$A$4:$A$80,gas!A12,'[1]DMRE 2017EB'!$E$4:$E$80)</f>
        <v>#VALUE!</v>
      </c>
      <c r="R12" s="2" t="s">
        <v>19</v>
      </c>
      <c r="U12" s="10">
        <f>-N43</f>
        <v>-28.640346999999998</v>
      </c>
      <c r="V12" s="2" t="s">
        <v>20</v>
      </c>
      <c r="W12" s="2" t="s">
        <v>21</v>
      </c>
      <c r="X12" s="2" t="s">
        <v>22</v>
      </c>
    </row>
    <row r="13" spans="1:28" ht="15.75" customHeight="1">
      <c r="A13" s="2" t="str">
        <f>'[1]DMRE 2017EB'!N24</f>
        <v>Blast Furnaces</v>
      </c>
      <c r="C13" s="8">
        <f t="array" ref="C13">SUMPRODUCT('[1]DMRE 2017EB'!$Y$4:$AS$101*('[1]DMRE 2017EB'!$N$4:$N$101=$A13)*('[1]DMRE 2017EB'!$Y$2:$AS$2=C$4))</f>
        <v>0</v>
      </c>
      <c r="D13" s="8">
        <f t="array" ref="D13">SUMPRODUCT('[1]DMRE 2017EB'!$Y$4:$AS$101*('[1]DMRE 2017EB'!$N$4:$N$101=$A13)*('[1]DMRE 2017EB'!$Y$2:$AS$2=D$4))</f>
        <v>0</v>
      </c>
      <c r="E13" s="8">
        <f t="array" ref="E13">SUMPRODUCT('[1]DMRE 2017EB'!$Y$4:$AS$101*('[1]DMRE 2017EB'!$N$4:$N$101=$A13)*('[1]DMRE 2017EB'!$Y$2:$AS$2=E$4))</f>
        <v>0</v>
      </c>
      <c r="F13" s="8">
        <f t="array" ref="F13">SUMPRODUCT('[1]DMRE 2017EB'!$Y$4:$AS$101*('[1]DMRE 2017EB'!$N$4:$N$101=$A13)*('[1]DMRE 2017EB'!$Y$2:$AS$2=F$4))</f>
        <v>22961</v>
      </c>
      <c r="G13" s="8">
        <f t="array" ref="G13">SUMPRODUCT('[1]DMRE 2017EB'!$Y$4:$AS$101*('[1]DMRE 2017EB'!$N$4:$N$101=$A13)*('[1]DMRE 2017EB'!$Y$2:$AS$2=G$4))</f>
        <v>0</v>
      </c>
      <c r="H13" s="8">
        <f t="array" ref="H13">SUMPRODUCT('[1]DMRE 2017EB'!$Y$4:$AS$101*('[1]DMRE 2017EB'!$N$4:$N$101=$A13)*('[1]DMRE 2017EB'!$Y$2:$AS$2=H$4))</f>
        <v>0</v>
      </c>
      <c r="I13" s="8">
        <f t="array" ref="I13">SUMPRODUCT('[1]DMRE 2017EB'!$Y$4:$AS$101*('[1]DMRE 2017EB'!$N$4:$N$101=$A13)*('[1]DMRE 2017EB'!$Y$2:$AS$2=I$4))</f>
        <v>0</v>
      </c>
      <c r="J13" s="8" t="e">
        <f>SUMIF('[1]DMRE 2017EB'!$A$4:$A$80,gas!A13,'[1]DMRE 2017EB'!$E$4:$E$80)</f>
        <v>#VALUE!</v>
      </c>
      <c r="R13" s="3" t="s">
        <v>23</v>
      </c>
      <c r="S13" s="3"/>
      <c r="T13" s="19">
        <f>C15/1000</f>
        <v>-88.318546874999996</v>
      </c>
      <c r="U13" s="9">
        <f>SUM(U14:U15)</f>
        <v>-48.871030190909067</v>
      </c>
    </row>
    <row r="14" spans="1:28" ht="15.75" customHeight="1">
      <c r="A14" s="2" t="str">
        <f>'[1]DMRE 2017EB'!N27</f>
        <v>Oil Refineries</v>
      </c>
      <c r="C14" s="8">
        <f t="array" ref="C14">SUMPRODUCT('[1]DMRE 2017EB'!$Y$4:$AS$101*('[1]DMRE 2017EB'!$N$4:$N$101=$A14)*('[1]DMRE 2017EB'!$Y$2:$AS$2=C$4))</f>
        <v>0</v>
      </c>
      <c r="D14" s="8">
        <f t="array" ref="D14">SUMPRODUCT('[1]DMRE 2017EB'!$Y$4:$AS$101*('[1]DMRE 2017EB'!$N$4:$N$101=$A14)*('[1]DMRE 2017EB'!$Y$2:$AS$2=D$4))</f>
        <v>0</v>
      </c>
      <c r="E14" s="8">
        <f t="array" ref="E14">SUMPRODUCT('[1]DMRE 2017EB'!$Y$4:$AS$101*('[1]DMRE 2017EB'!$N$4:$N$101=$A14)*('[1]DMRE 2017EB'!$Y$2:$AS$2=E$4))</f>
        <v>0</v>
      </c>
      <c r="F14" s="8">
        <f t="array" ref="F14">SUMPRODUCT('[1]DMRE 2017EB'!$Y$4:$AS$101*('[1]DMRE 2017EB'!$N$4:$N$101=$A14)*('[1]DMRE 2017EB'!$Y$2:$AS$2=F$4))</f>
        <v>0</v>
      </c>
      <c r="G14" s="8">
        <f t="array" ref="G14">SUMPRODUCT('[1]DMRE 2017EB'!$Y$4:$AS$101*('[1]DMRE 2017EB'!$N$4:$N$101=$A14)*('[1]DMRE 2017EB'!$Y$2:$AS$2=G$4))</f>
        <v>0</v>
      </c>
      <c r="H14" s="8">
        <f t="array" ref="H14">SUMPRODUCT('[1]DMRE 2017EB'!$Y$4:$AS$101*('[1]DMRE 2017EB'!$N$4:$N$101=$A14)*('[1]DMRE 2017EB'!$Y$2:$AS$2=H$4))</f>
        <v>35803.75</v>
      </c>
      <c r="I14" s="8">
        <f t="array" ref="I14">SUMPRODUCT('[1]DMRE 2017EB'!$Y$4:$AS$101*('[1]DMRE 2017EB'!$N$4:$N$101=$A14)*('[1]DMRE 2017EB'!$Y$2:$AS$2=I$4))</f>
        <v>0</v>
      </c>
      <c r="J14" s="8" t="e">
        <f>SUMIF('[1]DMRE 2017EB'!$A$4:$A$80,gas!A14,'[1]DMRE 2017EB'!$E$4:$E$80)</f>
        <v>#VALUE!</v>
      </c>
      <c r="S14" s="2" t="s">
        <v>24</v>
      </c>
      <c r="U14" s="10">
        <f>-U6</f>
        <v>-25.570812499999999</v>
      </c>
      <c r="V14" s="2" t="s">
        <v>0</v>
      </c>
    </row>
    <row r="15" spans="1:28" ht="15.75" customHeight="1">
      <c r="A15" s="2" t="str">
        <f>'[1]DMRE 2017EB'!N28</f>
        <v>Liquefaction</v>
      </c>
      <c r="C15" s="8">
        <f t="array" ref="C15">SUMPRODUCT('[1]DMRE 2017EB'!$Y$4:$AS$101*('[1]DMRE 2017EB'!$N$4:$N$101=$A15)*('[1]DMRE 2017EB'!$Y$2:$AS$2=C$4))</f>
        <v>-88318.546875</v>
      </c>
      <c r="D15" s="8">
        <f t="array" ref="D15">SUMPRODUCT('[1]DMRE 2017EB'!$Y$4:$AS$101*('[1]DMRE 2017EB'!$N$4:$N$101=$A15)*('[1]DMRE 2017EB'!$Y$2:$AS$2=D$4))</f>
        <v>0</v>
      </c>
      <c r="E15" s="8">
        <f t="array" ref="E15">SUMPRODUCT('[1]DMRE 2017EB'!$Y$4:$AS$101*('[1]DMRE 2017EB'!$N$4:$N$101=$A15)*('[1]DMRE 2017EB'!$Y$2:$AS$2=E$4))</f>
        <v>0</v>
      </c>
      <c r="F15" s="8">
        <f t="array" ref="F15">SUMPRODUCT('[1]DMRE 2017EB'!$Y$4:$AS$101*('[1]DMRE 2017EB'!$N$4:$N$101=$A15)*('[1]DMRE 2017EB'!$Y$2:$AS$2=F$4))</f>
        <v>0</v>
      </c>
      <c r="G15" s="8">
        <f t="array" ref="G15">SUMPRODUCT('[1]DMRE 2017EB'!$Y$4:$AS$101*('[1]DMRE 2017EB'!$N$4:$N$101=$A15)*('[1]DMRE 2017EB'!$Y$2:$AS$2=G$4))</f>
        <v>0</v>
      </c>
      <c r="H15" s="8">
        <f t="array" ref="H15">SUMPRODUCT('[1]DMRE 2017EB'!$Y$4:$AS$101*('[1]DMRE 2017EB'!$N$4:$N$101=$A15)*('[1]DMRE 2017EB'!$Y$2:$AS$2=H$4))</f>
        <v>0</v>
      </c>
      <c r="I15" s="8">
        <f t="array" ref="I15">SUMPRODUCT('[1]DMRE 2017EB'!$Y$4:$AS$101*('[1]DMRE 2017EB'!$N$4:$N$101=$A15)*('[1]DMRE 2017EB'!$Y$2:$AS$2=I$4))</f>
        <v>0</v>
      </c>
      <c r="J15" s="8" t="e">
        <f>SUMIF('[1]DMRE 2017EB'!$A$4:$A$80,gas!A15,'[1]DMRE 2017EB'!$E$4:$E$80)</f>
        <v>#VALUE!</v>
      </c>
      <c r="S15" s="2" t="s">
        <v>25</v>
      </c>
      <c r="U15" s="10">
        <f>-N47</f>
        <v>-23.300217690909065</v>
      </c>
      <c r="V15" s="2" t="s">
        <v>26</v>
      </c>
    </row>
    <row r="16" spans="1:28" ht="15.75" customHeight="1">
      <c r="A16" s="15" t="str">
        <f>'[1]DMRE 2017EB'!N31</f>
        <v>Energy Sector</v>
      </c>
      <c r="B16" s="15"/>
      <c r="C16" s="16">
        <f t="array" ref="C16">SUMPRODUCT('[1]DMRE 2017EB'!$Y$4:$AS$101*('[1]DMRE 2017EB'!$N$4:$N$101=$A16)*('[1]DMRE 2017EB'!$Y$2:$AS$2=C$4))</f>
        <v>11436.4375</v>
      </c>
      <c r="D16" s="16">
        <f t="array" ref="D16">SUMPRODUCT('[1]DMRE 2017EB'!$Y$4:$AS$101*('[1]DMRE 2017EB'!$N$4:$N$101=$A16)*('[1]DMRE 2017EB'!$Y$2:$AS$2=D$4))</f>
        <v>1183.47900390625</v>
      </c>
      <c r="E16" s="16">
        <f t="array" ref="E16">SUMPRODUCT('[1]DMRE 2017EB'!$Y$4:$AS$101*('[1]DMRE 2017EB'!$N$4:$N$101=$A16)*('[1]DMRE 2017EB'!$Y$2:$AS$2=E$4))</f>
        <v>0</v>
      </c>
      <c r="F16" s="16">
        <f t="array" ref="F16">SUMPRODUCT('[1]DMRE 2017EB'!$Y$4:$AS$101*('[1]DMRE 2017EB'!$N$4:$N$101=$A16)*('[1]DMRE 2017EB'!$Y$2:$AS$2=F$4))</f>
        <v>0</v>
      </c>
      <c r="G16" s="16">
        <f t="array" ref="G16">SUMPRODUCT('[1]DMRE 2017EB'!$Y$4:$AS$101*('[1]DMRE 2017EB'!$N$4:$N$101=$A16)*('[1]DMRE 2017EB'!$Y$2:$AS$2=G$4))</f>
        <v>0</v>
      </c>
      <c r="H16" s="16">
        <f t="array" ref="H16">SUMPRODUCT('[1]DMRE 2017EB'!$Y$4:$AS$101*('[1]DMRE 2017EB'!$N$4:$N$101=$A16)*('[1]DMRE 2017EB'!$Y$2:$AS$2=H$4))</f>
        <v>0</v>
      </c>
      <c r="I16" s="16">
        <f t="array" ref="I16">SUMPRODUCT('[1]DMRE 2017EB'!$Y$4:$AS$101*('[1]DMRE 2017EB'!$N$4:$N$101=$A16)*('[1]DMRE 2017EB'!$Y$2:$AS$2=I$4))</f>
        <v>0</v>
      </c>
      <c r="J16" s="16" t="e">
        <f>SUMIF('[1]DMRE 2017EB'!$A$4:$A$80,gas!A16,'[1]DMRE 2017EB'!$E$4:$E$80)</f>
        <v>#VALUE!</v>
      </c>
      <c r="K16" s="15"/>
      <c r="R16" s="2" t="s">
        <v>27</v>
      </c>
      <c r="U16" s="20">
        <f>-33*1.055*D76/1000000</f>
        <v>-10.898592044999999</v>
      </c>
      <c r="V16" s="2" t="s">
        <v>28</v>
      </c>
      <c r="W16" s="2" t="s">
        <v>29</v>
      </c>
      <c r="X16" s="2" t="s">
        <v>30</v>
      </c>
    </row>
    <row r="17" spans="1:28" ht="15.75" customHeight="1">
      <c r="A17" s="2" t="str">
        <f>'[1]DMRE 2017EB'!N39</f>
        <v>Ownuse in Elec., CHP and Heat plant</v>
      </c>
      <c r="C17" s="8">
        <f t="array" ref="C17">SUMPRODUCT('[1]DMRE 2017EB'!$Y$4:$AS$101*('[1]DMRE 2017EB'!$N$4:$N$101=$A17)*('[1]DMRE 2017EB'!$Y$2:$AS$2=C$4))</f>
        <v>11436.4375</v>
      </c>
      <c r="D17" s="8">
        <f t="array" ref="D17">SUMPRODUCT('[1]DMRE 2017EB'!$Y$4:$AS$101*('[1]DMRE 2017EB'!$N$4:$N$101=$A17)*('[1]DMRE 2017EB'!$Y$2:$AS$2=D$4))</f>
        <v>1183.47900390625</v>
      </c>
      <c r="E17" s="8">
        <f t="array" ref="E17">SUMPRODUCT('[1]DMRE 2017EB'!$Y$4:$AS$101*('[1]DMRE 2017EB'!$N$4:$N$101=$A17)*('[1]DMRE 2017EB'!$Y$2:$AS$2=E$4))</f>
        <v>0</v>
      </c>
      <c r="F17" s="8">
        <f t="array" ref="F17">SUMPRODUCT('[1]DMRE 2017EB'!$Y$4:$AS$101*('[1]DMRE 2017EB'!$N$4:$N$101=$A17)*('[1]DMRE 2017EB'!$Y$2:$AS$2=F$4))</f>
        <v>0</v>
      </c>
      <c r="G17" s="8">
        <f t="array" ref="G17">SUMPRODUCT('[1]DMRE 2017EB'!$Y$4:$AS$101*('[1]DMRE 2017EB'!$N$4:$N$101=$A17)*('[1]DMRE 2017EB'!$Y$2:$AS$2=G$4))</f>
        <v>0</v>
      </c>
      <c r="H17" s="8">
        <f t="array" ref="H17">SUMPRODUCT('[1]DMRE 2017EB'!$Y$4:$AS$101*('[1]DMRE 2017EB'!$N$4:$N$101=$A17)*('[1]DMRE 2017EB'!$Y$2:$AS$2=H$4))</f>
        <v>0</v>
      </c>
      <c r="I17" s="8">
        <f t="array" ref="I17">SUMPRODUCT('[1]DMRE 2017EB'!$Y$4:$AS$101*('[1]DMRE 2017EB'!$N$4:$N$101=$A17)*('[1]DMRE 2017EB'!$Y$2:$AS$2=I$4))</f>
        <v>0</v>
      </c>
      <c r="J17" s="8" t="e">
        <f>SUMIF('[1]DMRE 2017EB'!$A$4:$A$80,gas!A17,'[1]DMRE 2017EB'!$E$4:$E$80)</f>
        <v>#VALUE!</v>
      </c>
      <c r="R17" s="3" t="s">
        <v>31</v>
      </c>
      <c r="S17" s="3"/>
      <c r="T17" s="19">
        <f>-C17/1000</f>
        <v>-11.4364375</v>
      </c>
      <c r="U17" s="9">
        <f>SUM(U18:U19)</f>
        <v>-25.53494730909091</v>
      </c>
    </row>
    <row r="18" spans="1:28" ht="15.75" customHeight="1">
      <c r="A18" s="11" t="str">
        <f>'[1]DMRE 2017EB'!N46</f>
        <v>Final Consumption</v>
      </c>
      <c r="B18" s="11"/>
      <c r="C18" s="12">
        <f t="array" ref="C18">SUMPRODUCT('[1]DMRE 2017EB'!$Y$4:$AS$101*('[1]DMRE 2017EB'!$N$4:$N$101=$A18)*('[1]DMRE 2017EB'!$Y$2:$AS$2=C$4))</f>
        <v>85693.523286819458</v>
      </c>
      <c r="D18" s="12">
        <f t="array" ref="D18">SUMPRODUCT('[1]DMRE 2017EB'!$Y$4:$AS$101*('[1]DMRE 2017EB'!$N$4:$N$101=$A18)*('[1]DMRE 2017EB'!$Y$2:$AS$2=D$4))</f>
        <v>23914.453944206238</v>
      </c>
      <c r="E18" s="12">
        <f t="array" ref="E18">SUMPRODUCT('[1]DMRE 2017EB'!$Y$4:$AS$101*('[1]DMRE 2017EB'!$N$4:$N$101=$A18)*('[1]DMRE 2017EB'!$Y$2:$AS$2=E$4))</f>
        <v>23257.001953125</v>
      </c>
      <c r="F18" s="12">
        <f t="array" ref="F18">SUMPRODUCT('[1]DMRE 2017EB'!$Y$4:$AS$101*('[1]DMRE 2017EB'!$N$4:$N$101=$A18)*('[1]DMRE 2017EB'!$Y$2:$AS$2=F$4))</f>
        <v>22961</v>
      </c>
      <c r="G18" s="12">
        <f t="array" ref="G18">SUMPRODUCT('[1]DMRE 2017EB'!$Y$4:$AS$101*('[1]DMRE 2017EB'!$N$4:$N$101=$A18)*('[1]DMRE 2017EB'!$Y$2:$AS$2=G$4))</f>
        <v>0</v>
      </c>
      <c r="H18" s="12">
        <f t="array" ref="H18">SUMPRODUCT('[1]DMRE 2017EB'!$Y$4:$AS$101*('[1]DMRE 2017EB'!$N$4:$N$101=$A18)*('[1]DMRE 2017EB'!$Y$2:$AS$2=H$4))</f>
        <v>0</v>
      </c>
      <c r="I18" s="12">
        <f t="array" ref="I18">SUMPRODUCT('[1]DMRE 2017EB'!$Y$4:$AS$101*('[1]DMRE 2017EB'!$N$4:$N$101=$A18)*('[1]DMRE 2017EB'!$Y$2:$AS$2=I$4))</f>
        <v>0</v>
      </c>
      <c r="J18" s="12" t="e">
        <f>SUMIF('[1]DMRE 2017EB'!$A$4:$A$80,gas!A18,'[1]DMRE 2017EB'!$E$4:$E$80)</f>
        <v>#VALUE!</v>
      </c>
      <c r="K18" s="11"/>
      <c r="S18" s="2" t="s">
        <v>32</v>
      </c>
      <c r="U18" s="10">
        <f t="shared" ref="U18:U19" si="3">-U59</f>
        <v>-19.17791290909091</v>
      </c>
      <c r="V18" s="2" t="s">
        <v>33</v>
      </c>
    </row>
    <row r="19" spans="1:28" ht="15.75" customHeight="1">
      <c r="A19" s="15" t="str">
        <f>'[1]DMRE 2017EB'!N48</f>
        <v>Industry Sector</v>
      </c>
      <c r="B19" s="15"/>
      <c r="C19" s="16">
        <f t="array" ref="C19">SUMPRODUCT('[1]DMRE 2017EB'!$Y$4:$AS$101*('[1]DMRE 2017EB'!$N$4:$N$101=$A19)*('[1]DMRE 2017EB'!$Y$2:$AS$2=C$4))</f>
        <v>84240.725633621216</v>
      </c>
      <c r="D19" s="16">
        <f t="array" ref="D19">SUMPRODUCT('[1]DMRE 2017EB'!$Y$4:$AS$101*('[1]DMRE 2017EB'!$N$4:$N$101=$A19)*('[1]DMRE 2017EB'!$Y$2:$AS$2=D$4))</f>
        <v>23914.453944206238</v>
      </c>
      <c r="E19" s="16">
        <f t="array" ref="E19">SUMPRODUCT('[1]DMRE 2017EB'!$Y$4:$AS$101*('[1]DMRE 2017EB'!$N$4:$N$101=$A19)*('[1]DMRE 2017EB'!$Y$2:$AS$2=E$4))</f>
        <v>23257.001953125</v>
      </c>
      <c r="F19" s="16">
        <f t="array" ref="F19">SUMPRODUCT('[1]DMRE 2017EB'!$Y$4:$AS$101*('[1]DMRE 2017EB'!$N$4:$N$101=$A19)*('[1]DMRE 2017EB'!$Y$2:$AS$2=F$4))</f>
        <v>22961</v>
      </c>
      <c r="G19" s="16">
        <f t="array" ref="G19">SUMPRODUCT('[1]DMRE 2017EB'!$Y$4:$AS$101*('[1]DMRE 2017EB'!$N$4:$N$101=$A19)*('[1]DMRE 2017EB'!$Y$2:$AS$2=G$4))</f>
        <v>0</v>
      </c>
      <c r="H19" s="16">
        <f t="array" ref="H19">SUMPRODUCT('[1]DMRE 2017EB'!$Y$4:$AS$101*('[1]DMRE 2017EB'!$N$4:$N$101=$A19)*('[1]DMRE 2017EB'!$Y$2:$AS$2=H$4))</f>
        <v>0</v>
      </c>
      <c r="I19" s="16">
        <f t="array" ref="I19">SUMPRODUCT('[1]DMRE 2017EB'!$Y$4:$AS$101*('[1]DMRE 2017EB'!$N$4:$N$101=$A19)*('[1]DMRE 2017EB'!$Y$2:$AS$2=I$4))</f>
        <v>0</v>
      </c>
      <c r="J19" s="16" t="e">
        <f>SUMIF('[1]DMRE 2017EB'!$A$4:$A$80,gas!A19,'[1]DMRE 2017EB'!$E$4:$E$80)</f>
        <v>#VALUE!</v>
      </c>
      <c r="K19" s="15"/>
      <c r="M19" s="21"/>
      <c r="N19" s="22" t="e">
        <f>SUM(J20:J32)</f>
        <v>#VALUE!</v>
      </c>
      <c r="S19" s="2" t="s">
        <v>34</v>
      </c>
      <c r="U19" s="10">
        <f t="shared" si="3"/>
        <v>-6.3570344000000008</v>
      </c>
      <c r="V19" s="2" t="s">
        <v>33</v>
      </c>
    </row>
    <row r="20" spans="1:28" ht="15.75" customHeight="1">
      <c r="A20" s="2" t="str">
        <f>'[1]DMRE 2017EB'!N49</f>
        <v>Iron and Steel</v>
      </c>
      <c r="C20" s="23">
        <f t="array" ref="C20">SUMPRODUCT('[1]DMRE 2017EB'!$Y$4:$AS$101*('[1]DMRE 2017EB'!$N$4:$N$101=$A20)*('[1]DMRE 2017EB'!$Y$2:$AS$2=C$4))</f>
        <v>9877.6650390625</v>
      </c>
      <c r="D20" s="23">
        <f t="array" ref="D20">SUMPRODUCT('[1]DMRE 2017EB'!$Y$4:$AS$101*('[1]DMRE 2017EB'!$N$4:$N$101=$A20)*('[1]DMRE 2017EB'!$Y$2:$AS$2=D$4))</f>
        <v>6049.716796875</v>
      </c>
      <c r="E20" s="23">
        <f t="array" ref="E20">SUMPRODUCT('[1]DMRE 2017EB'!$Y$4:$AS$101*('[1]DMRE 2017EB'!$N$4:$N$101=$A20)*('[1]DMRE 2017EB'!$Y$2:$AS$2=E$4))</f>
        <v>23257.001953125</v>
      </c>
      <c r="F20" s="23">
        <f t="array" ref="F20">SUMPRODUCT('[1]DMRE 2017EB'!$Y$4:$AS$101*('[1]DMRE 2017EB'!$N$4:$N$101=$A20)*('[1]DMRE 2017EB'!$Y$2:$AS$2=F$4))</f>
        <v>22961</v>
      </c>
      <c r="G20" s="8">
        <f t="array" ref="G20">SUMPRODUCT('[1]DMRE 2017EB'!$Y$4:$AS$101*('[1]DMRE 2017EB'!$N$4:$N$101=$A20)*('[1]DMRE 2017EB'!$Y$2:$AS$2=G$4))</f>
        <v>0</v>
      </c>
      <c r="H20" s="8">
        <f t="array" ref="H20">SUMPRODUCT('[1]DMRE 2017EB'!$Y$4:$AS$101*('[1]DMRE 2017EB'!$N$4:$N$101=$A20)*('[1]DMRE 2017EB'!$Y$2:$AS$2=H$4))</f>
        <v>0</v>
      </c>
      <c r="I20" s="8">
        <f t="array" ref="I20">SUMPRODUCT('[1]DMRE 2017EB'!$Y$4:$AS$101*('[1]DMRE 2017EB'!$N$4:$N$101=$A20)*('[1]DMRE 2017EB'!$Y$2:$AS$2=I$4))</f>
        <v>0</v>
      </c>
      <c r="J20" s="22" t="e">
        <f>SUMIF('[1]DMRE 2017EB'!$A$4:$A$80,gas!A20,'[1]DMRE 2017EB'!$E$4:$E$80)</f>
        <v>#VALUE!</v>
      </c>
      <c r="M20" s="21"/>
      <c r="R20" s="3" t="s">
        <v>35</v>
      </c>
      <c r="S20" s="3"/>
      <c r="T20" s="9">
        <f t="shared" ref="T20:U20" si="4">T21+T39</f>
        <v>109.6079772310257</v>
      </c>
      <c r="U20" s="19">
        <f t="shared" si="4"/>
        <v>87.494395955000016</v>
      </c>
      <c r="Y20" s="10"/>
      <c r="Z20" s="10"/>
      <c r="AA20" s="10"/>
      <c r="AB20" s="10"/>
    </row>
    <row r="21" spans="1:28" ht="15.75" customHeight="1">
      <c r="A21" s="2" t="str">
        <f>'[1]DMRE 2017EB'!N50</f>
        <v>Chemical and Petrochemical</v>
      </c>
      <c r="C21" s="23">
        <f t="array" ref="C21">SUMPRODUCT('[1]DMRE 2017EB'!$Y$4:$AS$101*('[1]DMRE 2017EB'!$N$4:$N$101=$A21)*('[1]DMRE 2017EB'!$Y$2:$AS$2=C$4))</f>
        <v>49995.85546875</v>
      </c>
      <c r="D21" s="23">
        <f t="array" ref="D21">SUMPRODUCT('[1]DMRE 2017EB'!$Y$4:$AS$101*('[1]DMRE 2017EB'!$N$4:$N$101=$A21)*('[1]DMRE 2017EB'!$Y$2:$AS$2=D$4))</f>
        <v>5246.56103515625</v>
      </c>
      <c r="E21" s="23">
        <f t="array" ref="E21">SUMPRODUCT('[1]DMRE 2017EB'!$Y$4:$AS$101*('[1]DMRE 2017EB'!$N$4:$N$101=$A21)*('[1]DMRE 2017EB'!$Y$2:$AS$2=E$4))</f>
        <v>0</v>
      </c>
      <c r="F21" s="23">
        <f t="array" ref="F21">SUMPRODUCT('[1]DMRE 2017EB'!$Y$4:$AS$101*('[1]DMRE 2017EB'!$N$4:$N$101=$A21)*('[1]DMRE 2017EB'!$Y$2:$AS$2=F$4))</f>
        <v>0</v>
      </c>
      <c r="G21" s="8">
        <f t="array" ref="G21">SUMPRODUCT('[1]DMRE 2017EB'!$Y$4:$AS$101*('[1]DMRE 2017EB'!$N$4:$N$101=$A21)*('[1]DMRE 2017EB'!$Y$2:$AS$2=G$4))</f>
        <v>0</v>
      </c>
      <c r="H21" s="8">
        <f t="array" ref="H21">SUMPRODUCT('[1]DMRE 2017EB'!$Y$4:$AS$101*('[1]DMRE 2017EB'!$N$4:$N$101=$A21)*('[1]DMRE 2017EB'!$Y$2:$AS$2=H$4))</f>
        <v>0</v>
      </c>
      <c r="I21" s="8">
        <f t="array" ref="I21">SUMPRODUCT('[1]DMRE 2017EB'!$Y$4:$AS$101*('[1]DMRE 2017EB'!$N$4:$N$101=$A21)*('[1]DMRE 2017EB'!$Y$2:$AS$2=I$4))</f>
        <v>0</v>
      </c>
      <c r="J21" s="22" t="e">
        <f>SUMIF('[1]DMRE 2017EB'!$A$4:$A$80,gas!A21,'[1]DMRE 2017EB'!$E$4:$E$80)</f>
        <v>#VALUE!</v>
      </c>
      <c r="M21" s="21"/>
      <c r="R21" s="3" t="s">
        <v>36</v>
      </c>
      <c r="S21" s="3"/>
      <c r="T21" s="9">
        <f t="shared" ref="T21:U21" si="5">T22+SUM(T27:T38)</f>
        <v>108.15517957782745</v>
      </c>
      <c r="U21" s="19">
        <f t="shared" si="5"/>
        <v>86.04159830180177</v>
      </c>
      <c r="X21" s="10"/>
      <c r="Y21" s="10"/>
      <c r="Z21" s="10"/>
      <c r="AA21" s="10"/>
      <c r="AB21" s="10"/>
    </row>
    <row r="22" spans="1:28" ht="15.75" customHeight="1">
      <c r="A22" s="2" t="str">
        <f>'[1]DMRE 2017EB'!N51</f>
        <v>Non-Ferrous Metals</v>
      </c>
      <c r="C22" s="23">
        <f t="array" ref="C22">SUMPRODUCT('[1]DMRE 2017EB'!$Y$4:$AS$101*('[1]DMRE 2017EB'!$N$4:$N$101=$A22)*('[1]DMRE 2017EB'!$Y$2:$AS$2=C$4))</f>
        <v>506.87100219726563</v>
      </c>
      <c r="D22" s="23">
        <f t="array" ref="D22">SUMPRODUCT('[1]DMRE 2017EB'!$Y$4:$AS$101*('[1]DMRE 2017EB'!$N$4:$N$101=$A22)*('[1]DMRE 2017EB'!$Y$2:$AS$2=D$4))</f>
        <v>1747.2359619140625</v>
      </c>
      <c r="E22" s="23">
        <f t="array" ref="E22">SUMPRODUCT('[1]DMRE 2017EB'!$Y$4:$AS$101*('[1]DMRE 2017EB'!$N$4:$N$101=$A22)*('[1]DMRE 2017EB'!$Y$2:$AS$2=E$4))</f>
        <v>0</v>
      </c>
      <c r="F22" s="23">
        <f t="array" ref="F22">SUMPRODUCT('[1]DMRE 2017EB'!$Y$4:$AS$101*('[1]DMRE 2017EB'!$N$4:$N$101=$A22)*('[1]DMRE 2017EB'!$Y$2:$AS$2=F$4))</f>
        <v>0</v>
      </c>
      <c r="G22" s="8">
        <f t="array" ref="G22">SUMPRODUCT('[1]DMRE 2017EB'!$Y$4:$AS$101*('[1]DMRE 2017EB'!$N$4:$N$101=$A22)*('[1]DMRE 2017EB'!$Y$2:$AS$2=G$4))</f>
        <v>0</v>
      </c>
      <c r="H22" s="8">
        <f t="array" ref="H22">SUMPRODUCT('[1]DMRE 2017EB'!$Y$4:$AS$101*('[1]DMRE 2017EB'!$N$4:$N$101=$A22)*('[1]DMRE 2017EB'!$Y$2:$AS$2=H$4))</f>
        <v>0</v>
      </c>
      <c r="I22" s="8">
        <f t="array" ref="I22">SUMPRODUCT('[1]DMRE 2017EB'!$Y$4:$AS$101*('[1]DMRE 2017EB'!$N$4:$N$101=$A22)*('[1]DMRE 2017EB'!$Y$2:$AS$2=I$4))</f>
        <v>0</v>
      </c>
      <c r="J22" s="22" t="e">
        <f>SUMIF('[1]DMRE 2017EB'!$A$4:$A$80,gas!A22,'[1]DMRE 2017EB'!$E$4:$E$80)</f>
        <v>#VALUE!</v>
      </c>
      <c r="M22" s="21"/>
      <c r="R22" s="3" t="s">
        <v>37</v>
      </c>
      <c r="S22" s="3"/>
      <c r="T22" s="9">
        <f>(C21+D21)/1000</f>
        <v>55.242416503906249</v>
      </c>
      <c r="U22" s="19">
        <f>SUM(U23:U26)</f>
        <v>33.128835227880558</v>
      </c>
      <c r="W22" s="10"/>
      <c r="X22" s="10"/>
      <c r="Y22" s="10"/>
      <c r="Z22" s="10"/>
      <c r="AA22" s="10"/>
      <c r="AB22" s="10"/>
    </row>
    <row r="23" spans="1:28" ht="15.75" customHeight="1">
      <c r="A23" s="2" t="str">
        <f>'[1]DMRE 2017EB'!N52</f>
        <v>Non-Metallic Minerals</v>
      </c>
      <c r="C23" s="23">
        <f t="array" ref="C23">SUMPRODUCT('[1]DMRE 2017EB'!$Y$4:$AS$101*('[1]DMRE 2017EB'!$N$4:$N$101=$A23)*('[1]DMRE 2017EB'!$Y$2:$AS$2=C$4))</f>
        <v>15122.775390625</v>
      </c>
      <c r="D23" s="23">
        <f t="array" ref="D23">SUMPRODUCT('[1]DMRE 2017EB'!$Y$4:$AS$101*('[1]DMRE 2017EB'!$N$4:$N$101=$A23)*('[1]DMRE 2017EB'!$Y$2:$AS$2=D$4))</f>
        <v>375.59799194335938</v>
      </c>
      <c r="E23" s="23">
        <f t="array" ref="E23">SUMPRODUCT('[1]DMRE 2017EB'!$Y$4:$AS$101*('[1]DMRE 2017EB'!$N$4:$N$101=$A23)*('[1]DMRE 2017EB'!$Y$2:$AS$2=E$4))</f>
        <v>0</v>
      </c>
      <c r="F23" s="23">
        <f t="array" ref="F23">SUMPRODUCT('[1]DMRE 2017EB'!$Y$4:$AS$101*('[1]DMRE 2017EB'!$N$4:$N$101=$A23)*('[1]DMRE 2017EB'!$Y$2:$AS$2=F$4))</f>
        <v>0</v>
      </c>
      <c r="G23" s="8">
        <f t="array" ref="G23">SUMPRODUCT('[1]DMRE 2017EB'!$Y$4:$AS$101*('[1]DMRE 2017EB'!$N$4:$N$101=$A23)*('[1]DMRE 2017EB'!$Y$2:$AS$2=G$4))</f>
        <v>0</v>
      </c>
      <c r="H23" s="8">
        <f t="array" ref="H23">SUMPRODUCT('[1]DMRE 2017EB'!$Y$4:$AS$101*('[1]DMRE 2017EB'!$N$4:$N$101=$A23)*('[1]DMRE 2017EB'!$Y$2:$AS$2=H$4))</f>
        <v>0</v>
      </c>
      <c r="I23" s="8">
        <f t="array" ref="I23">SUMPRODUCT('[1]DMRE 2017EB'!$Y$4:$AS$101*('[1]DMRE 2017EB'!$N$4:$N$101=$A23)*('[1]DMRE 2017EB'!$Y$2:$AS$2=I$4))</f>
        <v>0</v>
      </c>
      <c r="J23" s="22" t="e">
        <f>SUMIF('[1]DMRE 2017EB'!$A$4:$A$80,gas!A23,'[1]DMRE 2017EB'!$E$4:$E$80)</f>
        <v>#VALUE!</v>
      </c>
      <c r="M23" s="21"/>
      <c r="S23" s="2" t="s">
        <v>38</v>
      </c>
      <c r="T23" s="10"/>
      <c r="U23" s="24">
        <f>D68/1000000</f>
        <v>0.91098800000000002</v>
      </c>
      <c r="V23" s="2" t="s">
        <v>20</v>
      </c>
      <c r="W23" s="10" t="s">
        <v>29</v>
      </c>
      <c r="X23" s="10" t="s">
        <v>30</v>
      </c>
      <c r="Y23" s="10"/>
      <c r="Z23" s="10"/>
      <c r="AA23" s="10"/>
      <c r="AB23" s="10"/>
    </row>
    <row r="24" spans="1:28" ht="15.75" customHeight="1">
      <c r="A24" s="2" t="str">
        <f>'[1]DMRE 2017EB'!N53</f>
        <v>Transport Equipment</v>
      </c>
      <c r="C24" s="23">
        <f t="array" ref="C24">SUMPRODUCT('[1]DMRE 2017EB'!$Y$4:$AS$101*('[1]DMRE 2017EB'!$N$4:$N$101=$A24)*('[1]DMRE 2017EB'!$Y$2:$AS$2=C$4))</f>
        <v>654.31597900390625</v>
      </c>
      <c r="D24" s="23">
        <f t="array" ref="D24">SUMPRODUCT('[1]DMRE 2017EB'!$Y$4:$AS$101*('[1]DMRE 2017EB'!$N$4:$N$101=$A24)*('[1]DMRE 2017EB'!$Y$2:$AS$2=D$4))</f>
        <v>14.824000358581543</v>
      </c>
      <c r="E24" s="23">
        <f t="array" ref="E24">SUMPRODUCT('[1]DMRE 2017EB'!$Y$4:$AS$101*('[1]DMRE 2017EB'!$N$4:$N$101=$A24)*('[1]DMRE 2017EB'!$Y$2:$AS$2=E$4))</f>
        <v>0</v>
      </c>
      <c r="F24" s="23">
        <f t="array" ref="F24">SUMPRODUCT('[1]DMRE 2017EB'!$Y$4:$AS$101*('[1]DMRE 2017EB'!$N$4:$N$101=$A24)*('[1]DMRE 2017EB'!$Y$2:$AS$2=F$4))</f>
        <v>0</v>
      </c>
      <c r="G24" s="8">
        <f t="array" ref="G24">SUMPRODUCT('[1]DMRE 2017EB'!$Y$4:$AS$101*('[1]DMRE 2017EB'!$N$4:$N$101=$A24)*('[1]DMRE 2017EB'!$Y$2:$AS$2=G$4))</f>
        <v>0</v>
      </c>
      <c r="H24" s="8">
        <f t="array" ref="H24">SUMPRODUCT('[1]DMRE 2017EB'!$Y$4:$AS$101*('[1]DMRE 2017EB'!$N$4:$N$101=$A24)*('[1]DMRE 2017EB'!$Y$2:$AS$2=H$4))</f>
        <v>0</v>
      </c>
      <c r="I24" s="8">
        <f t="array" ref="I24">SUMPRODUCT('[1]DMRE 2017EB'!$Y$4:$AS$101*('[1]DMRE 2017EB'!$N$4:$N$101=$A24)*('[1]DMRE 2017EB'!$Y$2:$AS$2=I$4))</f>
        <v>0</v>
      </c>
      <c r="J24" s="22" t="e">
        <f>SUMIF('[1]DMRE 2017EB'!$A$4:$A$80,gas!A24,'[1]DMRE 2017EB'!$E$4:$E$80)</f>
        <v>#VALUE!</v>
      </c>
      <c r="M24" s="21"/>
      <c r="S24" s="2" t="s">
        <v>39</v>
      </c>
      <c r="T24" s="10"/>
      <c r="U24" s="10">
        <f>N38+U16</f>
        <v>26.659407954999999</v>
      </c>
      <c r="V24" s="2" t="s">
        <v>4</v>
      </c>
      <c r="W24" s="10" t="s">
        <v>29</v>
      </c>
      <c r="X24" s="10" t="s">
        <v>30</v>
      </c>
      <c r="Y24" s="10"/>
      <c r="Z24" s="10"/>
      <c r="AA24" s="10"/>
      <c r="AB24" s="10"/>
    </row>
    <row r="25" spans="1:28" ht="15.75" customHeight="1">
      <c r="A25" s="2" t="str">
        <f>'[1]DMRE 2017EB'!N54</f>
        <v>Machinery</v>
      </c>
      <c r="C25" s="23">
        <f t="array" ref="C25">SUMPRODUCT('[1]DMRE 2017EB'!$Y$4:$AS$101*('[1]DMRE 2017EB'!$N$4:$N$101=$A25)*('[1]DMRE 2017EB'!$Y$2:$AS$2=C$4))</f>
        <v>1054.633056640625</v>
      </c>
      <c r="D25" s="23">
        <f t="array" ref="D25">SUMPRODUCT('[1]DMRE 2017EB'!$Y$4:$AS$101*('[1]DMRE 2017EB'!$N$4:$N$101=$A25)*('[1]DMRE 2017EB'!$Y$2:$AS$2=D$4))</f>
        <v>358.18099975585938</v>
      </c>
      <c r="E25" s="23">
        <f t="array" ref="E25">SUMPRODUCT('[1]DMRE 2017EB'!$Y$4:$AS$101*('[1]DMRE 2017EB'!$N$4:$N$101=$A25)*('[1]DMRE 2017EB'!$Y$2:$AS$2=E$4))</f>
        <v>0</v>
      </c>
      <c r="F25" s="23">
        <f t="array" ref="F25">SUMPRODUCT('[1]DMRE 2017EB'!$Y$4:$AS$101*('[1]DMRE 2017EB'!$N$4:$N$101=$A25)*('[1]DMRE 2017EB'!$Y$2:$AS$2=F$4))</f>
        <v>0</v>
      </c>
      <c r="G25" s="8">
        <f t="array" ref="G25">SUMPRODUCT('[1]DMRE 2017EB'!$Y$4:$AS$101*('[1]DMRE 2017EB'!$N$4:$N$101=$A25)*('[1]DMRE 2017EB'!$Y$2:$AS$2=G$4))</f>
        <v>0</v>
      </c>
      <c r="H25" s="8">
        <f t="array" ref="H25">SUMPRODUCT('[1]DMRE 2017EB'!$Y$4:$AS$101*('[1]DMRE 2017EB'!$N$4:$N$101=$A25)*('[1]DMRE 2017EB'!$Y$2:$AS$2=H$4))</f>
        <v>0</v>
      </c>
      <c r="I25" s="8">
        <f t="array" ref="I25">SUMPRODUCT('[1]DMRE 2017EB'!$Y$4:$AS$101*('[1]DMRE 2017EB'!$N$4:$N$101=$A25)*('[1]DMRE 2017EB'!$Y$2:$AS$2=I$4))</f>
        <v>0</v>
      </c>
      <c r="J25" s="22" t="e">
        <f>SUMIF('[1]DMRE 2017EB'!$A$4:$A$80,gas!A25,'[1]DMRE 2017EB'!$E$4:$E$80)</f>
        <v>#VALUE!</v>
      </c>
      <c r="M25" s="21"/>
      <c r="S25" s="2" t="s">
        <v>40</v>
      </c>
      <c r="T25" s="10"/>
      <c r="U25" s="25">
        <f>(N40-U27-SUM(U28:U39))/2</f>
        <v>2.7792196364402777</v>
      </c>
      <c r="V25" s="2" t="s">
        <v>41</v>
      </c>
      <c r="W25" s="10" t="s">
        <v>29</v>
      </c>
      <c r="X25" s="10" t="s">
        <v>30</v>
      </c>
      <c r="Y25" s="10"/>
      <c r="Z25" s="10"/>
      <c r="AA25" s="10"/>
      <c r="AB25" s="10"/>
    </row>
    <row r="26" spans="1:28" ht="15.75" customHeight="1">
      <c r="A26" s="2" t="str">
        <f>'[1]DMRE 2017EB'!N55</f>
        <v>Mining and Quarrying</v>
      </c>
      <c r="C26" s="23">
        <f t="array" ref="C26">SUMPRODUCT('[1]DMRE 2017EB'!$Y$4:$AS$101*('[1]DMRE 2017EB'!$N$4:$N$101=$A26)*('[1]DMRE 2017EB'!$Y$2:$AS$2=C$4))</f>
        <v>0</v>
      </c>
      <c r="D26" s="23">
        <f t="array" ref="D26">SUMPRODUCT('[1]DMRE 2017EB'!$Y$4:$AS$101*('[1]DMRE 2017EB'!$N$4:$N$101=$A26)*('[1]DMRE 2017EB'!$Y$2:$AS$2=D$4))</f>
        <v>1001.4639892578125</v>
      </c>
      <c r="E26" s="23">
        <f t="array" ref="E26">SUMPRODUCT('[1]DMRE 2017EB'!$Y$4:$AS$101*('[1]DMRE 2017EB'!$N$4:$N$101=$A26)*('[1]DMRE 2017EB'!$Y$2:$AS$2=E$4))</f>
        <v>0</v>
      </c>
      <c r="F26" s="23">
        <f t="array" ref="F26">SUMPRODUCT('[1]DMRE 2017EB'!$Y$4:$AS$101*('[1]DMRE 2017EB'!$N$4:$N$101=$A26)*('[1]DMRE 2017EB'!$Y$2:$AS$2=F$4))</f>
        <v>0</v>
      </c>
      <c r="G26" s="8">
        <f t="array" ref="G26">SUMPRODUCT('[1]DMRE 2017EB'!$Y$4:$AS$101*('[1]DMRE 2017EB'!$N$4:$N$101=$A26)*('[1]DMRE 2017EB'!$Y$2:$AS$2=G$4))</f>
        <v>0</v>
      </c>
      <c r="H26" s="8">
        <f t="array" ref="H26">SUMPRODUCT('[1]DMRE 2017EB'!$Y$4:$AS$101*('[1]DMRE 2017EB'!$N$4:$N$101=$A26)*('[1]DMRE 2017EB'!$Y$2:$AS$2=H$4))</f>
        <v>0</v>
      </c>
      <c r="I26" s="8">
        <f t="array" ref="I26">SUMPRODUCT('[1]DMRE 2017EB'!$Y$4:$AS$101*('[1]DMRE 2017EB'!$N$4:$N$101=$A26)*('[1]DMRE 2017EB'!$Y$2:$AS$2=I$4))</f>
        <v>0</v>
      </c>
      <c r="J26" s="22" t="e">
        <f>SUMIF('[1]DMRE 2017EB'!$A$4:$A$80,gas!A26,'[1]DMRE 2017EB'!$E$4:$E$80)</f>
        <v>#VALUE!</v>
      </c>
      <c r="M26" s="21"/>
      <c r="S26" s="2" t="s">
        <v>42</v>
      </c>
      <c r="T26" s="10"/>
      <c r="U26" s="25">
        <f>U25</f>
        <v>2.7792196364402777</v>
      </c>
      <c r="V26" s="2" t="s">
        <v>41</v>
      </c>
      <c r="W26" s="10" t="s">
        <v>29</v>
      </c>
      <c r="X26" s="10" t="s">
        <v>30</v>
      </c>
      <c r="Y26" s="10"/>
      <c r="Z26" s="10"/>
      <c r="AA26" s="10"/>
      <c r="AB26" s="10"/>
    </row>
    <row r="27" spans="1:28" ht="15.75" customHeight="1">
      <c r="A27" s="2" t="str">
        <f>'[1]DMRE 2017EB'!N56</f>
        <v>Food and Tobacco</v>
      </c>
      <c r="C27" s="23">
        <f t="array" ref="C27">SUMPRODUCT('[1]DMRE 2017EB'!$Y$4:$AS$101*('[1]DMRE 2017EB'!$N$4:$N$101=$A27)*('[1]DMRE 2017EB'!$Y$2:$AS$2=C$4))</f>
        <v>3824.499755859375</v>
      </c>
      <c r="D27" s="23">
        <f t="array" ref="D27">SUMPRODUCT('[1]DMRE 2017EB'!$Y$4:$AS$101*('[1]DMRE 2017EB'!$N$4:$N$101=$A27)*('[1]DMRE 2017EB'!$Y$2:$AS$2=D$4))</f>
        <v>3541.3291015625</v>
      </c>
      <c r="E27" s="23">
        <f t="array" ref="E27">SUMPRODUCT('[1]DMRE 2017EB'!$Y$4:$AS$101*('[1]DMRE 2017EB'!$N$4:$N$101=$A27)*('[1]DMRE 2017EB'!$Y$2:$AS$2=E$4))</f>
        <v>0</v>
      </c>
      <c r="F27" s="23">
        <f t="array" ref="F27">SUMPRODUCT('[1]DMRE 2017EB'!$Y$4:$AS$101*('[1]DMRE 2017EB'!$N$4:$N$101=$A27)*('[1]DMRE 2017EB'!$Y$2:$AS$2=F$4))</f>
        <v>0</v>
      </c>
      <c r="G27" s="8">
        <f t="array" ref="G27">SUMPRODUCT('[1]DMRE 2017EB'!$Y$4:$AS$101*('[1]DMRE 2017EB'!$N$4:$N$101=$A27)*('[1]DMRE 2017EB'!$Y$2:$AS$2=G$4))</f>
        <v>0</v>
      </c>
      <c r="H27" s="8">
        <f t="array" ref="H27">SUMPRODUCT('[1]DMRE 2017EB'!$Y$4:$AS$101*('[1]DMRE 2017EB'!$N$4:$N$101=$A27)*('[1]DMRE 2017EB'!$Y$2:$AS$2=H$4))</f>
        <v>0</v>
      </c>
      <c r="I27" s="8">
        <f t="array" ref="I27">SUMPRODUCT('[1]DMRE 2017EB'!$Y$4:$AS$101*('[1]DMRE 2017EB'!$N$4:$N$101=$A27)*('[1]DMRE 2017EB'!$Y$2:$AS$2=I$4))</f>
        <v>0</v>
      </c>
      <c r="J27" s="22" t="e">
        <f>SUMIF('[1]DMRE 2017EB'!$A$4:$A$80,gas!A27,'[1]DMRE 2017EB'!$E$4:$E$80)</f>
        <v>#VALUE!</v>
      </c>
      <c r="L27" s="26" t="s">
        <v>43</v>
      </c>
      <c r="M27" s="4"/>
      <c r="N27" s="4"/>
      <c r="R27" s="2" t="str">
        <f>A20</f>
        <v>Iron and Steel</v>
      </c>
      <c r="T27" s="10">
        <f t="shared" ref="T27:T38" si="6">U27</f>
        <v>15.927381835937499</v>
      </c>
      <c r="U27" s="24">
        <f>(C20+D20)/1000</f>
        <v>15.927381835937499</v>
      </c>
      <c r="V27" s="2" t="s">
        <v>0</v>
      </c>
      <c r="W27" s="10"/>
      <c r="X27" s="10"/>
      <c r="Y27" s="10"/>
      <c r="Z27" s="10"/>
      <c r="AA27" s="10"/>
      <c r="AB27" s="10"/>
    </row>
    <row r="28" spans="1:28" ht="15.75" customHeight="1">
      <c r="A28" s="2" t="str">
        <f>'[1]DMRE 2017EB'!N57</f>
        <v>Paper Pulp and Print</v>
      </c>
      <c r="C28" s="23">
        <f t="array" ref="C28">SUMPRODUCT('[1]DMRE 2017EB'!$Y$4:$AS$101*('[1]DMRE 2017EB'!$N$4:$N$101=$A28)*('[1]DMRE 2017EB'!$Y$2:$AS$2=C$4))</f>
        <v>624.001708984375</v>
      </c>
      <c r="D28" s="23">
        <f t="array" ref="D28">SUMPRODUCT('[1]DMRE 2017EB'!$Y$4:$AS$101*('[1]DMRE 2017EB'!$N$4:$N$101=$A28)*('[1]DMRE 2017EB'!$Y$2:$AS$2=D$4))</f>
        <v>3541.3291015625</v>
      </c>
      <c r="E28" s="23">
        <f t="array" ref="E28">SUMPRODUCT('[1]DMRE 2017EB'!$Y$4:$AS$101*('[1]DMRE 2017EB'!$N$4:$N$101=$A28)*('[1]DMRE 2017EB'!$Y$2:$AS$2=E$4))</f>
        <v>0</v>
      </c>
      <c r="F28" s="23">
        <f t="array" ref="F28">SUMPRODUCT('[1]DMRE 2017EB'!$Y$4:$AS$101*('[1]DMRE 2017EB'!$N$4:$N$101=$A28)*('[1]DMRE 2017EB'!$Y$2:$AS$2=F$4))</f>
        <v>0</v>
      </c>
      <c r="G28" s="8">
        <f t="array" ref="G28">SUMPRODUCT('[1]DMRE 2017EB'!$Y$4:$AS$101*('[1]DMRE 2017EB'!$N$4:$N$101=$A28)*('[1]DMRE 2017EB'!$Y$2:$AS$2=G$4))</f>
        <v>0</v>
      </c>
      <c r="H28" s="8">
        <f t="array" ref="H28">SUMPRODUCT('[1]DMRE 2017EB'!$Y$4:$AS$101*('[1]DMRE 2017EB'!$N$4:$N$101=$A28)*('[1]DMRE 2017EB'!$Y$2:$AS$2=H$4))</f>
        <v>0</v>
      </c>
      <c r="I28" s="8">
        <f t="array" ref="I28">SUMPRODUCT('[1]DMRE 2017EB'!$Y$4:$AS$101*('[1]DMRE 2017EB'!$N$4:$N$101=$A28)*('[1]DMRE 2017EB'!$Y$2:$AS$2=I$4))</f>
        <v>0</v>
      </c>
      <c r="J28" s="22" t="e">
        <f>SUMIF('[1]DMRE 2017EB'!$A$4:$A$80,gas!A28,'[1]DMRE 2017EB'!$E$4:$E$80)</f>
        <v>#VALUE!</v>
      </c>
      <c r="L28" s="4"/>
      <c r="M28" s="4" t="s">
        <v>44</v>
      </c>
      <c r="N28" s="4" t="s">
        <v>45</v>
      </c>
      <c r="R28" s="2" t="str">
        <f t="shared" ref="R28:R38" si="7">A22</f>
        <v>Non-Ferrous Metals</v>
      </c>
      <c r="T28" s="10">
        <f t="shared" si="6"/>
        <v>2.2541069641113283</v>
      </c>
      <c r="U28" s="24">
        <f t="shared" ref="U28:U38" si="8">(C22+D22)/1000</f>
        <v>2.2541069641113283</v>
      </c>
      <c r="V28" s="2" t="s">
        <v>0</v>
      </c>
      <c r="W28" s="10"/>
      <c r="X28" s="10"/>
      <c r="Y28" s="10"/>
      <c r="Z28" s="10"/>
      <c r="AA28" s="10"/>
      <c r="AB28" s="10"/>
    </row>
    <row r="29" spans="1:28" ht="15.75" customHeight="1">
      <c r="A29" s="2" t="str">
        <f>'[1]DMRE 2017EB'!N58</f>
        <v>Wood and Wood Products</v>
      </c>
      <c r="C29" s="8">
        <f t="array" ref="C29">SUMPRODUCT('[1]DMRE 2017EB'!$Y$4:$AS$101*('[1]DMRE 2017EB'!$N$4:$N$101=$A29)*('[1]DMRE 2017EB'!$Y$2:$AS$2=C$4))</f>
        <v>0</v>
      </c>
      <c r="D29" s="8">
        <f t="array" ref="D29">SUMPRODUCT('[1]DMRE 2017EB'!$Y$4:$AS$101*('[1]DMRE 2017EB'!$N$4:$N$101=$A29)*('[1]DMRE 2017EB'!$Y$2:$AS$2=D$4))</f>
        <v>0</v>
      </c>
      <c r="E29" s="8">
        <f t="array" ref="E29">SUMPRODUCT('[1]DMRE 2017EB'!$Y$4:$AS$101*('[1]DMRE 2017EB'!$N$4:$N$101=$A29)*('[1]DMRE 2017EB'!$Y$2:$AS$2=E$4))</f>
        <v>0</v>
      </c>
      <c r="F29" s="8">
        <f t="array" ref="F29">SUMPRODUCT('[1]DMRE 2017EB'!$Y$4:$AS$101*('[1]DMRE 2017EB'!$N$4:$N$101=$A29)*('[1]DMRE 2017EB'!$Y$2:$AS$2=F$4))</f>
        <v>0</v>
      </c>
      <c r="G29" s="8">
        <f t="array" ref="G29">SUMPRODUCT('[1]DMRE 2017EB'!$Y$4:$AS$101*('[1]DMRE 2017EB'!$N$4:$N$101=$A29)*('[1]DMRE 2017EB'!$Y$2:$AS$2=G$4))</f>
        <v>0</v>
      </c>
      <c r="H29" s="8">
        <f t="array" ref="H29">SUMPRODUCT('[1]DMRE 2017EB'!$Y$4:$AS$101*('[1]DMRE 2017EB'!$N$4:$N$101=$A29)*('[1]DMRE 2017EB'!$Y$2:$AS$2=H$4))</f>
        <v>0</v>
      </c>
      <c r="I29" s="8">
        <f t="array" ref="I29">SUMPRODUCT('[1]DMRE 2017EB'!$Y$4:$AS$101*('[1]DMRE 2017EB'!$N$4:$N$101=$A29)*('[1]DMRE 2017EB'!$Y$2:$AS$2=I$4))</f>
        <v>0</v>
      </c>
      <c r="J29" s="22" t="e">
        <f>SUMIF('[1]DMRE 2017EB'!$A$4:$A$80,gas!A29,'[1]DMRE 2017EB'!$E$4:$E$80)</f>
        <v>#VALUE!</v>
      </c>
      <c r="L29" s="2" t="s">
        <v>46</v>
      </c>
      <c r="M29" s="2">
        <v>166.6</v>
      </c>
      <c r="N29" s="2">
        <f>M29*1.055</f>
        <v>175.76299999999998</v>
      </c>
      <c r="R29" s="2" t="str">
        <f t="shared" si="7"/>
        <v>Non-Metallic Minerals</v>
      </c>
      <c r="T29" s="10">
        <f t="shared" si="6"/>
        <v>15.49837338256836</v>
      </c>
      <c r="U29" s="24">
        <f t="shared" si="8"/>
        <v>15.49837338256836</v>
      </c>
      <c r="V29" s="2" t="s">
        <v>0</v>
      </c>
      <c r="W29" s="10"/>
      <c r="X29" s="10"/>
      <c r="Y29" s="9"/>
      <c r="Z29" s="9"/>
      <c r="AA29" s="9"/>
      <c r="AB29" s="9"/>
    </row>
    <row r="30" spans="1:28" ht="15.75" customHeight="1">
      <c r="A30" s="2" t="str">
        <f>'[1]DMRE 2017EB'!N59</f>
        <v>Construction</v>
      </c>
      <c r="C30" s="8">
        <f t="array" ref="C30">SUMPRODUCT('[1]DMRE 2017EB'!$Y$4:$AS$101*('[1]DMRE 2017EB'!$N$4:$N$101=$A30)*('[1]DMRE 2017EB'!$Y$2:$AS$2=C$4))</f>
        <v>0</v>
      </c>
      <c r="D30" s="8">
        <f t="array" ref="D30">SUMPRODUCT('[1]DMRE 2017EB'!$Y$4:$AS$101*('[1]DMRE 2017EB'!$N$4:$N$101=$A30)*('[1]DMRE 2017EB'!$Y$2:$AS$2=D$4))</f>
        <v>0</v>
      </c>
      <c r="E30" s="8">
        <f t="array" ref="E30">SUMPRODUCT('[1]DMRE 2017EB'!$Y$4:$AS$101*('[1]DMRE 2017EB'!$N$4:$N$101=$A30)*('[1]DMRE 2017EB'!$Y$2:$AS$2=E$4))</f>
        <v>0</v>
      </c>
      <c r="F30" s="8">
        <f t="array" ref="F30">SUMPRODUCT('[1]DMRE 2017EB'!$Y$4:$AS$101*('[1]DMRE 2017EB'!$N$4:$N$101=$A30)*('[1]DMRE 2017EB'!$Y$2:$AS$2=F$4))</f>
        <v>0</v>
      </c>
      <c r="G30" s="8">
        <f t="array" ref="G30">SUMPRODUCT('[1]DMRE 2017EB'!$Y$4:$AS$101*('[1]DMRE 2017EB'!$N$4:$N$101=$A30)*('[1]DMRE 2017EB'!$Y$2:$AS$2=G$4))</f>
        <v>0</v>
      </c>
      <c r="H30" s="8">
        <f t="array" ref="H30">SUMPRODUCT('[1]DMRE 2017EB'!$Y$4:$AS$101*('[1]DMRE 2017EB'!$N$4:$N$101=$A30)*('[1]DMRE 2017EB'!$Y$2:$AS$2=H$4))</f>
        <v>0</v>
      </c>
      <c r="I30" s="8">
        <f t="array" ref="I30">SUMPRODUCT('[1]DMRE 2017EB'!$Y$4:$AS$101*('[1]DMRE 2017EB'!$N$4:$N$101=$A30)*('[1]DMRE 2017EB'!$Y$2:$AS$2=I$4))</f>
        <v>0</v>
      </c>
      <c r="J30" s="22" t="e">
        <f>SUMIF('[1]DMRE 2017EB'!$A$4:$A$80,gas!A30,'[1]DMRE 2017EB'!$E$4:$E$80)</f>
        <v>#VALUE!</v>
      </c>
      <c r="L30" s="2" t="s">
        <v>47</v>
      </c>
      <c r="M30" s="2">
        <v>23.2</v>
      </c>
      <c r="N30" s="2">
        <f t="shared" ref="N30" si="9">M30*1.055</f>
        <v>24.475999999999999</v>
      </c>
      <c r="R30" s="2" t="str">
        <f t="shared" si="7"/>
        <v>Transport Equipment</v>
      </c>
      <c r="T30" s="10">
        <f t="shared" si="6"/>
        <v>0.66913997936248781</v>
      </c>
      <c r="U30" s="24">
        <f t="shared" si="8"/>
        <v>0.66913997936248781</v>
      </c>
      <c r="V30" s="2" t="s">
        <v>0</v>
      </c>
      <c r="W30" s="10"/>
      <c r="X30" s="9"/>
    </row>
    <row r="31" spans="1:28" ht="15.75" customHeight="1">
      <c r="A31" s="2" t="str">
        <f>'[1]DMRE 2017EB'!N60</f>
        <v>Textile and Leather</v>
      </c>
      <c r="C31" s="8">
        <f t="array" ref="C31">SUMPRODUCT('[1]DMRE 2017EB'!$Y$4:$AS$101*('[1]DMRE 2017EB'!$N$4:$N$101=$A31)*('[1]DMRE 2017EB'!$Y$2:$AS$2=C$4))</f>
        <v>14.420000076293945</v>
      </c>
      <c r="D31" s="8">
        <f t="array" ref="D31">SUMPRODUCT('[1]DMRE 2017EB'!$Y$4:$AS$101*('[1]DMRE 2017EB'!$N$4:$N$101=$A31)*('[1]DMRE 2017EB'!$Y$2:$AS$2=D$4))</f>
        <v>0</v>
      </c>
      <c r="E31" s="8">
        <f t="array" ref="E31">SUMPRODUCT('[1]DMRE 2017EB'!$Y$4:$AS$101*('[1]DMRE 2017EB'!$N$4:$N$101=$A31)*('[1]DMRE 2017EB'!$Y$2:$AS$2=E$4))</f>
        <v>0</v>
      </c>
      <c r="F31" s="8">
        <f t="array" ref="F31">SUMPRODUCT('[1]DMRE 2017EB'!$Y$4:$AS$101*('[1]DMRE 2017EB'!$N$4:$N$101=$A31)*('[1]DMRE 2017EB'!$Y$2:$AS$2=F$4))</f>
        <v>0</v>
      </c>
      <c r="G31" s="8">
        <f t="array" ref="G31">SUMPRODUCT('[1]DMRE 2017EB'!$Y$4:$AS$101*('[1]DMRE 2017EB'!$N$4:$N$101=$A31)*('[1]DMRE 2017EB'!$Y$2:$AS$2=G$4))</f>
        <v>0</v>
      </c>
      <c r="H31" s="8">
        <f t="array" ref="H31">SUMPRODUCT('[1]DMRE 2017EB'!$Y$4:$AS$101*('[1]DMRE 2017EB'!$N$4:$N$101=$A31)*('[1]DMRE 2017EB'!$Y$2:$AS$2=H$4))</f>
        <v>0</v>
      </c>
      <c r="I31" s="8">
        <f t="array" ref="I31">SUMPRODUCT('[1]DMRE 2017EB'!$Y$4:$AS$101*('[1]DMRE 2017EB'!$N$4:$N$101=$A31)*('[1]DMRE 2017EB'!$Y$2:$AS$2=I$4))</f>
        <v>0</v>
      </c>
      <c r="J31" s="22" t="e">
        <f>SUMIF('[1]DMRE 2017EB'!$A$4:$A$80,gas!A31,'[1]DMRE 2017EB'!$E$4:$E$80)</f>
        <v>#VALUE!</v>
      </c>
      <c r="R31" s="2" t="str">
        <f t="shared" si="7"/>
        <v>Machinery</v>
      </c>
      <c r="T31" s="10">
        <f t="shared" si="6"/>
        <v>1.4128140563964844</v>
      </c>
      <c r="U31" s="24">
        <f t="shared" si="8"/>
        <v>1.4128140563964844</v>
      </c>
      <c r="V31" s="2" t="s">
        <v>0</v>
      </c>
      <c r="W31" s="9"/>
      <c r="Y31" s="3"/>
      <c r="Z31" s="3"/>
      <c r="AA31" s="3"/>
      <c r="AB31" s="3"/>
    </row>
    <row r="32" spans="1:28" ht="15.75" customHeight="1">
      <c r="A32" s="2" t="str">
        <f>'[1]DMRE 2017EB'!N61</f>
        <v>Non-specified (Industry)</v>
      </c>
      <c r="C32" s="8">
        <f t="array" ref="C32">SUMPRODUCT('[1]DMRE 2017EB'!$Y$4:$AS$101*('[1]DMRE 2017EB'!$N$4:$N$101=$A32)*('[1]DMRE 2017EB'!$Y$2:$AS$2=C$4))</f>
        <v>2565.688232421875</v>
      </c>
      <c r="D32" s="8">
        <f t="array" ref="D32">SUMPRODUCT('[1]DMRE 2017EB'!$Y$4:$AS$101*('[1]DMRE 2017EB'!$N$4:$N$101=$A32)*('[1]DMRE 2017EB'!$Y$2:$AS$2=D$4))</f>
        <v>2038.2149658203125</v>
      </c>
      <c r="E32" s="8">
        <f t="array" ref="E32">SUMPRODUCT('[1]DMRE 2017EB'!$Y$4:$AS$101*('[1]DMRE 2017EB'!$N$4:$N$101=$A32)*('[1]DMRE 2017EB'!$Y$2:$AS$2=E$4))</f>
        <v>0</v>
      </c>
      <c r="F32" s="8">
        <f t="array" ref="F32">SUMPRODUCT('[1]DMRE 2017EB'!$Y$4:$AS$101*('[1]DMRE 2017EB'!$N$4:$N$101=$A32)*('[1]DMRE 2017EB'!$Y$2:$AS$2=F$4))</f>
        <v>0</v>
      </c>
      <c r="G32" s="8">
        <f t="array" ref="G32">SUMPRODUCT('[1]DMRE 2017EB'!$Y$4:$AS$101*('[1]DMRE 2017EB'!$N$4:$N$101=$A32)*('[1]DMRE 2017EB'!$Y$2:$AS$2=G$4))</f>
        <v>0</v>
      </c>
      <c r="H32" s="8">
        <f t="array" ref="H32">SUMPRODUCT('[1]DMRE 2017EB'!$Y$4:$AS$101*('[1]DMRE 2017EB'!$N$4:$N$101=$A32)*('[1]DMRE 2017EB'!$Y$2:$AS$2=H$4))</f>
        <v>0</v>
      </c>
      <c r="I32" s="8">
        <f t="array" ref="I32">SUMPRODUCT('[1]DMRE 2017EB'!$Y$4:$AS$101*('[1]DMRE 2017EB'!$N$4:$N$101=$A32)*('[1]DMRE 2017EB'!$Y$2:$AS$2=I$4))</f>
        <v>0</v>
      </c>
      <c r="J32" s="22" t="e">
        <f>SUMIF('[1]DMRE 2017EB'!$A$4:$A$80,gas!A32,'[1]DMRE 2017EB'!$E$4:$E$80)</f>
        <v>#VALUE!</v>
      </c>
      <c r="L32" s="2" t="s">
        <v>48</v>
      </c>
      <c r="M32" s="2">
        <f>M29-M30</f>
        <v>143.4</v>
      </c>
      <c r="N32" s="2">
        <f>M32*1.055</f>
        <v>151.28700000000001</v>
      </c>
      <c r="R32" s="2" t="str">
        <f t="shared" si="7"/>
        <v>Mining and Quarrying</v>
      </c>
      <c r="T32" s="10">
        <f t="shared" si="6"/>
        <v>1.0014639892578125</v>
      </c>
      <c r="U32" s="24">
        <f t="shared" si="8"/>
        <v>1.0014639892578125</v>
      </c>
      <c r="V32" s="2" t="s">
        <v>0</v>
      </c>
      <c r="X32" s="3"/>
      <c r="Y32" s="24"/>
      <c r="Z32" s="24"/>
      <c r="AA32" s="24"/>
      <c r="AB32" s="24"/>
    </row>
    <row r="33" spans="1:32" ht="15.75" customHeight="1">
      <c r="A33" s="15" t="str">
        <f>'[1]DMRE 2017EB'!N72</f>
        <v>Other Sectors</v>
      </c>
      <c r="B33" s="15"/>
      <c r="C33" s="16">
        <f t="array" ref="C33">SUMPRODUCT('[1]DMRE 2017EB'!$Y$4:$AS$101*('[1]DMRE 2017EB'!$N$4:$N$101=$A33)*('[1]DMRE 2017EB'!$Y$2:$AS$2=C$4))</f>
        <v>1452.7976531982422</v>
      </c>
      <c r="D33" s="16">
        <f t="array" ref="D33">SUMPRODUCT('[1]DMRE 2017EB'!$Y$4:$AS$101*('[1]DMRE 2017EB'!$N$4:$N$101=$A33)*('[1]DMRE 2017EB'!$Y$2:$AS$2=D$4))</f>
        <v>0</v>
      </c>
      <c r="E33" s="16">
        <f t="array" ref="E33">SUMPRODUCT('[1]DMRE 2017EB'!$Y$4:$AS$101*('[1]DMRE 2017EB'!$N$4:$N$101=$A33)*('[1]DMRE 2017EB'!$Y$2:$AS$2=E$4))</f>
        <v>0</v>
      </c>
      <c r="F33" s="16">
        <f t="array" ref="F33">SUMPRODUCT('[1]DMRE 2017EB'!$Y$4:$AS$101*('[1]DMRE 2017EB'!$N$4:$N$101=$A33)*('[1]DMRE 2017EB'!$Y$2:$AS$2=F$4))</f>
        <v>0</v>
      </c>
      <c r="G33" s="16">
        <f t="array" ref="G33">SUMPRODUCT('[1]DMRE 2017EB'!$Y$4:$AS$101*('[1]DMRE 2017EB'!$N$4:$N$101=$A33)*('[1]DMRE 2017EB'!$Y$2:$AS$2=G$4))</f>
        <v>0</v>
      </c>
      <c r="H33" s="16">
        <f t="array" ref="H33">SUMPRODUCT('[1]DMRE 2017EB'!$Y$4:$AS$101*('[1]DMRE 2017EB'!$N$4:$N$101=$A33)*('[1]DMRE 2017EB'!$Y$2:$AS$2=H$4))</f>
        <v>0</v>
      </c>
      <c r="I33" s="16">
        <f t="array" ref="I33">SUMPRODUCT('[1]DMRE 2017EB'!$Y$4:$AS$101*('[1]DMRE 2017EB'!$N$4:$N$101=$A33)*('[1]DMRE 2017EB'!$Y$2:$AS$2=I$4))</f>
        <v>0</v>
      </c>
      <c r="J33" s="16" t="e">
        <f>SUMIF('[1]DMRE 2017EB'!$A$4:$A$80,gas!A33,'[1]DMRE 2017EB'!$E$4:$E$80)</f>
        <v>#VALUE!</v>
      </c>
      <c r="K33" s="15"/>
      <c r="L33" s="2" t="s">
        <v>49</v>
      </c>
      <c r="M33" s="2">
        <v>23.3</v>
      </c>
      <c r="N33" s="2">
        <f t="shared" ref="N33" si="10">M33*1.055</f>
        <v>24.581499999999998</v>
      </c>
      <c r="R33" s="2" t="str">
        <f t="shared" si="7"/>
        <v>Food and Tobacco</v>
      </c>
      <c r="T33" s="10">
        <f t="shared" si="6"/>
        <v>7.3658288574218753</v>
      </c>
      <c r="U33" s="24">
        <f t="shared" si="8"/>
        <v>7.3658288574218753</v>
      </c>
      <c r="V33" s="2" t="s">
        <v>0</v>
      </c>
      <c r="W33" s="3"/>
      <c r="X33" s="24"/>
      <c r="Y33" s="24"/>
      <c r="Z33" s="24"/>
      <c r="AA33" s="24"/>
      <c r="AB33" s="24"/>
    </row>
    <row r="34" spans="1:32" ht="15.75" customHeight="1">
      <c r="A34" s="15" t="str">
        <f>'[1]DMRE 2017EB'!N73</f>
        <v>Agriculture</v>
      </c>
      <c r="B34" s="15"/>
      <c r="C34" s="16">
        <f t="array" ref="C34">SUMPRODUCT('[1]DMRE 2017EB'!$Y$4:$AS$101*('[1]DMRE 2017EB'!$N$4:$N$101=$A34)*('[1]DMRE 2017EB'!$Y$2:$AS$2=C$4))</f>
        <v>0</v>
      </c>
      <c r="D34" s="16">
        <f t="array" ref="D34">SUMPRODUCT('[1]DMRE 2017EB'!$Y$4:$AS$101*('[1]DMRE 2017EB'!$N$4:$N$101=$A34)*('[1]DMRE 2017EB'!$Y$2:$AS$2=D$4))</f>
        <v>0</v>
      </c>
      <c r="E34" s="16">
        <f t="array" ref="E34">SUMPRODUCT('[1]DMRE 2017EB'!$Y$4:$AS$101*('[1]DMRE 2017EB'!$N$4:$N$101=$A34)*('[1]DMRE 2017EB'!$Y$2:$AS$2=E$4))</f>
        <v>0</v>
      </c>
      <c r="F34" s="16">
        <f t="array" ref="F34">SUMPRODUCT('[1]DMRE 2017EB'!$Y$4:$AS$101*('[1]DMRE 2017EB'!$N$4:$N$101=$A34)*('[1]DMRE 2017EB'!$Y$2:$AS$2=F$4))</f>
        <v>0</v>
      </c>
      <c r="G34" s="16">
        <f t="array" ref="G34">SUMPRODUCT('[1]DMRE 2017EB'!$Y$4:$AS$101*('[1]DMRE 2017EB'!$N$4:$N$101=$A34)*('[1]DMRE 2017EB'!$Y$2:$AS$2=G$4))</f>
        <v>0</v>
      </c>
      <c r="H34" s="16">
        <f t="array" ref="H34">SUMPRODUCT('[1]DMRE 2017EB'!$Y$4:$AS$101*('[1]DMRE 2017EB'!$N$4:$N$101=$A34)*('[1]DMRE 2017EB'!$Y$2:$AS$2=H$4))</f>
        <v>0</v>
      </c>
      <c r="I34" s="16">
        <f t="array" ref="I34">SUMPRODUCT('[1]DMRE 2017EB'!$Y$4:$AS$101*('[1]DMRE 2017EB'!$N$4:$N$101=$A34)*('[1]DMRE 2017EB'!$Y$2:$AS$2=I$4))</f>
        <v>0</v>
      </c>
      <c r="J34" s="16" t="e">
        <f>SUMIF('[1]DMRE 2017EB'!$A$4:$A$80,gas!A34,'[1]DMRE 2017EB'!$E$4:$E$80)</f>
        <v>#VALUE!</v>
      </c>
      <c r="K34" s="15"/>
      <c r="R34" s="2" t="str">
        <f t="shared" si="7"/>
        <v>Paper Pulp and Print</v>
      </c>
      <c r="T34" s="10">
        <f t="shared" si="6"/>
        <v>4.1653308105468749</v>
      </c>
      <c r="U34" s="24">
        <f t="shared" si="8"/>
        <v>4.1653308105468749</v>
      </c>
      <c r="V34" s="2" t="s">
        <v>0</v>
      </c>
      <c r="W34" s="24"/>
      <c r="X34" s="24"/>
      <c r="Y34" s="24"/>
      <c r="Z34" s="24"/>
      <c r="AA34" s="24"/>
      <c r="AB34" s="24"/>
    </row>
    <row r="35" spans="1:32" ht="15.75" customHeight="1">
      <c r="A35" s="15" t="str">
        <f>'[1]DMRE 2017EB'!N74</f>
        <v>Commerce and Public Services</v>
      </c>
      <c r="B35" s="15"/>
      <c r="C35" s="16">
        <f t="array" ref="C35">SUMPRODUCT('[1]DMRE 2017EB'!$Y$4:$AS$101*('[1]DMRE 2017EB'!$N$4:$N$101=$A35)*('[1]DMRE 2017EB'!$Y$2:$AS$2=C$4))</f>
        <v>1232.300537109375</v>
      </c>
      <c r="D35" s="16">
        <f t="array" ref="D35">SUMPRODUCT('[1]DMRE 2017EB'!$Y$4:$AS$101*('[1]DMRE 2017EB'!$N$4:$N$101=$A35)*('[1]DMRE 2017EB'!$Y$2:$AS$2=D$4))</f>
        <v>0</v>
      </c>
      <c r="E35" s="16">
        <f t="array" ref="E35">SUMPRODUCT('[1]DMRE 2017EB'!$Y$4:$AS$101*('[1]DMRE 2017EB'!$N$4:$N$101=$A35)*('[1]DMRE 2017EB'!$Y$2:$AS$2=E$4))</f>
        <v>0</v>
      </c>
      <c r="F35" s="16">
        <f t="array" ref="F35">SUMPRODUCT('[1]DMRE 2017EB'!$Y$4:$AS$101*('[1]DMRE 2017EB'!$N$4:$N$101=$A35)*('[1]DMRE 2017EB'!$Y$2:$AS$2=F$4))</f>
        <v>0</v>
      </c>
      <c r="G35" s="16">
        <f t="array" ref="G35">SUMPRODUCT('[1]DMRE 2017EB'!$Y$4:$AS$101*('[1]DMRE 2017EB'!$N$4:$N$101=$A35)*('[1]DMRE 2017EB'!$Y$2:$AS$2=G$4))</f>
        <v>0</v>
      </c>
      <c r="H35" s="16">
        <f t="array" ref="H35">SUMPRODUCT('[1]DMRE 2017EB'!$Y$4:$AS$101*('[1]DMRE 2017EB'!$N$4:$N$101=$A35)*('[1]DMRE 2017EB'!$Y$2:$AS$2=H$4))</f>
        <v>0</v>
      </c>
      <c r="I35" s="16">
        <f t="array" ref="I35">SUMPRODUCT('[1]DMRE 2017EB'!$Y$4:$AS$101*('[1]DMRE 2017EB'!$N$4:$N$101=$A35)*('[1]DMRE 2017EB'!$Y$2:$AS$2=I$4))</f>
        <v>0</v>
      </c>
      <c r="J35" s="16" t="e">
        <f>SUMIF('[1]DMRE 2017EB'!$A$4:$A$80,gas!A35,'[1]DMRE 2017EB'!$E$4:$E$80)</f>
        <v>#VALUE!</v>
      </c>
      <c r="K35" s="15"/>
      <c r="L35" s="2" t="s">
        <v>50</v>
      </c>
      <c r="M35" s="2">
        <f>M32+M33</f>
        <v>166.70000000000002</v>
      </c>
      <c r="N35" s="2">
        <f>M35*1.055</f>
        <v>175.86850000000001</v>
      </c>
      <c r="R35" s="2" t="str">
        <f t="shared" si="7"/>
        <v>Wood and Wood Products</v>
      </c>
      <c r="T35" s="10">
        <f t="shared" si="6"/>
        <v>0</v>
      </c>
      <c r="U35" s="24">
        <f t="shared" si="8"/>
        <v>0</v>
      </c>
      <c r="V35" s="2" t="s">
        <v>0</v>
      </c>
      <c r="W35" s="24"/>
      <c r="X35" s="24"/>
      <c r="Y35" s="24"/>
      <c r="Z35" s="24"/>
      <c r="AA35" s="24"/>
      <c r="AB35" s="24"/>
    </row>
    <row r="36" spans="1:32" ht="15.75" customHeight="1">
      <c r="A36" s="15" t="str">
        <f>'[1]DMRE 2017EB'!N75</f>
        <v>Residential</v>
      </c>
      <c r="B36" s="15"/>
      <c r="C36" s="16">
        <f t="array" ref="C36">SUMPRODUCT('[1]DMRE 2017EB'!$Y$4:$AS$101*('[1]DMRE 2017EB'!$N$4:$N$101=$A36)*('[1]DMRE 2017EB'!$Y$2:$AS$2=C$4))</f>
        <v>220.49711608886719</v>
      </c>
      <c r="D36" s="16">
        <f t="array" ref="D36">SUMPRODUCT('[1]DMRE 2017EB'!$Y$4:$AS$101*('[1]DMRE 2017EB'!$N$4:$N$101=$A36)*('[1]DMRE 2017EB'!$Y$2:$AS$2=D$4))</f>
        <v>0</v>
      </c>
      <c r="E36" s="16">
        <f t="array" ref="E36">SUMPRODUCT('[1]DMRE 2017EB'!$Y$4:$AS$101*('[1]DMRE 2017EB'!$N$4:$N$101=$A36)*('[1]DMRE 2017EB'!$Y$2:$AS$2=E$4))</f>
        <v>0</v>
      </c>
      <c r="F36" s="16">
        <f t="array" ref="F36">SUMPRODUCT('[1]DMRE 2017EB'!$Y$4:$AS$101*('[1]DMRE 2017EB'!$N$4:$N$101=$A36)*('[1]DMRE 2017EB'!$Y$2:$AS$2=F$4))</f>
        <v>0</v>
      </c>
      <c r="G36" s="16">
        <f t="array" ref="G36">SUMPRODUCT('[1]DMRE 2017EB'!$Y$4:$AS$101*('[1]DMRE 2017EB'!$N$4:$N$101=$A36)*('[1]DMRE 2017EB'!$Y$2:$AS$2=G$4))</f>
        <v>0</v>
      </c>
      <c r="H36" s="16">
        <f t="array" ref="H36">SUMPRODUCT('[1]DMRE 2017EB'!$Y$4:$AS$101*('[1]DMRE 2017EB'!$N$4:$N$101=$A36)*('[1]DMRE 2017EB'!$Y$2:$AS$2=H$4))</f>
        <v>0</v>
      </c>
      <c r="I36" s="16">
        <f t="array" ref="I36">SUMPRODUCT('[1]DMRE 2017EB'!$Y$4:$AS$101*('[1]DMRE 2017EB'!$N$4:$N$101=$A36)*('[1]DMRE 2017EB'!$Y$2:$AS$2=I$4))</f>
        <v>0</v>
      </c>
      <c r="J36" s="16" t="e">
        <f>SUMIF('[1]DMRE 2017EB'!$A$4:$A$80,gas!A36,'[1]DMRE 2017EB'!$E$4:$E$80)</f>
        <v>#VALUE!</v>
      </c>
      <c r="K36" s="15"/>
      <c r="L36" s="2" t="s">
        <v>51</v>
      </c>
      <c r="N36" s="2">
        <f>SUM(N37:N39)</f>
        <v>115.94449999999999</v>
      </c>
      <c r="R36" s="2" t="str">
        <f t="shared" si="7"/>
        <v>Construction</v>
      </c>
      <c r="T36" s="10">
        <f t="shared" si="6"/>
        <v>0</v>
      </c>
      <c r="U36" s="24">
        <f t="shared" si="8"/>
        <v>0</v>
      </c>
      <c r="V36" s="2" t="s">
        <v>0</v>
      </c>
      <c r="W36" s="24"/>
      <c r="X36" s="24"/>
      <c r="Y36" s="24"/>
      <c r="Z36" s="24"/>
      <c r="AA36" s="24"/>
      <c r="AB36" s="24"/>
    </row>
    <row r="37" spans="1:32" ht="15.75" customHeight="1">
      <c r="L37" s="2" t="s">
        <v>52</v>
      </c>
      <c r="M37" s="2">
        <v>29.7</v>
      </c>
      <c r="N37" s="2">
        <f t="shared" ref="N37:N39" si="11">M37*1.055</f>
        <v>31.333499999999997</v>
      </c>
      <c r="R37" s="2" t="str">
        <f t="shared" si="7"/>
        <v>Textile and Leather</v>
      </c>
      <c r="T37" s="10">
        <f t="shared" si="6"/>
        <v>1.4420000076293946E-2</v>
      </c>
      <c r="U37" s="24">
        <f t="shared" si="8"/>
        <v>1.4420000076293946E-2</v>
      </c>
      <c r="V37" s="2" t="s">
        <v>0</v>
      </c>
      <c r="W37" s="24"/>
      <c r="X37" s="24"/>
      <c r="Y37" s="24"/>
      <c r="Z37" s="24"/>
      <c r="AA37" s="24"/>
      <c r="AB37" s="24"/>
    </row>
    <row r="38" spans="1:32" ht="15.75" customHeight="1">
      <c r="C38" s="27">
        <f t="shared" ref="C38:D38" si="12">C18-C21</f>
        <v>35697.667818069458</v>
      </c>
      <c r="D38" s="27">
        <f t="shared" si="12"/>
        <v>18667.892909049988</v>
      </c>
      <c r="E38" s="27">
        <f>D38+C38</f>
        <v>54365.560727119446</v>
      </c>
      <c r="F38" s="10">
        <f>E38*65.1/1000</f>
        <v>3539.1980033354753</v>
      </c>
      <c r="G38" s="2">
        <f>C38*56.1/1000</f>
        <v>2002.6391645936967</v>
      </c>
      <c r="H38" s="2">
        <f>D38*41/1000</f>
        <v>765.38360927104952</v>
      </c>
      <c r="I38" s="2">
        <f>H38+G38</f>
        <v>2768.0227738647463</v>
      </c>
      <c r="L38" s="2" t="s">
        <v>53</v>
      </c>
      <c r="M38" s="2">
        <v>35.6</v>
      </c>
      <c r="N38" s="2">
        <f t="shared" si="11"/>
        <v>37.558</v>
      </c>
      <c r="R38" s="2" t="str">
        <f t="shared" si="7"/>
        <v>Non-specified (Industry)</v>
      </c>
      <c r="T38" s="10">
        <f t="shared" si="6"/>
        <v>4.6039031982421879</v>
      </c>
      <c r="U38" s="24">
        <f t="shared" si="8"/>
        <v>4.6039031982421879</v>
      </c>
      <c r="V38" s="2" t="s">
        <v>0</v>
      </c>
      <c r="W38" s="24"/>
      <c r="X38" s="24"/>
      <c r="Y38" s="24"/>
      <c r="Z38" s="24"/>
      <c r="AA38" s="24"/>
      <c r="AB38" s="24"/>
    </row>
    <row r="39" spans="1:32" ht="15.75" customHeight="1">
      <c r="A39" t="s">
        <v>54</v>
      </c>
      <c r="C39" s="28" t="str">
        <f>C4</f>
        <v>Natural Gas</v>
      </c>
      <c r="F39" s="2">
        <f>F38/I38</f>
        <v>1.2786014756641633</v>
      </c>
      <c r="L39" s="2" t="s">
        <v>55</v>
      </c>
      <c r="M39" s="2">
        <v>44.6</v>
      </c>
      <c r="N39" s="2">
        <f t="shared" si="11"/>
        <v>47.052999999999997</v>
      </c>
      <c r="R39" s="3" t="s">
        <v>56</v>
      </c>
      <c r="S39" s="3"/>
      <c r="T39" s="9">
        <f t="shared" ref="T39:U39" si="13">SUM(T40:T42)</f>
        <v>1.4527976531982421</v>
      </c>
      <c r="U39" s="19">
        <f t="shared" si="13"/>
        <v>1.4527976531982421</v>
      </c>
      <c r="W39" s="24"/>
      <c r="X39" s="24"/>
      <c r="Y39" s="24"/>
      <c r="Z39" s="24"/>
      <c r="AA39" s="24"/>
      <c r="AB39" s="24"/>
    </row>
    <row r="40" spans="1:32" ht="15.75" customHeight="1">
      <c r="A40" t="s">
        <v>36</v>
      </c>
      <c r="C40" s="2" t="e">
        <f>SUMIF([1]Inventory!$A$49:$A$56,$A40,[1]Inventory!$D$49:$D$56)</f>
        <v>#VALUE!</v>
      </c>
      <c r="D40" t="s">
        <v>57</v>
      </c>
      <c r="L40" s="2" t="s">
        <v>58</v>
      </c>
      <c r="M40" s="2">
        <v>56.8</v>
      </c>
      <c r="N40" s="3">
        <v>59.923999999999992</v>
      </c>
      <c r="R40" s="2" t="str">
        <f t="shared" ref="R40:R42" si="14">A34</f>
        <v>Agriculture</v>
      </c>
      <c r="T40" s="10">
        <f t="shared" ref="T40:T42" si="15">U40</f>
        <v>0</v>
      </c>
      <c r="U40" s="24">
        <f t="shared" ref="U40:U42" si="16">(C34+D34)/1000</f>
        <v>0</v>
      </c>
      <c r="V40" s="2" t="s">
        <v>0</v>
      </c>
      <c r="W40" s="24"/>
      <c r="X40" s="24"/>
      <c r="Y40" s="24"/>
      <c r="Z40" s="24"/>
      <c r="AA40" s="24"/>
      <c r="AB40" s="24"/>
    </row>
    <row r="41" spans="1:32" ht="15.75" customHeight="1">
      <c r="A41" s="2" t="s">
        <v>59</v>
      </c>
      <c r="C41" s="2" t="e">
        <f>SUMIF([1]Inventory!$A$49:$A$56,$A41,[1]Inventory!$D$49:$D$56)</f>
        <v>#VALUE!</v>
      </c>
      <c r="R41" s="2" t="str">
        <f t="shared" si="14"/>
        <v>Commerce and Public Services</v>
      </c>
      <c r="T41" s="10">
        <f t="shared" si="15"/>
        <v>1.2323005371093749</v>
      </c>
      <c r="U41" s="24">
        <f t="shared" si="16"/>
        <v>1.2323005371093749</v>
      </c>
      <c r="V41" s="2" t="s">
        <v>0</v>
      </c>
      <c r="W41" s="24"/>
      <c r="X41" s="24"/>
      <c r="Y41" s="24"/>
      <c r="Z41" s="24"/>
      <c r="AA41" s="24"/>
      <c r="AB41" s="24"/>
    </row>
    <row r="42" spans="1:32" ht="15.75" customHeight="1">
      <c r="A42" s="2" t="s">
        <v>60</v>
      </c>
      <c r="C42" s="2" t="e">
        <f>SUMIF([1]Inventory!$A$49:$A$56,$A42,[1]Inventory!$D$49:$D$56)</f>
        <v>#VALUE!</v>
      </c>
      <c r="L42" s="3" t="s">
        <v>61</v>
      </c>
      <c r="R42" s="2" t="str">
        <f t="shared" si="14"/>
        <v>Residential</v>
      </c>
      <c r="T42" s="10">
        <f t="shared" si="15"/>
        <v>0.22049711608886718</v>
      </c>
      <c r="U42" s="24">
        <f t="shared" si="16"/>
        <v>0.22049711608886718</v>
      </c>
      <c r="V42" s="2" t="s">
        <v>0</v>
      </c>
      <c r="W42" s="24"/>
      <c r="X42" s="24"/>
      <c r="Y42" s="24"/>
      <c r="Z42" s="24"/>
      <c r="AA42" s="24"/>
      <c r="AB42" s="24"/>
    </row>
    <row r="43" spans="1:32" ht="15.75" customHeight="1">
      <c r="A43" s="2" t="s">
        <v>62</v>
      </c>
      <c r="C43" s="2" t="e">
        <f>SUMIF([1]Inventory!$A$49:$A$56,$A43,[1]Inventory!$D$49:$D$56)</f>
        <v>#VALUE!</v>
      </c>
      <c r="L43" s="2" t="s">
        <v>63</v>
      </c>
      <c r="N43" s="10">
        <f>D64/1000000</f>
        <v>28.640346999999998</v>
      </c>
      <c r="U43" s="24"/>
      <c r="V43" s="24"/>
      <c r="W43" s="24"/>
      <c r="X43" s="24"/>
      <c r="Y43" s="24"/>
      <c r="Z43" s="24"/>
      <c r="AA43" s="24"/>
      <c r="AB43" s="24"/>
    </row>
    <row r="44" spans="1:32" ht="15.75" customHeight="1">
      <c r="A44" s="2" t="s">
        <v>64</v>
      </c>
      <c r="C44" s="2" t="e">
        <f>SUMIF([1]Inventory!$A$49:$A$56,$A44,[1]Inventory!$D$49:$D$56)</f>
        <v>#VALUE!</v>
      </c>
      <c r="L44" s="2" t="s">
        <v>65</v>
      </c>
      <c r="N44" s="10">
        <f>O63</f>
        <v>25.323368983957216</v>
      </c>
      <c r="R44" s="2" t="s">
        <v>66</v>
      </c>
      <c r="T44" s="24"/>
      <c r="U44" s="24">
        <f>U39+SUM(U25:U38)</f>
        <v>59.924000000000007</v>
      </c>
      <c r="V44" s="24"/>
      <c r="W44" s="24"/>
      <c r="X44" s="24"/>
      <c r="Y44" s="24"/>
      <c r="Z44" s="24"/>
      <c r="AA44" s="24"/>
      <c r="AB44" s="24"/>
      <c r="AD44" t="s">
        <v>244</v>
      </c>
      <c r="AE44" s="2" t="s">
        <v>239</v>
      </c>
      <c r="AF44" s="28">
        <f>-U14</f>
        <v>25.570812499999999</v>
      </c>
    </row>
    <row r="45" spans="1:32" ht="15.75" customHeight="1">
      <c r="A45" s="2" t="s">
        <v>67</v>
      </c>
      <c r="C45" s="2" t="e">
        <f>SUMIF([1]Inventory!$A$49:$A$56,$A45,[1]Inventory!$D$49:$D$56)</f>
        <v>#VALUE!</v>
      </c>
      <c r="L45" s="2" t="s">
        <v>68</v>
      </c>
      <c r="N45" s="10">
        <f>D68/1000000</f>
        <v>0.91098800000000002</v>
      </c>
      <c r="U45" s="24"/>
      <c r="V45" s="24"/>
      <c r="W45" s="24"/>
      <c r="X45" s="24"/>
      <c r="Y45" s="24"/>
      <c r="Z45" s="24"/>
      <c r="AA45" s="24"/>
      <c r="AB45" s="24"/>
      <c r="AD45" t="s">
        <v>245</v>
      </c>
      <c r="AE45" s="2" t="s">
        <v>245</v>
      </c>
      <c r="AF45" s="28">
        <f>AF44</f>
        <v>25.570812499999999</v>
      </c>
    </row>
    <row r="46" spans="1:32" ht="15.75" customHeight="1">
      <c r="A46" s="2" t="s">
        <v>69</v>
      </c>
      <c r="C46" s="2" t="e">
        <f>SUMIF([1]Inventory!$A$49:$A$56,$A46,[1]Inventory!$D$49:$D$56)</f>
        <v>#VALUE!</v>
      </c>
      <c r="L46" s="3" t="s">
        <v>70</v>
      </c>
      <c r="N46" s="10"/>
      <c r="U46" s="24"/>
      <c r="V46" s="24"/>
      <c r="W46" s="24"/>
      <c r="X46" s="24"/>
      <c r="Y46" s="24"/>
      <c r="Z46" s="24"/>
      <c r="AA46" s="24"/>
      <c r="AB46" s="24"/>
    </row>
    <row r="47" spans="1:32" ht="15.75" customHeight="1">
      <c r="A47" s="2" t="s">
        <v>71</v>
      </c>
      <c r="C47" s="2" t="e">
        <f>SUMIF([1]Inventory!$A$49:$A$56,$A47,[1]Inventory!$D$49:$D$56)</f>
        <v>#VALUE!</v>
      </c>
      <c r="L47" s="2" t="s">
        <v>72</v>
      </c>
      <c r="N47" s="10">
        <f>N36-SUM(N48:N51)</f>
        <v>23.300217690909065</v>
      </c>
      <c r="U47" s="24"/>
      <c r="V47" s="24"/>
      <c r="W47" s="24"/>
      <c r="X47" s="24"/>
      <c r="Y47" s="24"/>
      <c r="Z47" s="24"/>
      <c r="AA47" s="24"/>
      <c r="AB47" s="24"/>
    </row>
    <row r="48" spans="1:32" ht="15.75" customHeight="1">
      <c r="L48" s="2" t="s">
        <v>73</v>
      </c>
      <c r="N48" s="10">
        <f>N38</f>
        <v>37.558</v>
      </c>
      <c r="U48" s="24"/>
      <c r="V48" s="24"/>
      <c r="W48" s="24"/>
      <c r="X48" s="24"/>
      <c r="Y48" s="24"/>
      <c r="Z48" s="24"/>
      <c r="AA48" s="24"/>
      <c r="AB48" s="24"/>
    </row>
    <row r="49" spans="1:33" ht="15.75" customHeight="1">
      <c r="L49" s="2" t="s">
        <v>74</v>
      </c>
      <c r="N49" s="10">
        <f>('[1]SATIM Energy balance 2017 (new)'!J44+'[1]SATIM Energy balance 2017 (new)'!J43)/1000</f>
        <v>25.534947309090914</v>
      </c>
    </row>
    <row r="50" spans="1:33" ht="15.75" customHeight="1">
      <c r="L50" s="2" t="s">
        <v>75</v>
      </c>
      <c r="N50" s="29">
        <f>N43</f>
        <v>28.640346999999998</v>
      </c>
      <c r="O50" s="2">
        <f>0.00105*8760</f>
        <v>9.1979999999999986</v>
      </c>
      <c r="R50" s="2" t="s">
        <v>76</v>
      </c>
    </row>
    <row r="51" spans="1:33" ht="15.75" customHeight="1">
      <c r="A51" s="2" t="s">
        <v>4</v>
      </c>
      <c r="L51" s="2" t="s">
        <v>77</v>
      </c>
      <c r="N51" s="10">
        <f>N45</f>
        <v>0.91098800000000002</v>
      </c>
      <c r="R51" s="3" t="s">
        <v>78</v>
      </c>
      <c r="S51" s="2" t="s">
        <v>79</v>
      </c>
      <c r="T51" s="30" t="s">
        <v>80</v>
      </c>
      <c r="U51" s="2" t="s">
        <v>81</v>
      </c>
      <c r="V51" s="2" t="s">
        <v>82</v>
      </c>
      <c r="W51" s="2" t="s">
        <v>83</v>
      </c>
      <c r="X51" s="2" t="s">
        <v>84</v>
      </c>
      <c r="Y51" s="2" t="s">
        <v>11</v>
      </c>
      <c r="Z51" s="30" t="s">
        <v>85</v>
      </c>
      <c r="AA51" s="30" t="s">
        <v>86</v>
      </c>
      <c r="AB51" s="2" t="s">
        <v>87</v>
      </c>
      <c r="AD51" s="72" t="s">
        <v>238</v>
      </c>
      <c r="AF51" s="72" t="s">
        <v>246</v>
      </c>
    </row>
    <row r="52" spans="1:33" ht="15.75" customHeight="1">
      <c r="A52" s="2" t="s">
        <v>88</v>
      </c>
      <c r="L52" s="3" t="s">
        <v>51</v>
      </c>
      <c r="M52" s="3"/>
      <c r="N52" s="9">
        <f>SUM(N47:N51)</f>
        <v>115.94449999999998</v>
      </c>
      <c r="R52" s="2" t="s">
        <v>72</v>
      </c>
      <c r="S52" s="2" t="s">
        <v>89</v>
      </c>
      <c r="T52" s="2" t="s">
        <v>90</v>
      </c>
      <c r="U52" s="10">
        <f>N47</f>
        <v>23.300217690909065</v>
      </c>
      <c r="V52" s="2">
        <v>51.8</v>
      </c>
      <c r="W52" s="2" t="s">
        <v>91</v>
      </c>
      <c r="X52" s="2" t="s">
        <v>92</v>
      </c>
      <c r="Y52" s="2" t="s">
        <v>93</v>
      </c>
      <c r="Z52" s="2" t="s">
        <v>94</v>
      </c>
      <c r="AA52" s="2"/>
      <c r="AB52" s="2" t="s">
        <v>95</v>
      </c>
      <c r="AD52" s="2" t="s">
        <v>239</v>
      </c>
      <c r="AF52" s="2" t="s">
        <v>239</v>
      </c>
      <c r="AG52" s="8">
        <f>SUMIFS($U$52:$U$73,$AD$52:$AD$73,AF52)+AF44</f>
        <v>77.511377190909059</v>
      </c>
    </row>
    <row r="53" spans="1:33" ht="15.75" customHeight="1">
      <c r="A53" s="77" t="s">
        <v>96</v>
      </c>
      <c r="B53" s="78"/>
      <c r="C53" s="78"/>
      <c r="D53" s="78"/>
      <c r="E53" s="78"/>
      <c r="F53" s="78"/>
      <c r="G53" s="78"/>
      <c r="H53" s="31"/>
      <c r="I53" s="31"/>
      <c r="J53" s="31"/>
      <c r="K53" s="31"/>
      <c r="R53" s="2" t="s">
        <v>97</v>
      </c>
      <c r="S53" s="2" t="s">
        <v>98</v>
      </c>
      <c r="T53" s="2" t="s">
        <v>90</v>
      </c>
      <c r="U53" s="10">
        <f>N43</f>
        <v>28.640346999999998</v>
      </c>
      <c r="V53" s="2">
        <v>0</v>
      </c>
      <c r="W53" s="2" t="s">
        <v>91</v>
      </c>
      <c r="X53" s="2" t="s">
        <v>92</v>
      </c>
      <c r="Y53" s="2" t="s">
        <v>93</v>
      </c>
      <c r="Z53" s="2" t="s">
        <v>94</v>
      </c>
      <c r="AA53" s="2"/>
      <c r="AB53" s="2" t="s">
        <v>95</v>
      </c>
      <c r="AD53" s="2" t="s">
        <v>239</v>
      </c>
      <c r="AF53" s="2" t="s">
        <v>241</v>
      </c>
      <c r="AG53" s="8">
        <f t="shared" ref="AG53:AG55" si="17">SUMIFS($U$52:$U$73,$AD$52:$AD$73,AF53)</f>
        <v>95.527376290405272</v>
      </c>
    </row>
    <row r="54" spans="1:33" ht="15.75" customHeight="1">
      <c r="A54" s="79" t="s">
        <v>99</v>
      </c>
      <c r="B54" s="80"/>
      <c r="C54" s="81" t="s">
        <v>100</v>
      </c>
      <c r="D54" s="82"/>
      <c r="E54" s="82"/>
      <c r="F54" s="82"/>
      <c r="G54" s="82"/>
      <c r="H54" s="82"/>
      <c r="I54" s="82"/>
      <c r="J54" s="82"/>
      <c r="K54" s="82"/>
      <c r="L54" s="82"/>
      <c r="M54" s="82"/>
      <c r="N54" s="80"/>
      <c r="AF54" s="2" t="s">
        <v>240</v>
      </c>
      <c r="AG54" s="8">
        <f t="shared" si="17"/>
        <v>25.53494730909091</v>
      </c>
    </row>
    <row r="55" spans="1:33" ht="15.75" customHeight="1">
      <c r="A55" s="79" t="s">
        <v>101</v>
      </c>
      <c r="B55" s="80"/>
      <c r="C55" s="83">
        <v>170500107</v>
      </c>
      <c r="D55" s="82"/>
      <c r="E55" s="82"/>
      <c r="F55" s="82"/>
      <c r="G55" s="82"/>
      <c r="H55" s="82"/>
      <c r="I55" s="82"/>
      <c r="J55" s="82"/>
      <c r="K55" s="82"/>
      <c r="L55" s="82"/>
      <c r="M55" s="82"/>
      <c r="N55" s="80"/>
      <c r="R55" s="2" t="s">
        <v>27</v>
      </c>
      <c r="S55" s="2" t="s">
        <v>102</v>
      </c>
      <c r="T55" s="2" t="s">
        <v>103</v>
      </c>
      <c r="V55" s="2" t="s">
        <v>104</v>
      </c>
      <c r="W55" s="2" t="s">
        <v>105</v>
      </c>
      <c r="X55" s="2" t="s">
        <v>106</v>
      </c>
      <c r="Y55" s="2" t="s">
        <v>30</v>
      </c>
      <c r="Z55" s="2" t="s">
        <v>107</v>
      </c>
      <c r="AA55" s="2" t="s">
        <v>108</v>
      </c>
      <c r="AB55" s="2" t="s">
        <v>95</v>
      </c>
      <c r="AF55" s="2" t="s">
        <v>242</v>
      </c>
      <c r="AG55" s="8">
        <f t="shared" si="17"/>
        <v>1.4527976531982421</v>
      </c>
    </row>
    <row r="56" spans="1:33" ht="15.75" customHeight="1">
      <c r="A56" s="79" t="s">
        <v>109</v>
      </c>
      <c r="B56" s="80"/>
      <c r="C56" s="89">
        <v>43190</v>
      </c>
      <c r="D56" s="82"/>
      <c r="E56" s="82"/>
      <c r="F56" s="82"/>
      <c r="G56" s="82"/>
      <c r="H56" s="82"/>
      <c r="I56" s="82"/>
      <c r="J56" s="82"/>
      <c r="K56" s="82"/>
      <c r="L56" s="82"/>
      <c r="M56" s="82"/>
      <c r="N56" s="80"/>
      <c r="T56" s="2" t="s">
        <v>90</v>
      </c>
      <c r="U56" s="10">
        <f>33*1.055*D76/1000000</f>
        <v>10.898592044999999</v>
      </c>
      <c r="V56" s="2" t="s">
        <v>104</v>
      </c>
      <c r="W56" s="2" t="s">
        <v>110</v>
      </c>
      <c r="X56" s="2" t="s">
        <v>111</v>
      </c>
      <c r="Y56" s="2" t="s">
        <v>112</v>
      </c>
      <c r="Z56" s="2" t="s">
        <v>113</v>
      </c>
      <c r="AA56" s="2" t="s">
        <v>94</v>
      </c>
      <c r="AB56" s="2" t="s">
        <v>95</v>
      </c>
      <c r="AD56" s="2" t="s">
        <v>241</v>
      </c>
      <c r="AF56" s="3" t="s">
        <v>243</v>
      </c>
      <c r="AG56" s="73">
        <f>SUM(AG52:AG55)</f>
        <v>200.02649844360349</v>
      </c>
    </row>
    <row r="57" spans="1:33" ht="15.75" customHeight="1">
      <c r="A57" s="79" t="s">
        <v>114</v>
      </c>
      <c r="B57" s="80"/>
      <c r="C57" s="81" t="s">
        <v>115</v>
      </c>
      <c r="D57" s="82"/>
      <c r="E57" s="82"/>
      <c r="F57" s="82"/>
      <c r="G57" s="82"/>
      <c r="H57" s="82"/>
      <c r="I57" s="82"/>
      <c r="J57" s="82"/>
      <c r="K57" s="82"/>
      <c r="L57" s="82"/>
      <c r="M57" s="82"/>
      <c r="N57" s="80"/>
      <c r="S57" s="2" t="s">
        <v>116</v>
      </c>
      <c r="T57" s="2" t="s">
        <v>103</v>
      </c>
      <c r="V57" s="2" t="s">
        <v>104</v>
      </c>
      <c r="W57" s="2" t="s">
        <v>117</v>
      </c>
      <c r="Y57" s="2" t="s">
        <v>30</v>
      </c>
      <c r="Z57" s="2" t="s">
        <v>113</v>
      </c>
      <c r="AA57" s="2" t="s">
        <v>94</v>
      </c>
      <c r="AB57" s="2" t="s">
        <v>95</v>
      </c>
    </row>
    <row r="58" spans="1:33" ht="15.75" customHeight="1">
      <c r="A58" s="79" t="s">
        <v>118</v>
      </c>
      <c r="B58" s="82"/>
      <c r="C58" s="82"/>
      <c r="D58" s="82"/>
      <c r="E58" s="82"/>
      <c r="F58" s="82"/>
      <c r="G58" s="82"/>
      <c r="H58" s="82"/>
      <c r="I58" s="82"/>
      <c r="J58" s="82"/>
      <c r="K58" s="82"/>
      <c r="L58" s="82"/>
      <c r="M58" s="82"/>
      <c r="N58" s="80"/>
      <c r="W58" s="2" t="s">
        <v>119</v>
      </c>
      <c r="X58" s="2" t="s">
        <v>111</v>
      </c>
      <c r="Y58" s="2" t="s">
        <v>112</v>
      </c>
      <c r="Z58" s="2" t="s">
        <v>113</v>
      </c>
      <c r="AA58" s="2" t="s">
        <v>94</v>
      </c>
      <c r="AB58" s="2" t="s">
        <v>95</v>
      </c>
      <c r="AF58" s="3" t="s">
        <v>248</v>
      </c>
    </row>
    <row r="59" spans="1:33" ht="15.75" customHeight="1">
      <c r="A59" s="84" t="s">
        <v>120</v>
      </c>
      <c r="B59" s="87" t="s">
        <v>121</v>
      </c>
      <c r="C59" s="88" t="s">
        <v>122</v>
      </c>
      <c r="D59" s="82"/>
      <c r="E59" s="80"/>
      <c r="F59" s="88" t="s">
        <v>123</v>
      </c>
      <c r="G59" s="82"/>
      <c r="H59" s="82"/>
      <c r="I59" s="82"/>
      <c r="J59" s="82"/>
      <c r="K59" s="82"/>
      <c r="L59" s="82"/>
      <c r="M59" s="82"/>
      <c r="N59" s="80"/>
      <c r="R59" s="2" t="s">
        <v>124</v>
      </c>
      <c r="S59" s="32" t="s">
        <v>125</v>
      </c>
      <c r="T59" s="2" t="s">
        <v>90</v>
      </c>
      <c r="U59" s="10">
        <f>'[1]SATIM Energy balance 2017 (new)'!J44/1000</f>
        <v>19.17791290909091</v>
      </c>
      <c r="V59" s="2">
        <v>16.7</v>
      </c>
      <c r="W59" s="2" t="s">
        <v>91</v>
      </c>
      <c r="X59" s="2" t="s">
        <v>126</v>
      </c>
      <c r="Y59" s="2" t="s">
        <v>127</v>
      </c>
      <c r="Z59" s="2" t="s">
        <v>94</v>
      </c>
      <c r="AA59" s="2" t="s">
        <v>94</v>
      </c>
      <c r="AB59" s="2" t="s">
        <v>128</v>
      </c>
      <c r="AD59" s="2" t="s">
        <v>240</v>
      </c>
      <c r="AF59" s="2" t="s">
        <v>249</v>
      </c>
      <c r="AG59" s="8">
        <f>N32</f>
        <v>151.28700000000001</v>
      </c>
    </row>
    <row r="60" spans="1:33" ht="15.75" customHeight="1">
      <c r="A60" s="85"/>
      <c r="B60" s="85"/>
      <c r="C60" s="84" t="s">
        <v>129</v>
      </c>
      <c r="D60" s="87" t="s">
        <v>130</v>
      </c>
      <c r="E60" s="87" t="s">
        <v>131</v>
      </c>
      <c r="F60" s="88" t="s">
        <v>132</v>
      </c>
      <c r="G60" s="82"/>
      <c r="H60" s="80"/>
      <c r="I60" s="88" t="s">
        <v>133</v>
      </c>
      <c r="J60" s="82"/>
      <c r="K60" s="80"/>
      <c r="L60" s="88" t="s">
        <v>134</v>
      </c>
      <c r="M60" s="82"/>
      <c r="N60" s="80"/>
      <c r="Q60" s="10"/>
      <c r="R60" s="2" t="s">
        <v>135</v>
      </c>
      <c r="S60" s="32" t="s">
        <v>136</v>
      </c>
      <c r="T60" s="2" t="s">
        <v>137</v>
      </c>
      <c r="U60" s="10">
        <f>'[1]SATIM Energy balance 2017 (new)'!J43/1000</f>
        <v>6.3570344000000008</v>
      </c>
      <c r="V60" s="2">
        <v>6.7</v>
      </c>
      <c r="W60" s="2" t="s">
        <v>91</v>
      </c>
      <c r="X60" s="2" t="s">
        <v>126</v>
      </c>
      <c r="Y60" s="2" t="s">
        <v>127</v>
      </c>
      <c r="Z60" s="2" t="s">
        <v>94</v>
      </c>
      <c r="AA60" s="2" t="s">
        <v>94</v>
      </c>
      <c r="AB60" s="2" t="s">
        <v>128</v>
      </c>
      <c r="AD60" s="2" t="s">
        <v>240</v>
      </c>
      <c r="AF60" s="2" t="s">
        <v>245</v>
      </c>
      <c r="AG60" s="8">
        <f>AF45</f>
        <v>25.570812499999999</v>
      </c>
    </row>
    <row r="61" spans="1:33" ht="15.75" customHeight="1">
      <c r="A61" s="86"/>
      <c r="B61" s="86"/>
      <c r="C61" s="86"/>
      <c r="D61" s="86"/>
      <c r="E61" s="86"/>
      <c r="F61" s="33" t="s">
        <v>138</v>
      </c>
      <c r="G61" s="33" t="s">
        <v>139</v>
      </c>
      <c r="H61" s="33" t="s">
        <v>140</v>
      </c>
      <c r="I61" s="33" t="s">
        <v>138</v>
      </c>
      <c r="J61" s="33" t="s">
        <v>139</v>
      </c>
      <c r="K61" s="33" t="s">
        <v>140</v>
      </c>
      <c r="L61" s="33" t="s">
        <v>138</v>
      </c>
      <c r="M61" s="33" t="s">
        <v>139</v>
      </c>
      <c r="N61" s="33" t="s">
        <v>140</v>
      </c>
      <c r="AF61" s="2" t="s">
        <v>239</v>
      </c>
      <c r="AG61" s="8">
        <f>N33</f>
        <v>24.581499999999998</v>
      </c>
    </row>
    <row r="62" spans="1:33" ht="15.75" customHeight="1">
      <c r="A62" s="34" t="s">
        <v>141</v>
      </c>
      <c r="B62" s="35" t="s">
        <v>142</v>
      </c>
      <c r="C62" s="35" t="s">
        <v>143</v>
      </c>
      <c r="D62" s="36">
        <v>14977374</v>
      </c>
      <c r="E62" s="35" t="s">
        <v>144</v>
      </c>
      <c r="F62" s="36">
        <v>25429246</v>
      </c>
      <c r="G62" s="37">
        <v>3</v>
      </c>
      <c r="H62" s="35" t="s">
        <v>145</v>
      </c>
      <c r="I62" s="38">
        <v>300</v>
      </c>
      <c r="J62" s="37">
        <v>1</v>
      </c>
      <c r="K62" s="35" t="s">
        <v>145</v>
      </c>
      <c r="L62" s="38">
        <v>449</v>
      </c>
      <c r="M62" s="37">
        <v>1</v>
      </c>
      <c r="N62" s="35" t="s">
        <v>145</v>
      </c>
      <c r="R62" s="2" t="s">
        <v>146</v>
      </c>
      <c r="T62" s="2" t="s">
        <v>137</v>
      </c>
      <c r="U62" s="24">
        <f t="shared" ref="U62:U63" si="18">U25+U23</f>
        <v>3.6902076364402778</v>
      </c>
      <c r="V62" s="2">
        <v>0</v>
      </c>
      <c r="W62" s="2" t="s">
        <v>91</v>
      </c>
      <c r="X62" s="2" t="s">
        <v>147</v>
      </c>
      <c r="Y62" s="2" t="s">
        <v>148</v>
      </c>
      <c r="Z62" s="2" t="s">
        <v>94</v>
      </c>
      <c r="AA62" s="2" t="s">
        <v>149</v>
      </c>
      <c r="AB62" s="2" t="s">
        <v>95</v>
      </c>
      <c r="AD62" s="2" t="s">
        <v>241</v>
      </c>
      <c r="AF62" s="3" t="s">
        <v>247</v>
      </c>
      <c r="AG62" s="73">
        <f>SUM(AG59:AG61)</f>
        <v>201.4393125</v>
      </c>
    </row>
    <row r="63" spans="1:33" ht="15.75" customHeight="1">
      <c r="A63" s="34" t="s">
        <v>141</v>
      </c>
      <c r="B63" s="35" t="s">
        <v>142</v>
      </c>
      <c r="C63" s="35" t="s">
        <v>150</v>
      </c>
      <c r="D63" s="36">
        <v>750271</v>
      </c>
      <c r="E63" s="39" t="s">
        <v>151</v>
      </c>
      <c r="F63" s="36">
        <v>1420641</v>
      </c>
      <c r="G63" s="37">
        <v>3</v>
      </c>
      <c r="H63" s="35" t="s">
        <v>145</v>
      </c>
      <c r="I63" s="38">
        <v>25.3</v>
      </c>
      <c r="J63" s="37">
        <v>1</v>
      </c>
      <c r="K63" s="35" t="s">
        <v>145</v>
      </c>
      <c r="L63" s="38">
        <v>2.5299999999999998</v>
      </c>
      <c r="M63" s="37">
        <v>1</v>
      </c>
      <c r="N63" s="35" t="s">
        <v>145</v>
      </c>
      <c r="O63" s="24">
        <f>F63/56.1/1000</f>
        <v>25.323368983957216</v>
      </c>
      <c r="P63" s="24">
        <f>D63*0.03825/1000</f>
        <v>28.697865750000002</v>
      </c>
      <c r="R63" s="2" t="s">
        <v>152</v>
      </c>
      <c r="T63" s="2" t="s">
        <v>153</v>
      </c>
      <c r="U63" s="24">
        <f t="shared" si="18"/>
        <v>29.438627591440277</v>
      </c>
      <c r="V63" s="2">
        <v>28.6</v>
      </c>
      <c r="W63" s="2" t="s">
        <v>91</v>
      </c>
      <c r="X63" s="2" t="s">
        <v>147</v>
      </c>
      <c r="Y63" s="2" t="s">
        <v>148</v>
      </c>
      <c r="Z63" s="2" t="s">
        <v>113</v>
      </c>
      <c r="AA63" s="2" t="s">
        <v>149</v>
      </c>
      <c r="AB63" s="2" t="s">
        <v>95</v>
      </c>
      <c r="AD63" s="2" t="s">
        <v>241</v>
      </c>
    </row>
    <row r="64" spans="1:33" ht="15.75" customHeight="1">
      <c r="A64" s="34" t="s">
        <v>141</v>
      </c>
      <c r="B64" s="35" t="s">
        <v>142</v>
      </c>
      <c r="C64" s="35" t="s">
        <v>154</v>
      </c>
      <c r="D64" s="36">
        <v>28640347</v>
      </c>
      <c r="E64" s="35" t="s">
        <v>155</v>
      </c>
      <c r="F64" s="36">
        <v>1194110</v>
      </c>
      <c r="G64" s="37">
        <v>3</v>
      </c>
      <c r="H64" s="35" t="s">
        <v>145</v>
      </c>
      <c r="I64" s="38">
        <v>21.3</v>
      </c>
      <c r="J64" s="37">
        <v>1</v>
      </c>
      <c r="K64" s="35" t="s">
        <v>145</v>
      </c>
      <c r="L64" s="38">
        <v>2.13</v>
      </c>
      <c r="M64" s="37">
        <v>1</v>
      </c>
      <c r="N64" s="35" t="s">
        <v>145</v>
      </c>
      <c r="O64" s="2">
        <f>F64/D64</f>
        <v>4.1693279763684428E-2</v>
      </c>
      <c r="R64" s="2" t="s">
        <v>156</v>
      </c>
      <c r="T64" s="2" t="s">
        <v>157</v>
      </c>
      <c r="U64" s="24">
        <f t="shared" ref="U64:U66" si="19">U27</f>
        <v>15.927381835937499</v>
      </c>
      <c r="V64" s="2">
        <v>4.7</v>
      </c>
      <c r="W64" s="2" t="s">
        <v>91</v>
      </c>
      <c r="X64" s="2" t="s">
        <v>147</v>
      </c>
      <c r="Y64" s="2" t="s">
        <v>148</v>
      </c>
      <c r="Z64" s="2" t="s">
        <v>94</v>
      </c>
      <c r="AA64" s="2" t="s">
        <v>158</v>
      </c>
      <c r="AB64" s="2" t="s">
        <v>95</v>
      </c>
      <c r="AD64" s="2" t="s">
        <v>241</v>
      </c>
    </row>
    <row r="65" spans="1:30" ht="15.75" customHeight="1">
      <c r="A65" s="34" t="s">
        <v>141</v>
      </c>
      <c r="B65" s="35" t="s">
        <v>142</v>
      </c>
      <c r="C65" s="35" t="s">
        <v>159</v>
      </c>
      <c r="D65" s="36">
        <v>1100948</v>
      </c>
      <c r="E65" s="35" t="s">
        <v>155</v>
      </c>
      <c r="F65" s="36">
        <v>118860</v>
      </c>
      <c r="G65" s="37">
        <v>3</v>
      </c>
      <c r="H65" s="35" t="s">
        <v>145</v>
      </c>
      <c r="I65" s="38">
        <v>4.5999999999999996</v>
      </c>
      <c r="J65" s="37">
        <v>1</v>
      </c>
      <c r="K65" s="35" t="s">
        <v>145</v>
      </c>
      <c r="L65" s="38">
        <v>0.92</v>
      </c>
      <c r="M65" s="37">
        <v>1</v>
      </c>
      <c r="N65" s="35" t="s">
        <v>145</v>
      </c>
      <c r="O65" s="2">
        <f>56/41</f>
        <v>1.3658536585365855</v>
      </c>
      <c r="R65" s="2" t="s">
        <v>160</v>
      </c>
      <c r="T65" s="2" t="s">
        <v>161</v>
      </c>
      <c r="U65" s="24">
        <f t="shared" si="19"/>
        <v>2.2541069641113283</v>
      </c>
      <c r="V65" s="2">
        <v>0.5</v>
      </c>
      <c r="W65" s="2" t="s">
        <v>91</v>
      </c>
      <c r="X65" s="2" t="s">
        <v>147</v>
      </c>
      <c r="Y65" s="2" t="s">
        <v>148</v>
      </c>
      <c r="Z65" s="2" t="s">
        <v>94</v>
      </c>
      <c r="AA65" s="2" t="s">
        <v>149</v>
      </c>
      <c r="AB65" s="2" t="s">
        <v>95</v>
      </c>
      <c r="AD65" s="2" t="s">
        <v>241</v>
      </c>
    </row>
    <row r="66" spans="1:30" ht="15.75" customHeight="1">
      <c r="A66" s="34" t="s">
        <v>141</v>
      </c>
      <c r="B66" s="35" t="s">
        <v>142</v>
      </c>
      <c r="C66" s="35" t="s">
        <v>162</v>
      </c>
      <c r="D66" s="36">
        <v>1199845</v>
      </c>
      <c r="E66" s="39" t="s">
        <v>151</v>
      </c>
      <c r="F66" s="36">
        <v>188429</v>
      </c>
      <c r="G66" s="37">
        <v>3</v>
      </c>
      <c r="H66" s="35" t="s">
        <v>145</v>
      </c>
      <c r="I66" s="38">
        <v>7.3</v>
      </c>
      <c r="J66" s="37">
        <v>1</v>
      </c>
      <c r="K66" s="35" t="s">
        <v>145</v>
      </c>
      <c r="L66" s="38">
        <v>1.46</v>
      </c>
      <c r="M66" s="37">
        <v>1</v>
      </c>
      <c r="N66" s="35" t="s">
        <v>145</v>
      </c>
      <c r="R66" s="2" t="s">
        <v>163</v>
      </c>
      <c r="T66" s="2" t="s">
        <v>164</v>
      </c>
      <c r="U66" s="24">
        <f t="shared" si="19"/>
        <v>15.49837338256836</v>
      </c>
      <c r="V66" s="2">
        <v>8.4</v>
      </c>
      <c r="W66" s="2" t="s">
        <v>91</v>
      </c>
      <c r="X66" s="2" t="s">
        <v>147</v>
      </c>
      <c r="Y66" s="2" t="s">
        <v>148</v>
      </c>
      <c r="Z66" s="2" t="s">
        <v>158</v>
      </c>
      <c r="AA66" s="2" t="s">
        <v>149</v>
      </c>
      <c r="AB66" s="2" t="s">
        <v>95</v>
      </c>
      <c r="AD66" s="2" t="s">
        <v>241</v>
      </c>
    </row>
    <row r="67" spans="1:30" ht="15.75" customHeight="1">
      <c r="A67" s="34" t="s">
        <v>141</v>
      </c>
      <c r="B67" s="35" t="s">
        <v>142</v>
      </c>
      <c r="C67" s="35" t="s">
        <v>165</v>
      </c>
      <c r="D67" s="36">
        <v>177871</v>
      </c>
      <c r="E67" s="39" t="s">
        <v>151</v>
      </c>
      <c r="F67" s="36">
        <v>68055</v>
      </c>
      <c r="G67" s="37">
        <v>3</v>
      </c>
      <c r="H67" s="35" t="s">
        <v>145</v>
      </c>
      <c r="I67" s="38">
        <v>1.2</v>
      </c>
      <c r="J67" s="37">
        <v>1</v>
      </c>
      <c r="K67" s="35" t="s">
        <v>145</v>
      </c>
      <c r="L67" s="38">
        <v>0.12</v>
      </c>
      <c r="M67" s="37">
        <v>1</v>
      </c>
      <c r="N67" s="35" t="s">
        <v>145</v>
      </c>
      <c r="R67" s="2" t="s">
        <v>166</v>
      </c>
      <c r="T67" s="2" t="s">
        <v>167</v>
      </c>
      <c r="U67" s="24">
        <f t="shared" ref="U67:U69" si="20">U32</f>
        <v>1.0014639892578125</v>
      </c>
      <c r="V67" s="2">
        <v>0</v>
      </c>
      <c r="W67" s="2" t="s">
        <v>91</v>
      </c>
      <c r="X67" s="2" t="s">
        <v>147</v>
      </c>
      <c r="Y67" s="2" t="s">
        <v>148</v>
      </c>
      <c r="Z67" s="2" t="s">
        <v>94</v>
      </c>
      <c r="AA67" s="2" t="s">
        <v>94</v>
      </c>
      <c r="AB67" s="2" t="s">
        <v>95</v>
      </c>
      <c r="AD67" s="2" t="s">
        <v>241</v>
      </c>
    </row>
    <row r="68" spans="1:30" ht="15.75" customHeight="1">
      <c r="A68" s="34" t="s">
        <v>168</v>
      </c>
      <c r="B68" s="35" t="s">
        <v>142</v>
      </c>
      <c r="C68" s="35" t="s">
        <v>169</v>
      </c>
      <c r="D68" s="36">
        <v>910988</v>
      </c>
      <c r="E68" s="35" t="s">
        <v>170</v>
      </c>
      <c r="F68" s="36">
        <v>39454</v>
      </c>
      <c r="G68" s="37">
        <v>3</v>
      </c>
      <c r="H68" s="35" t="s">
        <v>145</v>
      </c>
      <c r="I68" s="38">
        <v>0.7</v>
      </c>
      <c r="J68" s="37">
        <v>1</v>
      </c>
      <c r="K68" s="35" t="s">
        <v>145</v>
      </c>
      <c r="L68" s="38">
        <v>7.0000000000000007E-2</v>
      </c>
      <c r="M68" s="37">
        <v>1</v>
      </c>
      <c r="N68" s="35" t="s">
        <v>145</v>
      </c>
      <c r="R68" s="2" t="s">
        <v>171</v>
      </c>
      <c r="T68" s="2" t="s">
        <v>172</v>
      </c>
      <c r="U68" s="24">
        <f t="shared" si="20"/>
        <v>7.3658288574218753</v>
      </c>
      <c r="V68" s="2">
        <v>3.8</v>
      </c>
      <c r="W68" s="2" t="s">
        <v>91</v>
      </c>
      <c r="X68" s="2" t="s">
        <v>147</v>
      </c>
      <c r="Y68" s="2" t="s">
        <v>148</v>
      </c>
      <c r="Z68" s="2" t="s">
        <v>94</v>
      </c>
      <c r="AA68" s="2" t="s">
        <v>149</v>
      </c>
      <c r="AB68" s="2" t="s">
        <v>95</v>
      </c>
      <c r="AD68" s="2" t="s">
        <v>241</v>
      </c>
    </row>
    <row r="69" spans="1:30" ht="15.75" customHeight="1">
      <c r="A69" s="40" t="s">
        <v>173</v>
      </c>
      <c r="B69" s="41" t="s">
        <v>174</v>
      </c>
      <c r="C69" s="41" t="s">
        <v>175</v>
      </c>
      <c r="D69" s="42">
        <v>30042216</v>
      </c>
      <c r="E69" s="43" t="s">
        <v>176</v>
      </c>
      <c r="F69" s="42">
        <v>23227198</v>
      </c>
      <c r="G69" s="44">
        <v>3</v>
      </c>
      <c r="H69" s="41" t="s">
        <v>145</v>
      </c>
      <c r="I69" s="41" t="s">
        <v>177</v>
      </c>
      <c r="J69" s="44">
        <v>3</v>
      </c>
      <c r="K69" s="41" t="s">
        <v>145</v>
      </c>
      <c r="L69" s="43">
        <v>0</v>
      </c>
      <c r="M69" s="43"/>
      <c r="N69" s="43"/>
      <c r="R69" s="2" t="s">
        <v>178</v>
      </c>
      <c r="T69" s="2" t="s">
        <v>179</v>
      </c>
      <c r="U69" s="24">
        <f t="shared" si="20"/>
        <v>4.1653308105468749</v>
      </c>
      <c r="V69" s="2">
        <v>4</v>
      </c>
      <c r="W69" s="2" t="s">
        <v>91</v>
      </c>
      <c r="X69" s="2" t="s">
        <v>147</v>
      </c>
      <c r="Y69" s="2" t="s">
        <v>148</v>
      </c>
      <c r="Z69" s="2" t="s">
        <v>180</v>
      </c>
      <c r="AA69" s="2" t="s">
        <v>94</v>
      </c>
      <c r="AB69" s="2" t="s">
        <v>95</v>
      </c>
      <c r="AD69" s="2" t="s">
        <v>241</v>
      </c>
    </row>
    <row r="70" spans="1:30" ht="15.75" customHeight="1">
      <c r="A70" s="45" t="s">
        <v>173</v>
      </c>
      <c r="B70" s="46" t="s">
        <v>174</v>
      </c>
      <c r="C70" s="47" t="s">
        <v>181</v>
      </c>
      <c r="D70" s="47" t="s">
        <v>182</v>
      </c>
      <c r="E70" s="46" t="s">
        <v>183</v>
      </c>
      <c r="F70" s="48">
        <v>2027278</v>
      </c>
      <c r="G70" s="49">
        <v>3</v>
      </c>
      <c r="H70" s="46" t="s">
        <v>145</v>
      </c>
      <c r="I70" s="46" t="s">
        <v>184</v>
      </c>
      <c r="J70" s="46" t="s">
        <v>184</v>
      </c>
      <c r="K70" s="46" t="s">
        <v>184</v>
      </c>
      <c r="L70" s="46" t="s">
        <v>184</v>
      </c>
      <c r="M70" s="46" t="s">
        <v>184</v>
      </c>
      <c r="N70" s="46" t="s">
        <v>184</v>
      </c>
      <c r="R70" s="2" t="s">
        <v>185</v>
      </c>
      <c r="T70" s="2" t="s">
        <v>186</v>
      </c>
      <c r="U70" s="24">
        <f>SUM(U35:U38)+U30</f>
        <v>5.2874631776809693</v>
      </c>
      <c r="V70" s="2">
        <v>4.3</v>
      </c>
      <c r="W70" s="2" t="s">
        <v>91</v>
      </c>
      <c r="X70" s="2" t="s">
        <v>147</v>
      </c>
      <c r="Y70" s="2" t="s">
        <v>148</v>
      </c>
      <c r="Z70" s="2" t="s">
        <v>94</v>
      </c>
      <c r="AA70" s="2" t="s">
        <v>94</v>
      </c>
      <c r="AB70" s="2" t="s">
        <v>95</v>
      </c>
      <c r="AD70" s="2" t="s">
        <v>241</v>
      </c>
    </row>
    <row r="71" spans="1:30" ht="15.75" customHeight="1">
      <c r="A71" s="50" t="s">
        <v>173</v>
      </c>
      <c r="B71" s="47" t="s">
        <v>174</v>
      </c>
      <c r="C71" s="47" t="s">
        <v>187</v>
      </c>
      <c r="D71" s="51">
        <v>177871</v>
      </c>
      <c r="E71" s="52" t="s">
        <v>151</v>
      </c>
      <c r="F71" s="51">
        <v>309044</v>
      </c>
      <c r="G71" s="53">
        <v>3</v>
      </c>
      <c r="H71" s="47" t="s">
        <v>145</v>
      </c>
      <c r="I71" s="47" t="s">
        <v>184</v>
      </c>
      <c r="J71" s="47" t="s">
        <v>184</v>
      </c>
      <c r="K71" s="47" t="s">
        <v>184</v>
      </c>
      <c r="L71" s="47" t="s">
        <v>184</v>
      </c>
      <c r="M71" s="47" t="s">
        <v>184</v>
      </c>
      <c r="N71" s="47" t="s">
        <v>184</v>
      </c>
      <c r="W71" s="2" t="s">
        <v>91</v>
      </c>
    </row>
    <row r="72" spans="1:30" ht="15.75" customHeight="1">
      <c r="A72" s="50" t="s">
        <v>173</v>
      </c>
      <c r="B72" s="47" t="s">
        <v>174</v>
      </c>
      <c r="C72" s="47" t="s">
        <v>188</v>
      </c>
      <c r="D72" s="51">
        <v>182658</v>
      </c>
      <c r="E72" s="47" t="s">
        <v>189</v>
      </c>
      <c r="F72" s="51">
        <v>15323</v>
      </c>
      <c r="G72" s="53">
        <v>3</v>
      </c>
      <c r="H72" s="47" t="s">
        <v>145</v>
      </c>
      <c r="I72" s="47" t="s">
        <v>184</v>
      </c>
      <c r="J72" s="47" t="s">
        <v>184</v>
      </c>
      <c r="K72" s="47" t="s">
        <v>184</v>
      </c>
      <c r="L72" s="47" t="s">
        <v>184</v>
      </c>
      <c r="M72" s="47" t="s">
        <v>184</v>
      </c>
      <c r="N72" s="47" t="s">
        <v>184</v>
      </c>
      <c r="R72" s="2" t="s">
        <v>190</v>
      </c>
      <c r="T72" s="2" t="s">
        <v>191</v>
      </c>
      <c r="U72" s="24">
        <f t="shared" ref="U72:U73" si="21">U41</f>
        <v>1.2323005371093749</v>
      </c>
      <c r="V72" s="2">
        <v>1.6</v>
      </c>
      <c r="W72" s="2" t="s">
        <v>91</v>
      </c>
      <c r="X72" s="2" t="s">
        <v>192</v>
      </c>
      <c r="Y72" s="2" t="s">
        <v>193</v>
      </c>
      <c r="Z72" s="2" t="s">
        <v>94</v>
      </c>
      <c r="AA72" s="2" t="s">
        <v>94</v>
      </c>
      <c r="AB72" s="2" t="s">
        <v>95</v>
      </c>
      <c r="AD72" s="2" t="s">
        <v>242</v>
      </c>
    </row>
    <row r="73" spans="1:30" ht="15.75" customHeight="1">
      <c r="A73" s="54" t="s">
        <v>194</v>
      </c>
      <c r="B73" s="55" t="s">
        <v>195</v>
      </c>
      <c r="C73" s="55" t="s">
        <v>196</v>
      </c>
      <c r="D73" s="56">
        <v>23360</v>
      </c>
      <c r="E73" s="55" t="s">
        <v>197</v>
      </c>
      <c r="F73" s="56">
        <v>7065</v>
      </c>
      <c r="G73" s="57">
        <v>3</v>
      </c>
      <c r="H73" s="55" t="s">
        <v>145</v>
      </c>
      <c r="I73" s="58">
        <v>3853</v>
      </c>
      <c r="J73" s="57">
        <v>3</v>
      </c>
      <c r="K73" s="55" t="s">
        <v>145</v>
      </c>
      <c r="L73" s="59">
        <v>0</v>
      </c>
      <c r="M73" s="59"/>
      <c r="N73" s="59"/>
      <c r="R73" s="2" t="s">
        <v>67</v>
      </c>
      <c r="T73" s="2" t="s">
        <v>198</v>
      </c>
      <c r="U73" s="24">
        <f t="shared" si="21"/>
        <v>0.22049711608886718</v>
      </c>
      <c r="V73" s="2">
        <v>0</v>
      </c>
      <c r="W73" s="2" t="s">
        <v>91</v>
      </c>
      <c r="X73" s="2" t="s">
        <v>199</v>
      </c>
      <c r="Y73" s="2" t="s">
        <v>193</v>
      </c>
      <c r="Z73" s="2" t="s">
        <v>94</v>
      </c>
      <c r="AA73" s="2" t="s">
        <v>94</v>
      </c>
      <c r="AB73" s="2" t="s">
        <v>95</v>
      </c>
      <c r="AD73" s="2" t="s">
        <v>242</v>
      </c>
    </row>
    <row r="74" spans="1:30" ht="15.75" customHeight="1">
      <c r="A74" s="60" t="s">
        <v>194</v>
      </c>
      <c r="B74" s="61" t="s">
        <v>195</v>
      </c>
      <c r="C74" s="55" t="s">
        <v>200</v>
      </c>
      <c r="D74" s="62">
        <v>119401</v>
      </c>
      <c r="E74" s="55" t="s">
        <v>201</v>
      </c>
      <c r="F74" s="62">
        <v>180962</v>
      </c>
      <c r="G74" s="63">
        <v>3</v>
      </c>
      <c r="H74" s="61" t="s">
        <v>145</v>
      </c>
      <c r="I74" s="61" t="s">
        <v>184</v>
      </c>
      <c r="J74" s="61" t="s">
        <v>184</v>
      </c>
      <c r="K74" s="61" t="s">
        <v>184</v>
      </c>
      <c r="L74" s="61" t="s">
        <v>184</v>
      </c>
      <c r="M74" s="61" t="s">
        <v>184</v>
      </c>
      <c r="N74" s="61" t="s">
        <v>184</v>
      </c>
    </row>
    <row r="75" spans="1:30" ht="15.75" customHeight="1">
      <c r="A75" s="64" t="s">
        <v>202</v>
      </c>
      <c r="B75" s="65" t="s">
        <v>203</v>
      </c>
      <c r="C75" s="65" t="s">
        <v>204</v>
      </c>
      <c r="D75" s="66">
        <v>643962</v>
      </c>
      <c r="E75" s="65" t="s">
        <v>205</v>
      </c>
      <c r="F75" s="67" t="s">
        <v>184</v>
      </c>
      <c r="G75" s="65" t="s">
        <v>184</v>
      </c>
      <c r="H75" s="65" t="s">
        <v>184</v>
      </c>
      <c r="I75" s="65" t="s">
        <v>184</v>
      </c>
      <c r="J75" s="65" t="s">
        <v>184</v>
      </c>
      <c r="K75" s="65" t="s">
        <v>184</v>
      </c>
      <c r="L75" s="68">
        <v>692</v>
      </c>
      <c r="M75" s="69">
        <v>3</v>
      </c>
      <c r="N75" s="65" t="s">
        <v>145</v>
      </c>
      <c r="R75" s="3" t="s">
        <v>206</v>
      </c>
    </row>
    <row r="76" spans="1:30" ht="15.75" customHeight="1">
      <c r="A76" s="64" t="s">
        <v>202</v>
      </c>
      <c r="B76" s="65" t="s">
        <v>207</v>
      </c>
      <c r="C76" s="65" t="s">
        <v>208</v>
      </c>
      <c r="D76" s="66">
        <v>313043</v>
      </c>
      <c r="E76" s="65" t="s">
        <v>209</v>
      </c>
      <c r="F76" s="66">
        <v>241415</v>
      </c>
      <c r="G76" s="69">
        <v>3</v>
      </c>
      <c r="H76" s="65" t="s">
        <v>145</v>
      </c>
      <c r="I76" s="68">
        <v>7962</v>
      </c>
      <c r="J76" s="69">
        <v>3</v>
      </c>
      <c r="K76" s="65" t="s">
        <v>145</v>
      </c>
      <c r="L76" s="65" t="s">
        <v>184</v>
      </c>
      <c r="M76" s="65" t="s">
        <v>184</v>
      </c>
      <c r="N76" s="65" t="s">
        <v>184</v>
      </c>
      <c r="R76" s="2" t="s">
        <v>210</v>
      </c>
    </row>
    <row r="77" spans="1:30" ht="15.75" customHeight="1">
      <c r="A77" s="50" t="s">
        <v>173</v>
      </c>
      <c r="B77" s="47" t="s">
        <v>211</v>
      </c>
      <c r="C77" s="47" t="s">
        <v>212</v>
      </c>
      <c r="D77" s="51">
        <v>40020782</v>
      </c>
      <c r="E77" s="47" t="s">
        <v>213</v>
      </c>
      <c r="F77" s="53" t="s">
        <v>214</v>
      </c>
      <c r="G77" s="47" t="s">
        <v>184</v>
      </c>
      <c r="H77" s="47" t="s">
        <v>184</v>
      </c>
      <c r="I77" s="70">
        <v>3229</v>
      </c>
      <c r="J77" s="53">
        <v>2</v>
      </c>
      <c r="K77" s="47" t="s">
        <v>145</v>
      </c>
      <c r="L77" s="47" t="s">
        <v>184</v>
      </c>
      <c r="M77" s="47" t="s">
        <v>184</v>
      </c>
      <c r="N77" s="47" t="s">
        <v>184</v>
      </c>
      <c r="R77" s="2" t="s">
        <v>215</v>
      </c>
      <c r="W77" s="2" t="s">
        <v>216</v>
      </c>
      <c r="Y77" s="2" t="s">
        <v>30</v>
      </c>
      <c r="Z77" s="2" t="s">
        <v>113</v>
      </c>
      <c r="AA77" s="2" t="s">
        <v>158</v>
      </c>
      <c r="AB77" s="2" t="s">
        <v>95</v>
      </c>
    </row>
    <row r="78" spans="1:30" ht="15.75" customHeight="1">
      <c r="A78" s="50" t="s">
        <v>217</v>
      </c>
      <c r="B78" s="47" t="s">
        <v>218</v>
      </c>
      <c r="C78" s="47" t="s">
        <v>219</v>
      </c>
      <c r="D78" s="51">
        <v>4555664</v>
      </c>
      <c r="E78" s="52" t="s">
        <v>220</v>
      </c>
      <c r="F78" s="53" t="s">
        <v>214</v>
      </c>
      <c r="G78" s="47" t="s">
        <v>184</v>
      </c>
      <c r="H78" s="47" t="s">
        <v>184</v>
      </c>
      <c r="I78" s="70">
        <v>243</v>
      </c>
      <c r="J78" s="53">
        <v>2</v>
      </c>
      <c r="K78" s="47" t="s">
        <v>145</v>
      </c>
      <c r="L78" s="47" t="s">
        <v>184</v>
      </c>
      <c r="M78" s="47" t="s">
        <v>184</v>
      </c>
      <c r="N78" s="47" t="s">
        <v>184</v>
      </c>
      <c r="R78" s="2" t="s">
        <v>221</v>
      </c>
      <c r="W78" s="2" t="s">
        <v>216</v>
      </c>
      <c r="Y78" s="2" t="s">
        <v>30</v>
      </c>
      <c r="Z78" s="2" t="s">
        <v>113</v>
      </c>
      <c r="AA78" s="2" t="s">
        <v>158</v>
      </c>
      <c r="AB78" s="2" t="s">
        <v>95</v>
      </c>
    </row>
    <row r="79" spans="1:30" ht="15.75" customHeight="1">
      <c r="A79" s="54" t="s">
        <v>222</v>
      </c>
      <c r="B79" s="55" t="s">
        <v>223</v>
      </c>
      <c r="C79" s="55" t="s">
        <v>224</v>
      </c>
      <c r="D79" s="55" t="s">
        <v>225</v>
      </c>
      <c r="E79" s="55" t="s">
        <v>184</v>
      </c>
      <c r="F79" s="55" t="s">
        <v>184</v>
      </c>
      <c r="G79" s="55" t="s">
        <v>184</v>
      </c>
      <c r="H79" s="55" t="s">
        <v>184</v>
      </c>
      <c r="I79" s="55" t="s">
        <v>184</v>
      </c>
      <c r="J79" s="55" t="s">
        <v>184</v>
      </c>
      <c r="K79" s="55" t="s">
        <v>184</v>
      </c>
      <c r="L79" s="55" t="s">
        <v>184</v>
      </c>
      <c r="M79" s="55" t="s">
        <v>184</v>
      </c>
      <c r="N79" s="55" t="s">
        <v>184</v>
      </c>
    </row>
    <row r="80" spans="1:30" ht="15.75" customHeight="1">
      <c r="A80" s="34" t="s">
        <v>226</v>
      </c>
      <c r="B80" s="35" t="s">
        <v>227</v>
      </c>
      <c r="C80" s="35" t="s">
        <v>228</v>
      </c>
      <c r="D80" s="36">
        <v>245406</v>
      </c>
      <c r="E80" s="35" t="s">
        <v>229</v>
      </c>
      <c r="F80" s="36">
        <v>19410</v>
      </c>
      <c r="G80" s="37">
        <v>1</v>
      </c>
      <c r="H80" s="35" t="s">
        <v>230</v>
      </c>
      <c r="I80" s="35" t="s">
        <v>184</v>
      </c>
      <c r="J80" s="35" t="s">
        <v>184</v>
      </c>
      <c r="K80" s="35" t="s">
        <v>184</v>
      </c>
      <c r="L80" s="35" t="s">
        <v>184</v>
      </c>
      <c r="M80" s="35" t="s">
        <v>184</v>
      </c>
      <c r="N80" s="35" t="s">
        <v>184</v>
      </c>
      <c r="R80" s="2" t="s">
        <v>231</v>
      </c>
    </row>
    <row r="81" spans="1:28" ht="15.75" customHeight="1">
      <c r="R81" s="2" t="s">
        <v>215</v>
      </c>
      <c r="W81" s="2" t="s">
        <v>216</v>
      </c>
      <c r="Y81" s="2" t="s">
        <v>30</v>
      </c>
      <c r="Z81" s="2" t="s">
        <v>113</v>
      </c>
      <c r="AA81" s="2" t="s">
        <v>158</v>
      </c>
      <c r="AB81" s="2" t="s">
        <v>95</v>
      </c>
    </row>
    <row r="82" spans="1:28" ht="15.75" customHeight="1">
      <c r="R82" s="2" t="s">
        <v>232</v>
      </c>
      <c r="W82" s="2" t="s">
        <v>216</v>
      </c>
      <c r="Y82" s="2" t="s">
        <v>30</v>
      </c>
      <c r="Z82" s="2" t="s">
        <v>113</v>
      </c>
      <c r="AA82" s="2" t="s">
        <v>158</v>
      </c>
      <c r="AB82" s="2" t="s">
        <v>95</v>
      </c>
    </row>
    <row r="83" spans="1:28" ht="15.75" customHeight="1">
      <c r="A83" s="2" t="s">
        <v>233</v>
      </c>
      <c r="R83" s="2" t="s">
        <v>234</v>
      </c>
      <c r="W83" s="2" t="s">
        <v>216</v>
      </c>
      <c r="Y83" s="2" t="s">
        <v>30</v>
      </c>
      <c r="Z83" s="2" t="s">
        <v>113</v>
      </c>
      <c r="AA83" s="2" t="s">
        <v>158</v>
      </c>
      <c r="AB83" s="2" t="s">
        <v>95</v>
      </c>
    </row>
    <row r="84" spans="1:28" ht="15.75" customHeight="1">
      <c r="A84" s="2" t="s">
        <v>235</v>
      </c>
      <c r="B84" s="71" t="s">
        <v>236</v>
      </c>
    </row>
    <row r="85" spans="1:28" ht="15.75" customHeight="1">
      <c r="R85" s="2" t="s">
        <v>119</v>
      </c>
      <c r="X85" s="2" t="s">
        <v>237</v>
      </c>
      <c r="Y85" s="2" t="s">
        <v>127</v>
      </c>
      <c r="Z85" s="2" t="s">
        <v>113</v>
      </c>
      <c r="AA85" s="2" t="s">
        <v>158</v>
      </c>
      <c r="AB85" s="2" t="s">
        <v>95</v>
      </c>
    </row>
    <row r="86" spans="1:28" ht="15.75" customHeight="1"/>
    <row r="87" spans="1:28" ht="15.75" customHeight="1"/>
    <row r="88" spans="1:28" ht="15.75" customHeight="1"/>
    <row r="89" spans="1:28" ht="15.75" customHeight="1"/>
    <row r="90" spans="1:28" ht="15.75" customHeight="1"/>
    <row r="91" spans="1:28" ht="15.75" customHeight="1"/>
    <row r="92" spans="1:28" ht="15.75" customHeight="1"/>
    <row r="93" spans="1:28" ht="15.75" customHeight="1"/>
    <row r="94" spans="1:28" ht="15.75" customHeight="1"/>
    <row r="95" spans="1:28" ht="15.75" customHeight="1"/>
    <row r="96" spans="1:28"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A56:B56"/>
    <mergeCell ref="C56:N56"/>
    <mergeCell ref="A57:B57"/>
    <mergeCell ref="C57:N57"/>
    <mergeCell ref="A58:N58"/>
    <mergeCell ref="A59:A61"/>
    <mergeCell ref="B59:B61"/>
    <mergeCell ref="C59:E59"/>
    <mergeCell ref="F59:N59"/>
    <mergeCell ref="C60:C61"/>
    <mergeCell ref="D60:D61"/>
    <mergeCell ref="E60:E61"/>
    <mergeCell ref="F60:H60"/>
    <mergeCell ref="I60:K60"/>
    <mergeCell ref="L60:N60"/>
    <mergeCell ref="C3:J3"/>
    <mergeCell ref="A53:G53"/>
    <mergeCell ref="A54:B54"/>
    <mergeCell ref="C54:N54"/>
    <mergeCell ref="A55:B55"/>
    <mergeCell ref="C55:N55"/>
  </mergeCells>
  <hyperlinks>
    <hyperlink ref="K4" r:id="rId1" xr:uid="{89E2A8E1-6C1D-4D8B-9998-A37A51277189}"/>
    <hyperlink ref="B84" r:id="rId2" xr:uid="{E0F364A6-BDC3-45AF-A011-67728A7C5BB1}"/>
  </hyperlinks>
  <pageMargins left="0.7" right="0.7" top="0.75" bottom="0.75" header="0" footer="0"/>
  <pageSetup orientation="landscape" r:id="rId3"/>
  <drawing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dc:creator>
  <cp:lastModifiedBy>Bruno</cp:lastModifiedBy>
  <dcterms:created xsi:type="dcterms:W3CDTF">2021-10-27T09:17:17Z</dcterms:created>
  <dcterms:modified xsi:type="dcterms:W3CDTF">2022-02-23T12:05:14Z</dcterms:modified>
</cp:coreProperties>
</file>