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Model Documentation\SATIM\Energy Balance\"/>
    </mc:Choice>
  </mc:AlternateContent>
  <xr:revisionPtr revIDLastSave="0" documentId="8_{07B4476C-3B62-476C-838D-0272B028A561}" xr6:coauthVersionLast="47" xr6:coauthVersionMax="47" xr10:uidLastSave="{00000000-0000-0000-0000-000000000000}"/>
  <bookViews>
    <workbookView xWindow="3090" yWindow="3540" windowWidth="25560" windowHeight="12030" tabRatio="500" xr2:uid="{00000000-000D-0000-FFFF-FFFF00000000}"/>
  </bookViews>
  <sheets>
    <sheet name="FTS-Unallocated" sheetId="1" r:id="rId1"/>
    <sheet name="Ehtylene" sheetId="2" r:id="rId2"/>
    <sheet name="Propylene" sheetId="3" r:id="rId3"/>
    <sheet name="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1" l="1"/>
  <c r="I11" i="1"/>
  <c r="I22" i="1"/>
  <c r="I21" i="1"/>
  <c r="I20" i="1"/>
  <c r="I19" i="1"/>
  <c r="I18" i="1"/>
  <c r="I17" i="1"/>
  <c r="I16" i="1"/>
  <c r="I15" i="1"/>
  <c r="I14" i="1"/>
  <c r="I13" i="1"/>
  <c r="I12" i="1"/>
  <c r="I10" i="1"/>
  <c r="I9" i="1"/>
  <c r="I8" i="1"/>
  <c r="I7" i="1"/>
  <c r="I6" i="1"/>
  <c r="I5" i="1"/>
  <c r="I4" i="1"/>
  <c r="J26" i="3"/>
  <c r="L26" i="3" s="1"/>
  <c r="J27" i="3"/>
  <c r="J28" i="3"/>
  <c r="J24" i="3"/>
  <c r="L24" i="3" s="1"/>
  <c r="J15" i="3"/>
  <c r="L15" i="3" s="1"/>
  <c r="J16" i="3"/>
  <c r="L16" i="3" s="1"/>
  <c r="J17" i="3"/>
  <c r="L17" i="3" s="1"/>
  <c r="J18" i="3"/>
  <c r="L18" i="3" s="1"/>
  <c r="J19" i="3"/>
  <c r="L19" i="3" s="1"/>
  <c r="J20" i="3"/>
  <c r="L20" i="3" s="1"/>
  <c r="J21" i="3"/>
  <c r="J22" i="3"/>
  <c r="J14" i="3"/>
  <c r="J9" i="3"/>
  <c r="L9" i="3" s="1"/>
  <c r="J10" i="3"/>
  <c r="L10" i="3" s="1"/>
  <c r="J11" i="3"/>
  <c r="L11" i="3" s="1"/>
  <c r="J12" i="3"/>
  <c r="J8" i="3"/>
  <c r="J6" i="3"/>
  <c r="J5" i="3"/>
  <c r="L28" i="3"/>
  <c r="L27" i="3"/>
  <c r="L21" i="3"/>
  <c r="L14" i="3"/>
  <c r="L12" i="3"/>
  <c r="L8" i="3"/>
  <c r="L6" i="3"/>
  <c r="L5" i="3"/>
  <c r="G47" i="1"/>
  <c r="F47" i="1" s="1"/>
  <c r="F4" i="1"/>
  <c r="E30" i="1" s="1"/>
  <c r="C51" i="1"/>
  <c r="F5" i="1"/>
  <c r="F6" i="1"/>
  <c r="F7" i="1"/>
  <c r="F8" i="1"/>
  <c r="F9" i="1"/>
  <c r="F10" i="1"/>
  <c r="F11" i="1"/>
  <c r="F12" i="1"/>
  <c r="F13" i="1"/>
  <c r="F14" i="1"/>
  <c r="G15" i="1"/>
  <c r="F15" i="1" s="1"/>
  <c r="E15" i="1" s="1"/>
  <c r="J15" i="1" s="1"/>
  <c r="F16" i="1"/>
  <c r="F17" i="1"/>
  <c r="F19" i="1"/>
  <c r="F20" i="1"/>
  <c r="G21" i="1"/>
  <c r="F21" i="1" s="1"/>
  <c r="G34" i="1"/>
  <c r="F34" i="1"/>
  <c r="G24" i="1"/>
  <c r="F24" i="1" s="1"/>
  <c r="E24" i="1" s="1"/>
  <c r="G27" i="1"/>
  <c r="F27" i="1"/>
  <c r="E27" i="1" s="1"/>
  <c r="F29" i="1"/>
  <c r="F33" i="1"/>
  <c r="E33" i="1" s="1"/>
  <c r="F35" i="1"/>
  <c r="G36" i="1"/>
  <c r="F36" i="1" s="1"/>
  <c r="F37" i="1"/>
  <c r="F38" i="1"/>
  <c r="F39" i="1"/>
  <c r="F40" i="1"/>
  <c r="G43" i="1"/>
  <c r="F43" i="1"/>
  <c r="G44" i="1"/>
  <c r="G45" i="1"/>
  <c r="F45" i="1" s="1"/>
  <c r="G41" i="1"/>
  <c r="F41" i="1" s="1"/>
  <c r="E10" i="1" l="1"/>
  <c r="J10" i="1" s="1"/>
  <c r="E21" i="1"/>
  <c r="J21" i="1" s="1"/>
  <c r="E45" i="1"/>
  <c r="E19" i="1"/>
  <c r="J19" i="1" s="1"/>
  <c r="E7" i="1"/>
  <c r="J7" i="1" s="1"/>
  <c r="E34" i="1"/>
  <c r="E44" i="1"/>
  <c r="E6" i="1"/>
  <c r="J6" i="1" s="1"/>
  <c r="E37" i="1"/>
  <c r="E36" i="1"/>
  <c r="E35" i="1"/>
  <c r="E8" i="1"/>
  <c r="J8" i="1" s="1"/>
  <c r="E43" i="1"/>
  <c r="E29" i="1"/>
  <c r="E5" i="1"/>
  <c r="J5" i="1" s="1"/>
  <c r="E12" i="1"/>
  <c r="J12" i="1" s="1"/>
  <c r="E11" i="1"/>
  <c r="J11" i="1" s="1"/>
  <c r="E9" i="1"/>
  <c r="J9" i="1" s="1"/>
  <c r="E41" i="1"/>
  <c r="E20" i="1"/>
  <c r="J20" i="1" s="1"/>
  <c r="E16" i="1"/>
  <c r="J16" i="1" s="1"/>
  <c r="E39" i="1"/>
  <c r="E14" i="1"/>
  <c r="J14" i="1" s="1"/>
  <c r="E47" i="1"/>
  <c r="E13" i="1"/>
  <c r="J13" i="1" s="1"/>
  <c r="E46" i="1"/>
  <c r="E22" i="1"/>
  <c r="J22" i="1" s="1"/>
  <c r="E18" i="1"/>
  <c r="J18" i="1" s="1"/>
  <c r="E4" i="1"/>
  <c r="E40" i="1"/>
  <c r="E31" i="1"/>
  <c r="E17" i="1"/>
  <c r="J17" i="1" s="1"/>
  <c r="E38" i="1"/>
  <c r="E28" i="1"/>
  <c r="E25" i="1"/>
  <c r="I4" i="2" l="1"/>
  <c r="J4" i="1"/>
  <c r="E1" i="1"/>
  <c r="I25" i="3" s="1"/>
  <c r="J25" i="3" s="1"/>
  <c r="L25" i="3" s="1"/>
  <c r="I25" i="2"/>
  <c r="J25" i="2" s="1"/>
  <c r="L25" i="2" s="1"/>
  <c r="I21" i="2"/>
  <c r="J21" i="2" s="1"/>
  <c r="L21" i="2" s="1"/>
  <c r="I17" i="2"/>
  <c r="J17" i="2" s="1"/>
  <c r="L17" i="2" s="1"/>
  <c r="I8" i="2"/>
  <c r="J8" i="2" s="1"/>
  <c r="L8" i="2" s="1"/>
  <c r="I26" i="2"/>
  <c r="J26" i="2" s="1"/>
  <c r="L26" i="2" s="1"/>
  <c r="I18" i="2"/>
  <c r="J18" i="2" s="1"/>
  <c r="L18" i="2" s="1"/>
  <c r="I14" i="2"/>
  <c r="J14" i="2" s="1"/>
  <c r="L14" i="2" s="1"/>
  <c r="I9" i="2"/>
  <c r="J9" i="2" s="1"/>
  <c r="L9" i="2" s="1"/>
  <c r="I27" i="2"/>
  <c r="J27" i="2" s="1"/>
  <c r="L27" i="2" s="1"/>
  <c r="I15" i="2"/>
  <c r="J15" i="2" s="1"/>
  <c r="L15" i="2" s="1"/>
  <c r="I10" i="2"/>
  <c r="J10" i="2" s="1"/>
  <c r="L10" i="2" s="1"/>
  <c r="I5" i="2"/>
  <c r="J5" i="2" s="1"/>
  <c r="L5" i="2" s="1"/>
  <c r="I28" i="2"/>
  <c r="J28" i="2" s="1"/>
  <c r="L28" i="2" s="1"/>
  <c r="I24" i="2"/>
  <c r="J24" i="2" s="1"/>
  <c r="L24" i="2" s="1"/>
  <c r="I20" i="2"/>
  <c r="J20" i="2" s="1"/>
  <c r="L20" i="2" s="1"/>
  <c r="I16" i="2"/>
  <c r="J16" i="2" s="1"/>
  <c r="L16" i="2" s="1"/>
  <c r="I11" i="2"/>
  <c r="J11" i="2" s="1"/>
  <c r="L11" i="2" s="1"/>
  <c r="I6" i="2"/>
  <c r="J6" i="2" s="1"/>
  <c r="L6" i="2" s="1"/>
  <c r="I19" i="2" l="1"/>
  <c r="J19" i="2" s="1"/>
  <c r="L19" i="2" s="1"/>
  <c r="I22" i="2"/>
  <c r="J22" i="2" s="1"/>
  <c r="I12" i="2"/>
  <c r="J12" i="2" s="1"/>
  <c r="L12" i="2" s="1"/>
  <c r="J1" i="1"/>
  <c r="K4" i="1" s="1"/>
  <c r="K14" i="1" l="1"/>
  <c r="K10" i="1"/>
  <c r="K20" i="1"/>
  <c r="K19" i="1"/>
  <c r="K6" i="1"/>
  <c r="K21" i="1"/>
  <c r="K12" i="1"/>
  <c r="K15" i="1"/>
  <c r="K9" i="1"/>
  <c r="K7" i="1"/>
  <c r="K16" i="1"/>
  <c r="K13" i="1"/>
  <c r="K8" i="1"/>
  <c r="K11" i="1"/>
  <c r="K5" i="1"/>
  <c r="K18" i="1"/>
  <c r="K17" i="1"/>
  <c r="K22" i="1"/>
  <c r="K23" i="1" l="1"/>
  <c r="F23" i="2"/>
  <c r="F27" i="2"/>
  <c r="F15" i="2"/>
  <c r="F14" i="2"/>
  <c r="F11" i="2"/>
  <c r="F33" i="2"/>
  <c r="F24" i="2"/>
  <c r="F28" i="2"/>
  <c r="F16" i="2"/>
  <c r="F8" i="2"/>
  <c r="F7" i="2"/>
  <c r="F32" i="2"/>
  <c r="F25" i="2"/>
  <c r="F29" i="2"/>
  <c r="F17" i="2"/>
  <c r="F9" i="2"/>
  <c r="F22" i="2"/>
  <c r="F26" i="2"/>
  <c r="F21" i="2"/>
  <c r="F18" i="2"/>
  <c r="F10" i="2"/>
  <c r="F33" i="3"/>
  <c r="F24" i="3"/>
  <c r="F28" i="3"/>
  <c r="F16" i="3"/>
  <c r="F8" i="3"/>
  <c r="F7" i="3"/>
  <c r="F32" i="3"/>
  <c r="F25" i="3"/>
  <c r="F29" i="3"/>
  <c r="F17" i="3"/>
  <c r="F9" i="3"/>
  <c r="F22" i="3"/>
  <c r="F26" i="3"/>
  <c r="F21" i="3"/>
  <c r="F18" i="3"/>
  <c r="F10" i="3"/>
  <c r="F23" i="3"/>
  <c r="F27" i="3"/>
  <c r="F15" i="3"/>
  <c r="F14" i="3"/>
  <c r="F11" i="3"/>
</calcChain>
</file>

<file path=xl/sharedStrings.xml><?xml version="1.0" encoding="utf-8"?>
<sst xmlns="http://schemas.openxmlformats.org/spreadsheetml/2006/main" count="380" uniqueCount="127">
  <si>
    <t xml:space="preserve">ecoivent naming </t>
  </si>
  <si>
    <t>subcompartment</t>
  </si>
  <si>
    <t>Unit</t>
  </si>
  <si>
    <t xml:space="preserve">Unallocated 2017 </t>
  </si>
  <si>
    <t>Unallocated 2017  APV (kg, m3, m2, kWh)</t>
  </si>
  <si>
    <t>APV from Sasol's reports</t>
  </si>
  <si>
    <t>APV unit</t>
  </si>
  <si>
    <t>petrol, unleaded</t>
  </si>
  <si>
    <t>kg</t>
  </si>
  <si>
    <t>kton</t>
  </si>
  <si>
    <t>diesel, low sulphur</t>
  </si>
  <si>
    <t>liquified petroleum gas</t>
  </si>
  <si>
    <t>heavy fuel oil</t>
  </si>
  <si>
    <t>natural gas, high pressure (methane rich gas)</t>
  </si>
  <si>
    <t>m3</t>
  </si>
  <si>
    <t>methyl ethyl ketone</t>
  </si>
  <si>
    <t>Ethanol, withou water, in 99.7% solution state from ethylene</t>
  </si>
  <si>
    <t xml:space="preserve">1-Propanol </t>
  </si>
  <si>
    <t>iso-Buthanol</t>
  </si>
  <si>
    <t>1-Butanol</t>
  </si>
  <si>
    <t>chemical, organics</t>
  </si>
  <si>
    <t>ethylene, average</t>
  </si>
  <si>
    <t>propylene</t>
  </si>
  <si>
    <t>sulphur</t>
  </si>
  <si>
    <t>methanol</t>
  </si>
  <si>
    <t>butyl acrylate</t>
  </si>
  <si>
    <t>liquid fuels - black products (pitches and tars)</t>
  </si>
  <si>
    <t>Kton</t>
  </si>
  <si>
    <t>inert waste = non-hazardous waste (to disposal)</t>
  </si>
  <si>
    <t>hard coal ash</t>
  </si>
  <si>
    <t>Oxigen (air)</t>
  </si>
  <si>
    <t>air</t>
  </si>
  <si>
    <t>water (surface)</t>
  </si>
  <si>
    <t>raw water</t>
  </si>
  <si>
    <t>1000 m3</t>
  </si>
  <si>
    <t>land, occupation, industrial area</t>
  </si>
  <si>
    <t>land</t>
  </si>
  <si>
    <t>m2*a</t>
  </si>
  <si>
    <t>km2</t>
  </si>
  <si>
    <t>land, transformation to industrial area</t>
  </si>
  <si>
    <t>m2</t>
  </si>
  <si>
    <t>land, transformation from unspecified</t>
  </si>
  <si>
    <t>Carbon dioxide, fossil</t>
  </si>
  <si>
    <t>non-urban air or from high stakcs</t>
  </si>
  <si>
    <t>Water to air</t>
  </si>
  <si>
    <t>Sulfur oxides (Sox)</t>
  </si>
  <si>
    <t>Hydrogen sulfide (H2S)</t>
  </si>
  <si>
    <t>Nitrogen oxides (Nox)</t>
  </si>
  <si>
    <t>Particulates (fly-ash) &gt;10 micron</t>
  </si>
  <si>
    <t>VOC, volatile organic compounds</t>
  </si>
  <si>
    <t>Methane, fossil</t>
  </si>
  <si>
    <t>Water to water</t>
  </si>
  <si>
    <t>others (chemicals)</t>
  </si>
  <si>
    <t>petroleum refynery</t>
  </si>
  <si>
    <t>unit</t>
  </si>
  <si>
    <t>hard coal</t>
  </si>
  <si>
    <t>eletricity, medium voltage</t>
  </si>
  <si>
    <t>kWh</t>
  </si>
  <si>
    <t>MWh</t>
  </si>
  <si>
    <t>natural gas, high pressure</t>
  </si>
  <si>
    <t>differences % (ecoinvent - UCT)</t>
  </si>
  <si>
    <t>ethylene production only, ecoinvent compiled cut-off allocation</t>
  </si>
  <si>
    <t xml:space="preserve"> ethylene production by FTS, mass-allocated</t>
  </si>
  <si>
    <t xml:space="preserve"> ethylene production by FTS, mass-allocated, scaled up to 1 kg ethylene</t>
  </si>
  <si>
    <t>Natural gas conversion calculation</t>
  </si>
  <si>
    <t>chemical, inorganic//[GLO] market for chemicals, inorganic</t>
  </si>
  <si>
    <t>electricity, medium voltage//[ZA] market for electricity, medium voltage</t>
  </si>
  <si>
    <t>petroleum refinery//[GLO] market for refinery</t>
  </si>
  <si>
    <t>hard coal//[ZA] market for hard coal</t>
  </si>
  <si>
    <t>natural gas, high pressure//[RoW] market for natural gas, high pressure</t>
  </si>
  <si>
    <t>hard coal ash//[RoW] market for hard coal ash</t>
  </si>
  <si>
    <t>inert waste, for final disposal//[RoW] market for inert waste, for final disposal</t>
  </si>
  <si>
    <t xml:space="preserve">ethylene, average//[ZA] </t>
  </si>
  <si>
    <t>Oxygen</t>
  </si>
  <si>
    <t>water, river</t>
  </si>
  <si>
    <t>river</t>
  </si>
  <si>
    <t>occupation, industrial area</t>
  </si>
  <si>
    <t>transformation to industrial area</t>
  </si>
  <si>
    <t>transformation from unspecified</t>
  </si>
  <si>
    <t>low. pop.</t>
  </si>
  <si>
    <t xml:space="preserve"> Propylene production by FTS, mass-allocated</t>
  </si>
  <si>
    <t xml:space="preserve"> propylene production by FTS, mass-allocated, scaled up to 1 kg ethylene</t>
  </si>
  <si>
    <t>Type</t>
  </si>
  <si>
    <t>Name</t>
  </si>
  <si>
    <t>Compartmet</t>
  </si>
  <si>
    <t>References product</t>
  </si>
  <si>
    <t>Inputs from Nature (Water/Land)</t>
  </si>
  <si>
    <t>Inputs fromTechosphere (Materials/Fuels/Electricity)</t>
  </si>
  <si>
    <t>Emission to Air</t>
  </si>
  <si>
    <t>Waste to Treatment</t>
  </si>
  <si>
    <t>Waste</t>
  </si>
  <si>
    <t>Amount</t>
  </si>
  <si>
    <t xml:space="preserve">propylene//[ZA] </t>
  </si>
  <si>
    <t>propylene production only, ecoinvent compiled cut-off allocation</t>
  </si>
  <si>
    <t xml:space="preserve"> propylene production by FTS, mass-allocated, scaled up to 1 kg propylene</t>
  </si>
  <si>
    <t>market for diesel</t>
  </si>
  <si>
    <t>ZA</t>
  </si>
  <si>
    <t>market for diesel, low-sulfur</t>
  </si>
  <si>
    <t>market for ethylene, average</t>
  </si>
  <si>
    <t>market for heavy fuel oil</t>
  </si>
  <si>
    <t>market for kerosene</t>
  </si>
  <si>
    <t>market for light fuel oil</t>
  </si>
  <si>
    <t>market for liquefied petroleum gas</t>
  </si>
  <si>
    <t>market for naphtha</t>
  </si>
  <si>
    <t>market for petrol, unleaded</t>
  </si>
  <si>
    <t>market for pitch</t>
  </si>
  <si>
    <t>market for propylene</t>
  </si>
  <si>
    <t>1-butanol</t>
  </si>
  <si>
    <t>1-propanol</t>
  </si>
  <si>
    <t>acetone, liquid</t>
  </si>
  <si>
    <t>ammonia, liquid</t>
  </si>
  <si>
    <t>chemical, organic</t>
  </si>
  <si>
    <t>diesel, low-sulfur</t>
  </si>
  <si>
    <t>ethanol, without water, in 99.7% solution state, from ethylene</t>
  </si>
  <si>
    <t>isobutanol</t>
  </si>
  <si>
    <t>liquefied petroleum gas</t>
  </si>
  <si>
    <t>pitch</t>
  </si>
  <si>
    <t>sulfur</t>
  </si>
  <si>
    <t>€/kg</t>
  </si>
  <si>
    <t>Acetone, liquid</t>
  </si>
  <si>
    <t>Prices €/kg (except for Natural gas, €/m3)</t>
  </si>
  <si>
    <t>Prices (mass x unit price)</t>
  </si>
  <si>
    <t>Economic allocation</t>
  </si>
  <si>
    <t>Tot Mass</t>
  </si>
  <si>
    <t>Tot prices (mass x unit price)</t>
  </si>
  <si>
    <t>Amount by mass</t>
  </si>
  <si>
    <t>Amount by Ec-All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</si>
</sst>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1" fontId="0" fillId="0" borderId="0" xfId="0" applyNumberFormat="1" applyFill="1" applyAlignment="1">
      <alignment vertical="top"/>
    </xf>
    <xf numFmtId="11" fontId="0" fillId="0" borderId="0" xfId="0" applyNumberFormat="1" applyFill="1"/>
    <xf numFmtId="0" fontId="0" fillId="0" borderId="0" xfId="0" applyFill="1" applyBorder="1"/>
    <xf numFmtId="1" fontId="0" fillId="0" borderId="0" xfId="0" applyNumberFormat="1"/>
    <xf numFmtId="0" fontId="0" fillId="2" borderId="0" xfId="0" applyFont="1" applyFill="1"/>
    <xf numFmtId="1" fontId="0" fillId="0" borderId="0" xfId="0" applyNumberFormat="1" applyFill="1"/>
    <xf numFmtId="0" fontId="3" fillId="3" borderId="0" xfId="0" applyFont="1" applyFill="1"/>
    <xf numFmtId="0" fontId="3" fillId="0" borderId="0" xfId="0" applyFont="1" applyFill="1"/>
    <xf numFmtId="11" fontId="3" fillId="0" borderId="0" xfId="0" applyNumberFormat="1" applyFont="1" applyFill="1"/>
    <xf numFmtId="0" fontId="3" fillId="2" borderId="0" xfId="0" applyFont="1" applyFill="1"/>
    <xf numFmtId="1" fontId="3" fillId="0" borderId="0" xfId="0" applyNumberFormat="1" applyFont="1" applyFill="1"/>
    <xf numFmtId="2" fontId="0" fillId="0" borderId="0" xfId="0" applyNumberFormat="1" applyFill="1"/>
    <xf numFmtId="0" fontId="3" fillId="0" borderId="0" xfId="0" applyFont="1"/>
    <xf numFmtId="11" fontId="3" fillId="0" borderId="0" xfId="0" applyNumberFormat="1" applyFont="1"/>
    <xf numFmtId="0" fontId="0" fillId="4" borderId="0" xfId="0" applyFill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top" wrapText="1"/>
    </xf>
    <xf numFmtId="10" fontId="0" fillId="0" borderId="0" xfId="0" applyNumberFormat="1"/>
    <xf numFmtId="2" fontId="0" fillId="0" borderId="0" xfId="0" applyNumberFormat="1"/>
    <xf numFmtId="0" fontId="0" fillId="0" borderId="4" xfId="0" applyBorder="1"/>
    <xf numFmtId="0" fontId="4" fillId="0" borderId="4" xfId="0" applyFont="1" applyBorder="1"/>
    <xf numFmtId="0" fontId="5" fillId="0" borderId="4" xfId="0" applyFont="1" applyBorder="1"/>
    <xf numFmtId="0" fontId="3" fillId="0" borderId="4" xfId="0" applyFont="1" applyBorder="1"/>
    <xf numFmtId="11" fontId="0" fillId="0" borderId="4" xfId="0" applyNumberFormat="1" applyBorder="1"/>
    <xf numFmtId="0" fontId="3" fillId="0" borderId="0" xfId="0" applyFont="1" applyAlignment="1">
      <alignment horizontal="center" vertical="top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6" borderId="0" xfId="0" applyFill="1"/>
    <xf numFmtId="164" fontId="0" fillId="6" borderId="0" xfId="0" applyNumberFormat="1" applyFill="1"/>
    <xf numFmtId="10" fontId="0" fillId="2" borderId="0" xfId="0" applyNumberFormat="1" applyFill="1"/>
    <xf numFmtId="164" fontId="0" fillId="2" borderId="0" xfId="0" applyNumberFormat="1" applyFill="1"/>
    <xf numFmtId="11" fontId="0" fillId="2" borderId="0" xfId="0" applyNumberFormat="1" applyFill="1"/>
    <xf numFmtId="1" fontId="0" fillId="2" borderId="0" xfId="0" applyNumberFormat="1" applyFill="1"/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O51"/>
  <sheetViews>
    <sheetView tabSelected="1" topLeftCell="A26" workbookViewId="0">
      <selection activeCell="I34" sqref="I34"/>
    </sheetView>
  </sheetViews>
  <sheetFormatPr defaultColWidth="11" defaultRowHeight="15.75" x14ac:dyDescent="0.25"/>
  <cols>
    <col min="2" max="2" width="54.5" customWidth="1"/>
    <col min="3" max="3" width="24.375" customWidth="1"/>
    <col min="9" max="9" width="15" customWidth="1"/>
    <col min="10" max="10" width="23.125" customWidth="1"/>
    <col min="11" max="11" width="49.875" customWidth="1"/>
    <col min="12" max="12" width="32.125" customWidth="1"/>
    <col min="16" max="18" width="17.5" customWidth="1"/>
    <col min="19" max="19" width="12.875" customWidth="1"/>
  </cols>
  <sheetData>
    <row r="1" spans="2:15" x14ac:dyDescent="0.25">
      <c r="D1" s="38" t="s">
        <v>123</v>
      </c>
      <c r="E1" s="39">
        <f>SUM(E4:E22)</f>
        <v>3.0571015334447922</v>
      </c>
      <c r="F1" s="24"/>
      <c r="J1" s="38">
        <f>SUM(J4:J22)</f>
        <v>1.68915604828682</v>
      </c>
      <c r="K1" s="38" t="s">
        <v>124</v>
      </c>
    </row>
    <row r="2" spans="2:15" ht="16.5" thickBot="1" x14ac:dyDescent="0.3"/>
    <row r="3" spans="2:15" ht="63.75" thickBot="1" x14ac:dyDescent="0.3">
      <c r="B3" s="1" t="s">
        <v>0</v>
      </c>
      <c r="C3" s="2" t="s">
        <v>1</v>
      </c>
      <c r="D3" s="3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36" t="s">
        <v>120</v>
      </c>
      <c r="J3" s="36" t="s">
        <v>121</v>
      </c>
      <c r="K3" s="36" t="s">
        <v>122</v>
      </c>
      <c r="N3" s="27"/>
      <c r="O3" s="27"/>
    </row>
    <row r="4" spans="2:15" x14ac:dyDescent="0.25">
      <c r="B4" s="6" t="s">
        <v>7</v>
      </c>
      <c r="C4" s="7"/>
      <c r="D4" s="7" t="s">
        <v>8</v>
      </c>
      <c r="E4" s="8">
        <f>F4/$F$4</f>
        <v>1</v>
      </c>
      <c r="F4" s="9">
        <f>G4*10^6</f>
        <v>2820000000</v>
      </c>
      <c r="G4" s="7">
        <v>2820</v>
      </c>
      <c r="H4" s="7" t="s">
        <v>9</v>
      </c>
      <c r="I4">
        <f>Prices!D30</f>
        <v>0.71</v>
      </c>
      <c r="J4">
        <f>E4*I4</f>
        <v>0.71</v>
      </c>
      <c r="K4" s="28">
        <f>J4/$J$1</f>
        <v>0.42032824659397094</v>
      </c>
      <c r="N4" s="24"/>
    </row>
    <row r="5" spans="2:15" x14ac:dyDescent="0.25">
      <c r="B5" s="6" t="s">
        <v>10</v>
      </c>
      <c r="C5" s="7"/>
      <c r="D5" s="7" t="s">
        <v>8</v>
      </c>
      <c r="E5" s="8">
        <f t="shared" ref="E5:E46" si="0">F5/$F$4</f>
        <v>0.33333333333333331</v>
      </c>
      <c r="F5" s="10">
        <f>G5*10^6</f>
        <v>940000000</v>
      </c>
      <c r="G5" s="7">
        <v>940</v>
      </c>
      <c r="H5" s="7" t="s">
        <v>9</v>
      </c>
      <c r="I5">
        <f>Prices!D21</f>
        <v>0.4</v>
      </c>
      <c r="J5">
        <f t="shared" ref="J5:J22" si="1">E5*I5</f>
        <v>0.13333333333333333</v>
      </c>
      <c r="K5" s="28">
        <f t="shared" ref="K5:K22" si="2">J5/$J$1</f>
        <v>7.8934881989478109E-2</v>
      </c>
      <c r="N5" s="26"/>
      <c r="O5" s="26"/>
    </row>
    <row r="6" spans="2:15" x14ac:dyDescent="0.25">
      <c r="B6" s="6" t="s">
        <v>11</v>
      </c>
      <c r="C6" s="7"/>
      <c r="D6" t="s">
        <v>8</v>
      </c>
      <c r="E6" s="8">
        <f t="shared" si="0"/>
        <v>4.8226950354609929E-2</v>
      </c>
      <c r="F6" s="10">
        <f t="shared" ref="F6:F20" si="3">G6*10^6</f>
        <v>136000000</v>
      </c>
      <c r="G6" s="7">
        <v>136</v>
      </c>
      <c r="H6" s="7" t="s">
        <v>9</v>
      </c>
      <c r="I6">
        <f>Prices!D26</f>
        <v>0.27600000000000002</v>
      </c>
      <c r="J6">
        <f t="shared" si="1"/>
        <v>1.3310638297872341E-2</v>
      </c>
      <c r="K6" s="28">
        <f t="shared" si="2"/>
        <v>7.8800524743538585E-3</v>
      </c>
      <c r="N6" s="26"/>
      <c r="O6" s="26"/>
    </row>
    <row r="7" spans="2:15" x14ac:dyDescent="0.25">
      <c r="B7" s="6" t="s">
        <v>12</v>
      </c>
      <c r="C7" s="11"/>
      <c r="D7" t="s">
        <v>8</v>
      </c>
      <c r="E7" s="8">
        <f t="shared" si="0"/>
        <v>0.24255319148936169</v>
      </c>
      <c r="F7" s="10">
        <f t="shared" si="3"/>
        <v>684000000</v>
      </c>
      <c r="G7" s="7">
        <v>684</v>
      </c>
      <c r="H7" s="7" t="s">
        <v>9</v>
      </c>
      <c r="I7">
        <f>Prices!D24</f>
        <v>0.13800000000000001</v>
      </c>
      <c r="J7">
        <f t="shared" si="1"/>
        <v>3.3472340425531918E-2</v>
      </c>
      <c r="K7" s="28">
        <f t="shared" si="2"/>
        <v>1.9816014310507498E-2</v>
      </c>
      <c r="N7" s="26"/>
      <c r="O7" s="26"/>
    </row>
    <row r="8" spans="2:15" x14ac:dyDescent="0.25">
      <c r="B8" s="6" t="s">
        <v>13</v>
      </c>
      <c r="C8" s="10"/>
      <c r="D8" t="s">
        <v>14</v>
      </c>
      <c r="E8" s="8">
        <f t="shared" si="0"/>
        <v>0.20957446808510638</v>
      </c>
      <c r="F8" s="10">
        <f t="shared" si="3"/>
        <v>591000000</v>
      </c>
      <c r="G8" s="7">
        <v>591</v>
      </c>
      <c r="H8" s="7" t="s">
        <v>9</v>
      </c>
      <c r="I8">
        <f>Prices!D29</f>
        <v>0.16600000000000001</v>
      </c>
      <c r="J8">
        <f t="shared" si="1"/>
        <v>3.4789361702127659E-2</v>
      </c>
      <c r="K8" s="28">
        <f t="shared" si="2"/>
        <v>2.0595706203350373E-2</v>
      </c>
      <c r="N8" s="26"/>
      <c r="O8" s="26"/>
    </row>
    <row r="9" spans="2:15" x14ac:dyDescent="0.25">
      <c r="B9" s="6" t="s">
        <v>119</v>
      </c>
      <c r="D9" t="s">
        <v>8</v>
      </c>
      <c r="E9" s="8">
        <f t="shared" si="0"/>
        <v>6.2056737588652482E-2</v>
      </c>
      <c r="F9" s="10">
        <f t="shared" si="3"/>
        <v>175000000</v>
      </c>
      <c r="G9" s="12">
        <v>175</v>
      </c>
      <c r="H9" s="7" t="s">
        <v>9</v>
      </c>
      <c r="I9">
        <f>Prices!D17</f>
        <v>0.57999999999999996</v>
      </c>
      <c r="J9">
        <f t="shared" si="1"/>
        <v>3.5992907801418436E-2</v>
      </c>
      <c r="K9" s="28">
        <f t="shared" si="2"/>
        <v>2.1308219473223478E-2</v>
      </c>
      <c r="N9" s="26"/>
      <c r="O9" s="26"/>
    </row>
    <row r="10" spans="2:15" x14ac:dyDescent="0.25">
      <c r="B10" s="6" t="s">
        <v>15</v>
      </c>
      <c r="D10" t="s">
        <v>8</v>
      </c>
      <c r="E10" s="8">
        <f t="shared" si="0"/>
        <v>2.1276595744680851E-2</v>
      </c>
      <c r="F10" s="10">
        <f t="shared" si="3"/>
        <v>60000000</v>
      </c>
      <c r="G10" s="12">
        <v>60</v>
      </c>
      <c r="H10" s="7" t="s">
        <v>9</v>
      </c>
      <c r="I10">
        <f>Prices!D28</f>
        <v>0.63400000000000001</v>
      </c>
      <c r="J10">
        <f t="shared" si="1"/>
        <v>1.348936170212766E-2</v>
      </c>
      <c r="K10" s="28">
        <f t="shared" si="2"/>
        <v>7.9858588055312443E-3</v>
      </c>
      <c r="N10" s="26"/>
      <c r="O10" s="26"/>
    </row>
    <row r="11" spans="2:15" x14ac:dyDescent="0.25">
      <c r="B11" s="13" t="s">
        <v>16</v>
      </c>
      <c r="D11" t="s">
        <v>8</v>
      </c>
      <c r="E11" s="8">
        <f t="shared" si="0"/>
        <v>4.042553191489362E-2</v>
      </c>
      <c r="F11" s="10">
        <f t="shared" si="3"/>
        <v>114000000</v>
      </c>
      <c r="G11" s="12">
        <v>114</v>
      </c>
      <c r="H11" s="7" t="s">
        <v>9</v>
      </c>
      <c r="I11">
        <f>Prices!D22</f>
        <v>0.36499999999999999</v>
      </c>
      <c r="J11">
        <f t="shared" si="1"/>
        <v>1.475531914893617E-2</v>
      </c>
      <c r="K11" s="28">
        <f t="shared" si="2"/>
        <v>8.7353203180377242E-3</v>
      </c>
      <c r="N11" s="26"/>
      <c r="O11" s="26"/>
    </row>
    <row r="12" spans="2:15" x14ac:dyDescent="0.25">
      <c r="B12" s="6" t="s">
        <v>17</v>
      </c>
      <c r="D12" t="s">
        <v>8</v>
      </c>
      <c r="E12" s="8">
        <f t="shared" si="0"/>
        <v>2.4822695035460994E-2</v>
      </c>
      <c r="F12" s="10">
        <f t="shared" si="3"/>
        <v>70000000</v>
      </c>
      <c r="G12" s="12">
        <v>70</v>
      </c>
      <c r="H12" s="7" t="s">
        <v>9</v>
      </c>
      <c r="I12">
        <f>Prices!D16</f>
        <v>0.83</v>
      </c>
      <c r="J12">
        <f t="shared" si="1"/>
        <v>2.0602836879432623E-2</v>
      </c>
      <c r="K12" s="28">
        <f t="shared" si="2"/>
        <v>1.2197118732948613E-2</v>
      </c>
      <c r="N12" s="26"/>
      <c r="O12" s="26"/>
    </row>
    <row r="13" spans="2:15" x14ac:dyDescent="0.25">
      <c r="B13" s="6" t="s">
        <v>18</v>
      </c>
      <c r="D13" t="s">
        <v>8</v>
      </c>
      <c r="E13" s="8">
        <f t="shared" si="0"/>
        <v>5.3191489361702126E-3</v>
      </c>
      <c r="F13" s="10">
        <f t="shared" si="3"/>
        <v>15000000</v>
      </c>
      <c r="G13" s="12">
        <v>15</v>
      </c>
      <c r="H13" s="7" t="s">
        <v>9</v>
      </c>
      <c r="I13">
        <f>Prices!D25</f>
        <v>0.54600000000000004</v>
      </c>
      <c r="J13">
        <f t="shared" si="1"/>
        <v>2.9042553191489361E-3</v>
      </c>
      <c r="K13" s="28">
        <f t="shared" si="2"/>
        <v>1.7193528816325154E-3</v>
      </c>
      <c r="N13" s="26"/>
      <c r="O13" s="26"/>
    </row>
    <row r="14" spans="2:15" x14ac:dyDescent="0.25">
      <c r="B14" s="6" t="s">
        <v>19</v>
      </c>
      <c r="D14" t="s">
        <v>8</v>
      </c>
      <c r="E14" s="8">
        <f t="shared" si="0"/>
        <v>5.3191489361702128E-2</v>
      </c>
      <c r="F14" s="10">
        <f t="shared" si="3"/>
        <v>150000000</v>
      </c>
      <c r="G14" s="12">
        <v>150</v>
      </c>
      <c r="H14" s="7" t="s">
        <v>9</v>
      </c>
      <c r="I14">
        <f>Prices!D15</f>
        <v>0.54600000000000004</v>
      </c>
      <c r="J14">
        <f t="shared" si="1"/>
        <v>2.9042553191489365E-2</v>
      </c>
      <c r="K14" s="28">
        <f t="shared" si="2"/>
        <v>1.7193528816325156E-2</v>
      </c>
      <c r="N14" s="26"/>
      <c r="O14" s="26"/>
    </row>
    <row r="15" spans="2:15" x14ac:dyDescent="0.25">
      <c r="B15" s="6" t="s">
        <v>20</v>
      </c>
      <c r="D15" t="s">
        <v>8</v>
      </c>
      <c r="E15" s="8">
        <f t="shared" si="0"/>
        <v>3.535460992907799E-2</v>
      </c>
      <c r="F15" s="10">
        <f t="shared" si="3"/>
        <v>99699999.999999925</v>
      </c>
      <c r="G15" s="12">
        <f>64.6999999999999+136+93-194</f>
        <v>99.699999999999932</v>
      </c>
      <c r="H15" s="7" t="s">
        <v>9</v>
      </c>
      <c r="I15">
        <f>Prices!D20</f>
        <v>1.57</v>
      </c>
      <c r="J15">
        <f t="shared" si="1"/>
        <v>5.5506737588652447E-2</v>
      </c>
      <c r="K15" s="28">
        <f t="shared" si="2"/>
        <v>3.2860633358859075E-2</v>
      </c>
      <c r="N15" s="26"/>
      <c r="O15" s="26"/>
    </row>
    <row r="16" spans="2:15" x14ac:dyDescent="0.25">
      <c r="B16" s="6" t="s">
        <v>21</v>
      </c>
      <c r="C16" s="6"/>
      <c r="D16" s="6" t="s">
        <v>8</v>
      </c>
      <c r="E16" s="41">
        <f t="shared" si="0"/>
        <v>0.21808510638297873</v>
      </c>
      <c r="F16" s="42">
        <f t="shared" si="3"/>
        <v>615000000</v>
      </c>
      <c r="G16" s="43">
        <v>615</v>
      </c>
      <c r="H16" s="6" t="s">
        <v>9</v>
      </c>
      <c r="I16" s="6">
        <f>Prices!D23</f>
        <v>0.754</v>
      </c>
      <c r="J16" s="6">
        <f t="shared" si="1"/>
        <v>0.16443617021276596</v>
      </c>
      <c r="K16" s="40">
        <f t="shared" si="2"/>
        <v>9.7348122679098134E-2</v>
      </c>
      <c r="N16" s="26"/>
      <c r="O16" s="26"/>
    </row>
    <row r="17" spans="2:15" x14ac:dyDescent="0.25">
      <c r="B17" s="6" t="s">
        <v>22</v>
      </c>
      <c r="C17" s="6"/>
      <c r="D17" s="6" t="s">
        <v>8</v>
      </c>
      <c r="E17" s="41">
        <f t="shared" si="0"/>
        <v>0.33687943262411346</v>
      </c>
      <c r="F17" s="42">
        <f t="shared" si="3"/>
        <v>950000000</v>
      </c>
      <c r="G17" s="43">
        <v>950</v>
      </c>
      <c r="H17" s="6" t="s">
        <v>9</v>
      </c>
      <c r="I17" s="6">
        <f>Prices!D32</f>
        <v>0.754</v>
      </c>
      <c r="J17" s="6">
        <f t="shared" si="1"/>
        <v>0.25400709219858153</v>
      </c>
      <c r="K17" s="40">
        <f t="shared" si="2"/>
        <v>0.15037514885389142</v>
      </c>
      <c r="N17" s="26"/>
      <c r="O17" s="26"/>
    </row>
    <row r="18" spans="2:15" x14ac:dyDescent="0.25">
      <c r="B18" s="6" t="s">
        <v>23</v>
      </c>
      <c r="D18" t="s">
        <v>8</v>
      </c>
      <c r="E18" s="8">
        <f t="shared" si="0"/>
        <v>6.4986216103462668E-2</v>
      </c>
      <c r="F18" s="10">
        <v>183261129.41176474</v>
      </c>
      <c r="G18" s="14">
        <v>183.26112941176473</v>
      </c>
      <c r="H18" s="7" t="s">
        <v>9</v>
      </c>
      <c r="I18">
        <f>Prices!D33</f>
        <v>0.13100000000000001</v>
      </c>
      <c r="J18">
        <f t="shared" si="1"/>
        <v>8.5131943095536101E-3</v>
      </c>
      <c r="K18" s="28">
        <f t="shared" si="2"/>
        <v>5.039909911335831E-3</v>
      </c>
      <c r="N18" s="26"/>
      <c r="O18" s="26"/>
    </row>
    <row r="19" spans="2:15" x14ac:dyDescent="0.25">
      <c r="B19" s="6" t="s">
        <v>24</v>
      </c>
      <c r="D19" t="s">
        <v>8</v>
      </c>
      <c r="E19" s="8">
        <f t="shared" si="0"/>
        <v>4.9645390070921988E-2</v>
      </c>
      <c r="F19" s="10">
        <f t="shared" si="3"/>
        <v>140000000</v>
      </c>
      <c r="G19" s="14">
        <v>140</v>
      </c>
      <c r="H19" s="7" t="s">
        <v>9</v>
      </c>
      <c r="I19">
        <f>Prices!D19</f>
        <v>1.6</v>
      </c>
      <c r="J19">
        <f t="shared" si="1"/>
        <v>7.9432624113475181E-2</v>
      </c>
      <c r="K19" s="28">
        <f t="shared" si="2"/>
        <v>4.7025036078838026E-2</v>
      </c>
      <c r="N19" s="26"/>
      <c r="O19" s="26"/>
    </row>
    <row r="20" spans="2:15" x14ac:dyDescent="0.25">
      <c r="B20" s="6" t="s">
        <v>25</v>
      </c>
      <c r="D20" t="s">
        <v>8</v>
      </c>
      <c r="E20" s="8">
        <f t="shared" si="0"/>
        <v>2.8368794326241134E-2</v>
      </c>
      <c r="F20" s="10">
        <f t="shared" si="3"/>
        <v>80000000</v>
      </c>
      <c r="G20" s="14">
        <v>80</v>
      </c>
      <c r="H20" s="7" t="s">
        <v>9</v>
      </c>
      <c r="I20">
        <f>Prices!D27</f>
        <v>0.22</v>
      </c>
      <c r="J20">
        <f t="shared" si="1"/>
        <v>6.2411347517730498E-3</v>
      </c>
      <c r="K20" s="28">
        <f t="shared" si="2"/>
        <v>3.6948242633372736E-3</v>
      </c>
      <c r="N20" s="26"/>
      <c r="O20" s="26"/>
    </row>
    <row r="21" spans="2:15" x14ac:dyDescent="0.25">
      <c r="B21" s="15" t="s">
        <v>26</v>
      </c>
      <c r="C21" s="16"/>
      <c r="D21" s="16" t="s">
        <v>8</v>
      </c>
      <c r="E21" s="8">
        <f t="shared" si="0"/>
        <v>0.16858510638297874</v>
      </c>
      <c r="F21" s="17">
        <f>G21*10^6</f>
        <v>475410000.00000006</v>
      </c>
      <c r="G21" s="14">
        <f>(2.6*159*10^6*1.15)/1000/1000</f>
        <v>475.41000000000008</v>
      </c>
      <c r="H21" s="7" t="s">
        <v>9</v>
      </c>
      <c r="I21">
        <f>Prices!D31</f>
        <v>0.23300000000000001</v>
      </c>
      <c r="J21">
        <f t="shared" si="1"/>
        <v>3.9280329787234051E-2</v>
      </c>
      <c r="K21" s="28">
        <f t="shared" si="2"/>
        <v>2.3254411471973265E-2</v>
      </c>
      <c r="N21" s="26"/>
      <c r="O21" s="26"/>
    </row>
    <row r="22" spans="2:15" x14ac:dyDescent="0.25">
      <c r="B22" s="18" t="s">
        <v>110</v>
      </c>
      <c r="C22" s="16"/>
      <c r="D22" s="16" t="s">
        <v>8</v>
      </c>
      <c r="E22" s="8">
        <f t="shared" si="0"/>
        <v>0.11441673578104565</v>
      </c>
      <c r="F22" s="10">
        <v>322655194.90254873</v>
      </c>
      <c r="G22" s="19">
        <v>322.65519490254871</v>
      </c>
      <c r="H22" s="16" t="s">
        <v>27</v>
      </c>
      <c r="I22">
        <f>Prices!D18</f>
        <v>0.35</v>
      </c>
      <c r="J22">
        <f t="shared" si="1"/>
        <v>4.0045857523365973E-2</v>
      </c>
      <c r="K22" s="28">
        <f t="shared" si="2"/>
        <v>2.3707612783307606E-2</v>
      </c>
      <c r="N22" s="26"/>
      <c r="O22" s="26"/>
    </row>
    <row r="23" spans="2:15" x14ac:dyDescent="0.25">
      <c r="B23" s="7"/>
      <c r="E23" s="8"/>
      <c r="F23" s="10"/>
      <c r="G23" s="14"/>
      <c r="H23" s="7"/>
      <c r="K23" s="40">
        <f>SUM(K4:K22)</f>
        <v>1</v>
      </c>
      <c r="N23" s="26"/>
      <c r="O23" s="26"/>
    </row>
    <row r="24" spans="2:15" x14ac:dyDescent="0.25">
      <c r="B24" s="6" t="s">
        <v>28</v>
      </c>
      <c r="D24" t="s">
        <v>8</v>
      </c>
      <c r="E24" s="8">
        <f t="shared" si="0"/>
        <v>5.4609929078014187E-2</v>
      </c>
      <c r="F24" s="10">
        <f>G24*10^6</f>
        <v>154000000</v>
      </c>
      <c r="G24" s="14">
        <f>154</f>
        <v>154</v>
      </c>
      <c r="H24" s="7" t="s">
        <v>9</v>
      </c>
      <c r="N24" s="26"/>
      <c r="O24" s="26"/>
    </row>
    <row r="25" spans="2:15" x14ac:dyDescent="0.25">
      <c r="B25" s="6" t="s">
        <v>29</v>
      </c>
      <c r="D25" t="s">
        <v>8</v>
      </c>
      <c r="E25" s="8">
        <f t="shared" si="0"/>
        <v>4.1581560283687935</v>
      </c>
      <c r="F25" s="10">
        <v>11725999999.999998</v>
      </c>
      <c r="G25" s="14">
        <v>11725.999999999998</v>
      </c>
      <c r="H25" s="7" t="s">
        <v>9</v>
      </c>
      <c r="N25" s="26"/>
      <c r="O25" s="26"/>
    </row>
    <row r="26" spans="2:15" x14ac:dyDescent="0.25">
      <c r="B26" s="7"/>
      <c r="E26" s="8"/>
      <c r="F26" s="10"/>
      <c r="G26" s="7"/>
      <c r="H26" s="7"/>
      <c r="N26" s="26"/>
      <c r="O26" s="26"/>
    </row>
    <row r="27" spans="2:15" x14ac:dyDescent="0.25">
      <c r="B27" s="6" t="s">
        <v>30</v>
      </c>
      <c r="C27" t="s">
        <v>31</v>
      </c>
      <c r="D27" t="s">
        <v>8</v>
      </c>
      <c r="E27" s="8">
        <f t="shared" si="0"/>
        <v>4.5648936170212764</v>
      </c>
      <c r="F27" s="10">
        <f>G27*10^6</f>
        <v>12873000000</v>
      </c>
      <c r="G27" s="14">
        <f>12873</f>
        <v>12873</v>
      </c>
      <c r="H27" s="7" t="s">
        <v>9</v>
      </c>
      <c r="N27" s="26"/>
      <c r="O27" s="26"/>
    </row>
    <row r="28" spans="2:15" x14ac:dyDescent="0.25">
      <c r="B28" s="6" t="s">
        <v>32</v>
      </c>
      <c r="C28" t="s">
        <v>33</v>
      </c>
      <c r="D28" t="s">
        <v>14</v>
      </c>
      <c r="E28" s="8">
        <f t="shared" si="0"/>
        <v>3.3005319148936167E-2</v>
      </c>
      <c r="F28" s="10">
        <v>93075000</v>
      </c>
      <c r="G28" s="7">
        <v>93075</v>
      </c>
      <c r="H28" s="7" t="s">
        <v>34</v>
      </c>
      <c r="N28" s="26"/>
      <c r="O28" s="26"/>
    </row>
    <row r="29" spans="2:15" x14ac:dyDescent="0.25">
      <c r="B29" s="6" t="s">
        <v>35</v>
      </c>
      <c r="C29" t="s">
        <v>36</v>
      </c>
      <c r="D29" t="s">
        <v>37</v>
      </c>
      <c r="E29" s="8">
        <f t="shared" si="0"/>
        <v>2.9255319148936171E-2</v>
      </c>
      <c r="F29" s="10">
        <f>G29*10^6</f>
        <v>82500000</v>
      </c>
      <c r="G29" s="20">
        <v>82.5</v>
      </c>
      <c r="H29" s="7" t="s">
        <v>38</v>
      </c>
    </row>
    <row r="30" spans="2:15" x14ac:dyDescent="0.25">
      <c r="B30" s="15" t="s">
        <v>39</v>
      </c>
      <c r="C30" s="21" t="s">
        <v>36</v>
      </c>
      <c r="D30" s="21" t="s">
        <v>40</v>
      </c>
      <c r="E30" s="8">
        <f t="shared" si="0"/>
        <v>3.347517730496454E-4</v>
      </c>
      <c r="F30" s="22">
        <v>944000</v>
      </c>
      <c r="G30" s="20"/>
      <c r="H30" s="7"/>
    </row>
    <row r="31" spans="2:15" x14ac:dyDescent="0.25">
      <c r="B31" s="15" t="s">
        <v>41</v>
      </c>
      <c r="C31" s="21" t="s">
        <v>36</v>
      </c>
      <c r="D31" s="21" t="s">
        <v>40</v>
      </c>
      <c r="E31" s="8">
        <f t="shared" si="0"/>
        <v>3.347517730496454E-4</v>
      </c>
      <c r="F31" s="22">
        <v>944000</v>
      </c>
    </row>
    <row r="32" spans="2:15" x14ac:dyDescent="0.25">
      <c r="E32" s="8"/>
      <c r="F32" s="10"/>
      <c r="G32" s="7"/>
      <c r="H32" s="7"/>
    </row>
    <row r="33" spans="2:9" x14ac:dyDescent="0.25">
      <c r="B33" s="6" t="s">
        <v>42</v>
      </c>
      <c r="C33" t="s">
        <v>43</v>
      </c>
      <c r="D33" t="s">
        <v>8</v>
      </c>
      <c r="E33" s="8">
        <f t="shared" si="0"/>
        <v>20.312411347517731</v>
      </c>
      <c r="F33" s="10">
        <f>G33*10^6</f>
        <v>57281000000</v>
      </c>
      <c r="G33">
        <v>57281</v>
      </c>
      <c r="H33" s="7" t="s">
        <v>9</v>
      </c>
    </row>
    <row r="34" spans="2:9" x14ac:dyDescent="0.25">
      <c r="B34" s="6" t="s">
        <v>44</v>
      </c>
      <c r="C34" s="21" t="s">
        <v>43</v>
      </c>
      <c r="D34" t="s">
        <v>8</v>
      </c>
      <c r="E34" s="8">
        <f t="shared" si="0"/>
        <v>20.781126871552399</v>
      </c>
      <c r="F34" s="10">
        <f>G34*10^6</f>
        <v>58602777777.777763</v>
      </c>
      <c r="G34" s="14">
        <f>G28*AVERAGE(160/240, 160/270)</f>
        <v>58602.777777777766</v>
      </c>
      <c r="H34" s="7" t="s">
        <v>34</v>
      </c>
      <c r="I34" s="29">
        <f>F34/1000000</f>
        <v>58602.777777777766</v>
      </c>
    </row>
    <row r="35" spans="2:9" x14ac:dyDescent="0.25">
      <c r="B35" s="6" t="s">
        <v>45</v>
      </c>
      <c r="C35" s="21" t="s">
        <v>43</v>
      </c>
      <c r="D35" t="s">
        <v>8</v>
      </c>
      <c r="E35" s="8">
        <f t="shared" si="0"/>
        <v>7.1631205673758871E-2</v>
      </c>
      <c r="F35" s="10">
        <f t="shared" ref="F35:F40" si="4">G35*10^6</f>
        <v>202000000</v>
      </c>
      <c r="G35" s="14">
        <v>202</v>
      </c>
      <c r="H35" s="7" t="s">
        <v>9</v>
      </c>
    </row>
    <row r="36" spans="2:9" x14ac:dyDescent="0.25">
      <c r="B36" s="6" t="s">
        <v>46</v>
      </c>
      <c r="C36" s="21" t="s">
        <v>43</v>
      </c>
      <c r="D36" t="s">
        <v>8</v>
      </c>
      <c r="E36" s="8">
        <f t="shared" si="0"/>
        <v>2.3049645390070921E-2</v>
      </c>
      <c r="F36" s="10">
        <f t="shared" si="4"/>
        <v>65000000</v>
      </c>
      <c r="G36" s="14">
        <f>65</f>
        <v>65</v>
      </c>
      <c r="H36" s="7" t="s">
        <v>9</v>
      </c>
    </row>
    <row r="37" spans="2:9" x14ac:dyDescent="0.25">
      <c r="B37" s="6" t="s">
        <v>47</v>
      </c>
      <c r="C37" s="21" t="s">
        <v>43</v>
      </c>
      <c r="D37" t="s">
        <v>8</v>
      </c>
      <c r="E37" s="8">
        <f t="shared" si="0"/>
        <v>5.3900709219858157E-2</v>
      </c>
      <c r="F37" s="10">
        <f t="shared" si="4"/>
        <v>152000000</v>
      </c>
      <c r="G37" s="14">
        <v>152</v>
      </c>
      <c r="H37" s="7" t="s">
        <v>9</v>
      </c>
    </row>
    <row r="38" spans="2:9" x14ac:dyDescent="0.25">
      <c r="B38" s="6" t="s">
        <v>48</v>
      </c>
      <c r="C38" s="21" t="s">
        <v>43</v>
      </c>
      <c r="D38" t="s">
        <v>8</v>
      </c>
      <c r="E38" s="8">
        <f t="shared" si="0"/>
        <v>3.5460992907801418E-3</v>
      </c>
      <c r="F38" s="10">
        <f t="shared" si="4"/>
        <v>10000000</v>
      </c>
      <c r="G38" s="14">
        <v>10</v>
      </c>
      <c r="H38" s="7" t="s">
        <v>9</v>
      </c>
    </row>
    <row r="39" spans="2:9" x14ac:dyDescent="0.25">
      <c r="B39" s="6" t="s">
        <v>49</v>
      </c>
      <c r="C39" s="21" t="s">
        <v>43</v>
      </c>
      <c r="D39" t="s">
        <v>8</v>
      </c>
      <c r="E39" s="8">
        <f t="shared" si="0"/>
        <v>1.4539007092198582E-2</v>
      </c>
      <c r="F39" s="10">
        <f t="shared" si="4"/>
        <v>41000000</v>
      </c>
      <c r="G39" s="14">
        <v>41</v>
      </c>
      <c r="H39" s="7" t="s">
        <v>9</v>
      </c>
    </row>
    <row r="40" spans="2:9" x14ac:dyDescent="0.25">
      <c r="B40" s="6" t="s">
        <v>50</v>
      </c>
      <c r="C40" s="21" t="s">
        <v>43</v>
      </c>
      <c r="D40" t="s">
        <v>8</v>
      </c>
      <c r="E40" s="8">
        <f t="shared" si="0"/>
        <v>3.9361702127659576E-2</v>
      </c>
      <c r="F40" s="10">
        <f t="shared" si="4"/>
        <v>111000000</v>
      </c>
      <c r="G40" s="14">
        <v>111</v>
      </c>
      <c r="H40" s="7" t="s">
        <v>9</v>
      </c>
    </row>
    <row r="41" spans="2:9" x14ac:dyDescent="0.25">
      <c r="B41" s="23" t="s">
        <v>51</v>
      </c>
      <c r="D41" t="s">
        <v>8</v>
      </c>
      <c r="E41" s="8">
        <f t="shared" si="0"/>
        <v>1.039468085106383E-2</v>
      </c>
      <c r="F41" s="10">
        <f>G41*10^3</f>
        <v>29313000</v>
      </c>
      <c r="G41" s="14">
        <f>29313</f>
        <v>29313</v>
      </c>
      <c r="H41" s="7" t="s">
        <v>34</v>
      </c>
    </row>
    <row r="42" spans="2:9" x14ac:dyDescent="0.25">
      <c r="E42" s="8"/>
      <c r="F42" s="10"/>
      <c r="G42" s="14"/>
      <c r="H42" s="7"/>
    </row>
    <row r="43" spans="2:9" x14ac:dyDescent="0.25">
      <c r="B43" s="6" t="s">
        <v>52</v>
      </c>
      <c r="D43" t="s">
        <v>8</v>
      </c>
      <c r="E43" s="8">
        <f t="shared" si="0"/>
        <v>1.4620567375886524</v>
      </c>
      <c r="F43" s="10">
        <f>G43*10^6</f>
        <v>4123000000</v>
      </c>
      <c r="G43" s="14">
        <f>4123</f>
        <v>4123</v>
      </c>
      <c r="H43" s="7" t="s">
        <v>9</v>
      </c>
    </row>
    <row r="44" spans="2:9" x14ac:dyDescent="0.25">
      <c r="B44" s="6" t="s">
        <v>53</v>
      </c>
      <c r="D44" t="s">
        <v>54</v>
      </c>
      <c r="E44" s="10">
        <f>G44/$F$4</f>
        <v>2.6595744680851063E-9</v>
      </c>
      <c r="F44" s="10"/>
      <c r="G44" s="20">
        <f>7.5</f>
        <v>7.5</v>
      </c>
      <c r="H44" s="7" t="s">
        <v>54</v>
      </c>
    </row>
    <row r="45" spans="2:9" x14ac:dyDescent="0.25">
      <c r="B45" s="6" t="s">
        <v>55</v>
      </c>
      <c r="D45" t="s">
        <v>8</v>
      </c>
      <c r="E45" s="8">
        <f t="shared" si="0"/>
        <v>14.539007092198581</v>
      </c>
      <c r="F45" s="10">
        <f>G45*10^6</f>
        <v>41000000000</v>
      </c>
      <c r="G45" s="14">
        <f>AVERAGE(41500,40500)</f>
        <v>41000</v>
      </c>
      <c r="H45" s="7" t="s">
        <v>9</v>
      </c>
    </row>
    <row r="46" spans="2:9" x14ac:dyDescent="0.25">
      <c r="B46" s="6" t="s">
        <v>56</v>
      </c>
      <c r="D46" t="s">
        <v>57</v>
      </c>
      <c r="E46" s="8">
        <f t="shared" si="0"/>
        <v>2.5893565957446811</v>
      </c>
      <c r="F46" s="10">
        <v>7301985600.000001</v>
      </c>
      <c r="G46" s="14">
        <v>7301985.6000000006</v>
      </c>
      <c r="H46" s="7" t="s">
        <v>58</v>
      </c>
    </row>
    <row r="47" spans="2:9" x14ac:dyDescent="0.25">
      <c r="B47" s="6" t="s">
        <v>59</v>
      </c>
      <c r="D47" t="s">
        <v>14</v>
      </c>
      <c r="E47" s="8">
        <f>F47/$F$4*C51</f>
        <v>0.90044378989361706</v>
      </c>
      <c r="F47" s="10">
        <f t="shared" ref="F47" si="5">G47*10^6</f>
        <v>1790000000</v>
      </c>
      <c r="G47" s="14">
        <f>1790</f>
        <v>1790</v>
      </c>
      <c r="H47" s="7" t="s">
        <v>9</v>
      </c>
    </row>
    <row r="50" spans="2:4" x14ac:dyDescent="0.25">
      <c r="B50" s="6" t="s">
        <v>64</v>
      </c>
      <c r="C50">
        <v>1</v>
      </c>
      <c r="D50" t="s">
        <v>8</v>
      </c>
    </row>
    <row r="51" spans="2:4" x14ac:dyDescent="0.25">
      <c r="C51" s="29">
        <f>C50/16*8.314*273/100000*1000</f>
        <v>1.4185762500000001</v>
      </c>
      <c r="D51" t="s">
        <v>14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L33"/>
  <sheetViews>
    <sheetView topLeftCell="B1" workbookViewId="0">
      <selection activeCell="E7" sqref="E7:E33"/>
    </sheetView>
  </sheetViews>
  <sheetFormatPr defaultColWidth="11" defaultRowHeight="15.75" x14ac:dyDescent="0.25"/>
  <cols>
    <col min="1" max="1" width="18.875" customWidth="1"/>
    <col min="2" max="2" width="56.375" customWidth="1"/>
    <col min="3" max="3" width="10.875" customWidth="1"/>
    <col min="4" max="4" width="8.5" customWidth="1"/>
    <col min="5" max="5" width="15.375" customWidth="1"/>
    <col min="6" max="7" width="24" customWidth="1"/>
    <col min="8" max="8" width="43.5" customWidth="1"/>
    <col min="9" max="9" width="24" customWidth="1"/>
    <col min="10" max="10" width="23.5" customWidth="1"/>
    <col min="11" max="11" width="22.125" customWidth="1"/>
    <col min="12" max="12" width="17.125" customWidth="1"/>
  </cols>
  <sheetData>
    <row r="2" spans="1:12" ht="15.95" customHeight="1" x14ac:dyDescent="0.25">
      <c r="A2" s="46" t="s">
        <v>63</v>
      </c>
      <c r="B2" s="46"/>
      <c r="C2" s="46"/>
      <c r="D2" s="46"/>
      <c r="E2" s="46"/>
      <c r="F2" s="46"/>
    </row>
    <row r="3" spans="1:12" ht="60" customHeight="1" x14ac:dyDescent="0.25">
      <c r="A3" s="44" t="s">
        <v>82</v>
      </c>
      <c r="B3" s="44" t="s">
        <v>83</v>
      </c>
      <c r="C3" s="44" t="s">
        <v>84</v>
      </c>
      <c r="D3" s="44" t="s">
        <v>2</v>
      </c>
      <c r="E3" s="44" t="s">
        <v>125</v>
      </c>
      <c r="F3" s="45" t="s">
        <v>126</v>
      </c>
      <c r="I3" s="27" t="s">
        <v>62</v>
      </c>
      <c r="J3" s="27" t="s">
        <v>63</v>
      </c>
      <c r="K3" s="27" t="s">
        <v>61</v>
      </c>
      <c r="L3" s="27" t="s">
        <v>60</v>
      </c>
    </row>
    <row r="4" spans="1:12" x14ac:dyDescent="0.25">
      <c r="A4" s="30" t="s">
        <v>85</v>
      </c>
      <c r="B4" s="31" t="s">
        <v>72</v>
      </c>
      <c r="C4" s="30"/>
      <c r="D4" s="30" t="s">
        <v>8</v>
      </c>
      <c r="E4" s="34">
        <v>1</v>
      </c>
      <c r="F4" s="34">
        <v>1</v>
      </c>
      <c r="H4" s="6" t="s">
        <v>21</v>
      </c>
      <c r="I4" s="25">
        <f>'FTS-Unallocated'!E16</f>
        <v>0.21808510638297873</v>
      </c>
      <c r="J4" s="25">
        <v>1</v>
      </c>
      <c r="K4" s="25">
        <v>1</v>
      </c>
    </row>
    <row r="5" spans="1:12" x14ac:dyDescent="0.25">
      <c r="A5" s="30"/>
      <c r="B5" s="30"/>
      <c r="C5" s="30"/>
      <c r="D5" s="30"/>
      <c r="E5" s="30"/>
      <c r="F5" s="34"/>
      <c r="H5" s="6" t="s">
        <v>28</v>
      </c>
      <c r="I5" s="25">
        <f>($I$4*'FTS-Unallocated'!E24)/'FTS-Unallocated'!$E$1</f>
        <v>3.8957201984474821E-3</v>
      </c>
      <c r="J5" s="25">
        <f>($J$4*I5)/$I$4</f>
        <v>1.7863302373368941E-2</v>
      </c>
      <c r="K5" s="25">
        <v>2.4949200000000001E-2</v>
      </c>
      <c r="L5" s="28">
        <f>(K5-J5)/K5</f>
        <v>0.2840130195209089</v>
      </c>
    </row>
    <row r="6" spans="1:12" x14ac:dyDescent="0.25">
      <c r="A6" s="30"/>
      <c r="B6" s="32" t="s">
        <v>86</v>
      </c>
      <c r="C6" s="30"/>
      <c r="D6" s="30"/>
      <c r="E6" s="30"/>
      <c r="F6" s="34"/>
      <c r="H6" s="6" t="s">
        <v>29</v>
      </c>
      <c r="I6" s="25">
        <f>($I$4*'FTS-Unallocated'!E25)/'FTS-Unallocated'!$E$1</f>
        <v>0.29663126653892963</v>
      </c>
      <c r="J6" s="25">
        <f>($J$4*I6)/$I$4</f>
        <v>1.3601628807150918</v>
      </c>
      <c r="K6" s="25">
        <v>1.8996999999999999</v>
      </c>
      <c r="L6" s="28">
        <f>(K6-J6)/K6</f>
        <v>0.28401174884713803</v>
      </c>
    </row>
    <row r="7" spans="1:12" x14ac:dyDescent="0.25">
      <c r="A7" s="30"/>
      <c r="B7" s="31" t="s">
        <v>73</v>
      </c>
      <c r="C7" s="30" t="s">
        <v>31</v>
      </c>
      <c r="D7" s="30" t="s">
        <v>8</v>
      </c>
      <c r="E7" s="34">
        <v>1.4932096847557037</v>
      </c>
      <c r="F7" s="34">
        <f>E7*'FTS-Unallocated'!$K$16</f>
        <v>0.14536115957721568</v>
      </c>
      <c r="H7" s="7"/>
      <c r="I7" s="25"/>
      <c r="J7" s="25"/>
      <c r="K7" s="25"/>
      <c r="L7" s="28"/>
    </row>
    <row r="8" spans="1:12" x14ac:dyDescent="0.25">
      <c r="A8" s="30"/>
      <c r="B8" s="31" t="s">
        <v>74</v>
      </c>
      <c r="C8" s="30" t="s">
        <v>75</v>
      </c>
      <c r="D8" s="30" t="s">
        <v>14</v>
      </c>
      <c r="E8" s="34">
        <v>1.07962783662423E-2</v>
      </c>
      <c r="F8" s="34">
        <f>E8*'FTS-Unallocated'!$K$16</f>
        <v>1.0509974308746486E-3</v>
      </c>
      <c r="H8" s="6" t="s">
        <v>30</v>
      </c>
      <c r="I8" s="25">
        <f>($I$4*'FTS-Unallocated'!E27)/'FTS-Unallocated'!$E$1</f>
        <v>0.3256467929520418</v>
      </c>
      <c r="J8" s="25">
        <f>($J$4*I8)/$I$4</f>
        <v>1.4932096847557037</v>
      </c>
      <c r="K8" s="25">
        <v>2.0855199999999998</v>
      </c>
      <c r="L8" s="28">
        <f>(K8-J8)/K8</f>
        <v>0.2840108535254019</v>
      </c>
    </row>
    <row r="9" spans="1:12" x14ac:dyDescent="0.25">
      <c r="A9" s="30"/>
      <c r="B9" s="31" t="s">
        <v>76</v>
      </c>
      <c r="C9" s="30" t="s">
        <v>36</v>
      </c>
      <c r="D9" s="30" t="s">
        <v>37</v>
      </c>
      <c r="E9" s="34">
        <v>9.5696262714476468E-3</v>
      </c>
      <c r="F9" s="34">
        <f>E9*'FTS-Unallocated'!$K$16</f>
        <v>9.3158515226600598E-4</v>
      </c>
      <c r="H9" s="6" t="s">
        <v>32</v>
      </c>
      <c r="I9" s="25">
        <f>($I$4*'FTS-Unallocated'!E28)/'FTS-Unallocated'!$E$1</f>
        <v>2.3545075160422038E-3</v>
      </c>
      <c r="J9" s="25">
        <f>($J$4*I9)/$I$4</f>
        <v>1.07962783662423E-2</v>
      </c>
      <c r="K9" s="25">
        <v>1.5081000000000001E-2</v>
      </c>
      <c r="L9" s="28">
        <f>(K9-J9)/K9</f>
        <v>0.28411389389017311</v>
      </c>
    </row>
    <row r="10" spans="1:12" x14ac:dyDescent="0.25">
      <c r="A10" s="30"/>
      <c r="B10" s="31" t="s">
        <v>77</v>
      </c>
      <c r="C10" s="33" t="s">
        <v>36</v>
      </c>
      <c r="D10" s="33" t="s">
        <v>40</v>
      </c>
      <c r="E10" s="34">
        <v>1.0949972363935248E-4</v>
      </c>
      <c r="F10" s="34">
        <f>E10*'FTS-Unallocated'!$K$16</f>
        <v>1.0659592530171027E-5</v>
      </c>
      <c r="H10" s="6" t="s">
        <v>35</v>
      </c>
      <c r="I10" s="25">
        <f>($I$4*'FTS-Unallocated'!E29)/'FTS-Unallocated'!$E$1</f>
        <v>2.0869929634540082E-3</v>
      </c>
      <c r="J10" s="25">
        <f>($J$4*I10)/$I$4</f>
        <v>9.5696262714476468E-3</v>
      </c>
      <c r="K10" s="25">
        <v>1.33677E-2</v>
      </c>
      <c r="L10" s="28">
        <f>(K10-J10)/K10</f>
        <v>0.28412320208804454</v>
      </c>
    </row>
    <row r="11" spans="1:12" x14ac:dyDescent="0.25">
      <c r="A11" s="30"/>
      <c r="B11" s="31" t="s">
        <v>78</v>
      </c>
      <c r="C11" s="33" t="s">
        <v>36</v>
      </c>
      <c r="D11" s="33" t="s">
        <v>40</v>
      </c>
      <c r="E11" s="34">
        <v>1.0949972363935248E-4</v>
      </c>
      <c r="F11" s="34">
        <f>E11*'FTS-Unallocated'!$K$16</f>
        <v>1.0659592530171027E-5</v>
      </c>
      <c r="H11" s="15" t="s">
        <v>39</v>
      </c>
      <c r="I11" s="25">
        <f>($I$4*'FTS-Unallocated'!E30)/'FTS-Unallocated'!$E$1</f>
        <v>2.3880258878794956E-5</v>
      </c>
      <c r="J11" s="25">
        <f>($J$4*I11)/$I$4</f>
        <v>1.0949972363935248E-4</v>
      </c>
      <c r="K11" s="25">
        <v>1.5076400000000001E-4</v>
      </c>
      <c r="L11" s="28">
        <f>(K11-J11)/K11</f>
        <v>0.27370112467596724</v>
      </c>
    </row>
    <row r="12" spans="1:12" x14ac:dyDescent="0.25">
      <c r="A12" s="30"/>
      <c r="B12" s="31"/>
      <c r="C12" s="30"/>
      <c r="D12" s="30"/>
      <c r="E12" s="34"/>
      <c r="F12" s="34"/>
      <c r="H12" s="15" t="s">
        <v>41</v>
      </c>
      <c r="I12" s="25">
        <f>($I$4*'FTS-Unallocated'!E31)/'FTS-Unallocated'!$E$1</f>
        <v>2.3880258878794956E-5</v>
      </c>
      <c r="J12" s="25">
        <f>($J$4*I12)/$I$4</f>
        <v>1.0949972363935248E-4</v>
      </c>
      <c r="K12" s="25">
        <v>1.5076400000000001E-4</v>
      </c>
      <c r="L12" s="28">
        <f>(K12-J12)/K12</f>
        <v>0.27370112467596724</v>
      </c>
    </row>
    <row r="13" spans="1:12" x14ac:dyDescent="0.25">
      <c r="A13" s="30"/>
      <c r="B13" s="32" t="s">
        <v>87</v>
      </c>
      <c r="C13" s="30"/>
      <c r="D13" s="30"/>
      <c r="E13" s="34"/>
      <c r="F13" s="34"/>
      <c r="I13" s="25"/>
      <c r="J13" s="25"/>
      <c r="K13" s="25"/>
      <c r="L13" s="28"/>
    </row>
    <row r="14" spans="1:12" x14ac:dyDescent="0.25">
      <c r="A14" s="30"/>
      <c r="B14" s="31" t="s">
        <v>65</v>
      </c>
      <c r="C14" s="30"/>
      <c r="D14" s="30" t="s">
        <v>8</v>
      </c>
      <c r="E14" s="34">
        <v>0.47824932263246839</v>
      </c>
      <c r="F14" s="34">
        <f>E14*'FTS-Unallocated'!$K$16</f>
        <v>4.6556673730821119E-2</v>
      </c>
      <c r="H14" s="6" t="s">
        <v>42</v>
      </c>
      <c r="I14" s="25">
        <f>($I$4*'FTS-Unallocated'!E33)/'FTS-Unallocated'!$E$1</f>
        <v>1.4490308356316248</v>
      </c>
      <c r="J14" s="25">
        <f t="shared" ref="J14:J22" si="0">($J$4*I14)/$I$4</f>
        <v>6.6443365146035474</v>
      </c>
      <c r="K14" s="25">
        <v>9.2799399999999999</v>
      </c>
      <c r="L14" s="28">
        <f t="shared" ref="L14:L21" si="1">(K14-J14)/K14</f>
        <v>0.28401083254810405</v>
      </c>
    </row>
    <row r="15" spans="1:12" x14ac:dyDescent="0.25">
      <c r="A15" s="30"/>
      <c r="B15" s="31" t="s">
        <v>67</v>
      </c>
      <c r="C15" s="30"/>
      <c r="D15" s="30" t="s">
        <v>54</v>
      </c>
      <c r="E15" s="34">
        <v>8.6996602467705878E-10</v>
      </c>
      <c r="F15" s="34">
        <f>E15*'FTS-Unallocated'!$K$16</f>
        <v>8.4689559296909635E-11</v>
      </c>
      <c r="H15" s="6" t="s">
        <v>44</v>
      </c>
      <c r="I15" s="25">
        <f>($I$4*'FTS-Unallocated'!E34)/'FTS-Unallocated'!$E$1</f>
        <v>1.4824676952858318</v>
      </c>
      <c r="J15" s="25">
        <f t="shared" si="0"/>
        <v>6.7976567491155206</v>
      </c>
      <c r="K15" s="25">
        <v>9.4954199999999993</v>
      </c>
      <c r="L15" s="28">
        <f t="shared" si="1"/>
        <v>0.28411205095556374</v>
      </c>
    </row>
    <row r="16" spans="1:12" x14ac:dyDescent="0.25">
      <c r="A16" s="30"/>
      <c r="B16" s="31" t="s">
        <v>68</v>
      </c>
      <c r="C16" s="30"/>
      <c r="D16" s="30" t="s">
        <v>8</v>
      </c>
      <c r="E16" s="34">
        <v>4.7558142682345874</v>
      </c>
      <c r="F16" s="34">
        <f>E16*'FTS-Unallocated'!$K$16</f>
        <v>0.46296959082310596</v>
      </c>
      <c r="H16" s="6" t="s">
        <v>45</v>
      </c>
      <c r="I16" s="25">
        <f>($I$4*'FTS-Unallocated'!E35)/'FTS-Unallocated'!$E$1</f>
        <v>5.1099706499116325E-3</v>
      </c>
      <c r="J16" s="25">
        <f t="shared" si="0"/>
        <v>2.343108493130212E-2</v>
      </c>
      <c r="K16" s="25">
        <v>3.2724900000000001E-2</v>
      </c>
      <c r="L16" s="28">
        <f t="shared" si="1"/>
        <v>0.28399827252941584</v>
      </c>
    </row>
    <row r="17" spans="1:12" x14ac:dyDescent="0.25">
      <c r="A17" s="30"/>
      <c r="B17" s="31" t="s">
        <v>66</v>
      </c>
      <c r="C17" s="30"/>
      <c r="D17" s="30" t="s">
        <v>57</v>
      </c>
      <c r="E17" s="34">
        <v>0.84699725129081715</v>
      </c>
      <c r="F17" s="34">
        <f>E17*'FTS-Unallocated'!$K$16</f>
        <v>8.245359232751738E-2</v>
      </c>
      <c r="H17" s="6" t="s">
        <v>46</v>
      </c>
      <c r="I17" s="25">
        <f>($I$4*'FTS-Unallocated'!E36)/'FTS-Unallocated'!$E$1</f>
        <v>1.6442974863577033E-3</v>
      </c>
      <c r="J17" s="25">
        <f t="shared" si="0"/>
        <v>7.5397055472011757E-3</v>
      </c>
      <c r="K17" s="25">
        <v>1.0530599999999999E-2</v>
      </c>
      <c r="L17" s="28">
        <f t="shared" si="1"/>
        <v>0.28401937712939662</v>
      </c>
    </row>
    <row r="18" spans="1:12" x14ac:dyDescent="0.25">
      <c r="A18" s="30"/>
      <c r="B18" s="31" t="s">
        <v>69</v>
      </c>
      <c r="C18" s="30"/>
      <c r="D18" s="30" t="s">
        <v>14</v>
      </c>
      <c r="E18" s="34">
        <v>0.29454166963142442</v>
      </c>
      <c r="F18" s="34">
        <f>E18*'FTS-Unallocated'!$K$16</f>
        <v>2.8673078589386298E-2</v>
      </c>
      <c r="H18" s="6" t="s">
        <v>47</v>
      </c>
      <c r="I18" s="25">
        <f>($I$4*'FTS-Unallocated'!E37)/'FTS-Unallocated'!$E$1</f>
        <v>3.8451264296364761E-3</v>
      </c>
      <c r="J18" s="25">
        <f t="shared" si="0"/>
        <v>1.763131143345506E-2</v>
      </c>
      <c r="K18" s="25">
        <v>2.4624799999999999E-2</v>
      </c>
      <c r="L18" s="28">
        <f t="shared" si="1"/>
        <v>0.28400184231120412</v>
      </c>
    </row>
    <row r="19" spans="1:12" x14ac:dyDescent="0.25">
      <c r="A19" s="30"/>
      <c r="B19" s="31"/>
      <c r="C19" s="30"/>
      <c r="D19" s="30"/>
      <c r="E19" s="34"/>
      <c r="F19" s="34"/>
      <c r="H19" s="6" t="s">
        <v>48</v>
      </c>
      <c r="I19" s="25">
        <f>($I$4*'FTS-Unallocated'!E38)/'FTS-Unallocated'!$E$1</f>
        <v>2.5296884405503128E-4</v>
      </c>
      <c r="J19" s="25">
        <f t="shared" si="0"/>
        <v>1.1599546995694117E-3</v>
      </c>
      <c r="K19" s="25">
        <v>1.6218599999999999E-3</v>
      </c>
      <c r="L19" s="28">
        <f t="shared" si="1"/>
        <v>0.28479973637094957</v>
      </c>
    </row>
    <row r="20" spans="1:12" x14ac:dyDescent="0.25">
      <c r="A20" s="30"/>
      <c r="B20" s="32" t="s">
        <v>88</v>
      </c>
      <c r="C20" s="30"/>
      <c r="D20" s="30"/>
      <c r="E20" s="34"/>
      <c r="F20" s="34"/>
      <c r="H20" s="6" t="s">
        <v>49</v>
      </c>
      <c r="I20" s="25">
        <f>($I$4*'FTS-Unallocated'!E39)/'FTS-Unallocated'!$E$1</f>
        <v>1.0371722606256283E-3</v>
      </c>
      <c r="J20" s="25">
        <f t="shared" si="0"/>
        <v>4.7558142682345879E-3</v>
      </c>
      <c r="K20" s="25">
        <v>6.6427500000000002E-3</v>
      </c>
      <c r="L20" s="28">
        <f t="shared" si="1"/>
        <v>0.28405942294462566</v>
      </c>
    </row>
    <row r="21" spans="1:12" x14ac:dyDescent="0.25">
      <c r="A21" s="30"/>
      <c r="B21" s="31" t="s">
        <v>42</v>
      </c>
      <c r="C21" s="31" t="s">
        <v>79</v>
      </c>
      <c r="D21" s="30" t="s">
        <v>8</v>
      </c>
      <c r="E21" s="34">
        <v>6.6443365146035474</v>
      </c>
      <c r="F21" s="34">
        <f>E21*'FTS-Unallocated'!$K$16</f>
        <v>0.64681368614483747</v>
      </c>
      <c r="H21" s="6" t="s">
        <v>50</v>
      </c>
      <c r="I21" s="25">
        <f>($I$4*'FTS-Unallocated'!E40)/'FTS-Unallocated'!$E$1</f>
        <v>2.8079541690108475E-3</v>
      </c>
      <c r="J21" s="25">
        <f t="shared" si="0"/>
        <v>1.2875497165220471E-2</v>
      </c>
      <c r="K21" s="25">
        <v>1.7982000000000001E-2</v>
      </c>
      <c r="L21" s="28">
        <f t="shared" si="1"/>
        <v>0.28397858051270886</v>
      </c>
    </row>
    <row r="22" spans="1:12" x14ac:dyDescent="0.25">
      <c r="A22" s="30"/>
      <c r="B22" s="31" t="s">
        <v>44</v>
      </c>
      <c r="C22" s="31" t="s">
        <v>79</v>
      </c>
      <c r="D22" s="30" t="s">
        <v>8</v>
      </c>
      <c r="E22" s="34">
        <v>6.7976567491155206</v>
      </c>
      <c r="F22" s="34">
        <f>E22*'FTS-Unallocated'!$K$16</f>
        <v>0.66173912314329708</v>
      </c>
      <c r="H22" s="23" t="s">
        <v>51</v>
      </c>
      <c r="I22" s="25">
        <f>($I$4*'FTS-Unallocated'!E41)/'FTS-Unallocated'!$E$1</f>
        <v>7.4152757257851321E-4</v>
      </c>
      <c r="J22" s="25">
        <f t="shared" si="0"/>
        <v>3.4001752108478167E-3</v>
      </c>
      <c r="K22" s="25"/>
      <c r="L22" s="28"/>
    </row>
    <row r="23" spans="1:12" x14ac:dyDescent="0.25">
      <c r="A23" s="30"/>
      <c r="B23" s="31" t="s">
        <v>45</v>
      </c>
      <c r="C23" s="31" t="s">
        <v>79</v>
      </c>
      <c r="D23" s="30" t="s">
        <v>8</v>
      </c>
      <c r="E23" s="34">
        <v>2.343108493130212E-2</v>
      </c>
      <c r="F23" s="34">
        <f>E23*'FTS-Unallocated'!$K$16</f>
        <v>2.2809721303967663E-3</v>
      </c>
      <c r="I23" s="25"/>
      <c r="J23" s="25"/>
      <c r="K23" s="25"/>
      <c r="L23" s="28"/>
    </row>
    <row r="24" spans="1:12" x14ac:dyDescent="0.25">
      <c r="A24" s="30"/>
      <c r="B24" s="31" t="s">
        <v>46</v>
      </c>
      <c r="C24" s="31" t="s">
        <v>79</v>
      </c>
      <c r="D24" s="30" t="s">
        <v>8</v>
      </c>
      <c r="E24" s="34">
        <v>7.5397055472011757E-3</v>
      </c>
      <c r="F24" s="34">
        <f>E24*'FTS-Unallocated'!$K$16</f>
        <v>7.3397618057321676E-4</v>
      </c>
      <c r="H24" s="6" t="s">
        <v>52</v>
      </c>
      <c r="I24" s="25">
        <f>($I$4*'FTS-Unallocated'!E43)/'FTS-Unallocated'!$E$1</f>
        <v>0.10429905440388938</v>
      </c>
      <c r="J24" s="25">
        <f>($J$4*I24)/$I$4</f>
        <v>0.47824932263246839</v>
      </c>
      <c r="K24" s="25">
        <v>0.66795800000000005</v>
      </c>
      <c r="L24" s="28">
        <f>(K24-J24)/K24</f>
        <v>0.28401288309673911</v>
      </c>
    </row>
    <row r="25" spans="1:12" x14ac:dyDescent="0.25">
      <c r="A25" s="30"/>
      <c r="B25" s="31" t="s">
        <v>47</v>
      </c>
      <c r="C25" s="31" t="s">
        <v>79</v>
      </c>
      <c r="D25" s="30" t="s">
        <v>8</v>
      </c>
      <c r="E25" s="34">
        <v>1.763131143345506E-2</v>
      </c>
      <c r="F25" s="34">
        <f>E25*'FTS-Unallocated'!$K$16</f>
        <v>1.7163750684173688E-3</v>
      </c>
      <c r="H25" s="6" t="s">
        <v>53</v>
      </c>
      <c r="I25" s="25">
        <f>($I$4*'FTS-Unallocated'!E44)/'FTS-Unallocated'!$E$1</f>
        <v>1.8972663304127346E-10</v>
      </c>
      <c r="J25" s="25">
        <f>($J$4*I25)/$I$4</f>
        <v>8.6996602467705878E-10</v>
      </c>
      <c r="K25" s="25">
        <v>1.35505E-9</v>
      </c>
      <c r="L25" s="28">
        <f>(K25-J25)/K25</f>
        <v>0.35798234406327534</v>
      </c>
    </row>
    <row r="26" spans="1:12" x14ac:dyDescent="0.25">
      <c r="A26" s="30"/>
      <c r="B26" s="31" t="s">
        <v>48</v>
      </c>
      <c r="C26" s="31" t="s">
        <v>79</v>
      </c>
      <c r="D26" s="30" t="s">
        <v>8</v>
      </c>
      <c r="E26" s="34">
        <v>1.1599546995694117E-3</v>
      </c>
      <c r="F26" s="34">
        <f>E26*'FTS-Unallocated'!$K$16</f>
        <v>1.1291941239587951E-4</v>
      </c>
      <c r="H26" s="6" t="s">
        <v>55</v>
      </c>
      <c r="I26" s="25">
        <f>($I$4*'FTS-Unallocated'!E45)/'FTS-Unallocated'!$E$1</f>
        <v>1.0371722606256282</v>
      </c>
      <c r="J26" s="25">
        <f>($J$4*I26)/$I$4</f>
        <v>4.7558142682345874</v>
      </c>
      <c r="K26" s="25">
        <v>6.6422999999999996</v>
      </c>
      <c r="L26" s="28">
        <f>(K26-J26)/K26</f>
        <v>0.28401091967622849</v>
      </c>
    </row>
    <row r="27" spans="1:12" x14ac:dyDescent="0.25">
      <c r="A27" s="30"/>
      <c r="B27" s="31" t="s">
        <v>49</v>
      </c>
      <c r="C27" s="30"/>
      <c r="D27" s="30" t="s">
        <v>8</v>
      </c>
      <c r="E27" s="34">
        <v>4.7558142682345879E-3</v>
      </c>
      <c r="F27" s="34">
        <f>E27*'FTS-Unallocated'!$K$16</f>
        <v>4.6296959082310597E-4</v>
      </c>
      <c r="H27" s="6" t="s">
        <v>56</v>
      </c>
      <c r="I27" s="25">
        <f>($I$4*'FTS-Unallocated'!E46)/'FTS-Unallocated'!$E$1</f>
        <v>0.18471748565384843</v>
      </c>
      <c r="J27" s="25">
        <f>($J$4*I27)/$I$4</f>
        <v>0.84699725129081715</v>
      </c>
      <c r="K27" s="25">
        <v>1.1829799999999999</v>
      </c>
      <c r="L27" s="28">
        <f>(K27-J27)/K27</f>
        <v>0.28401388756291973</v>
      </c>
    </row>
    <row r="28" spans="1:12" x14ac:dyDescent="0.25">
      <c r="A28" s="30"/>
      <c r="B28" s="31" t="s">
        <v>50</v>
      </c>
      <c r="C28" s="31" t="s">
        <v>79</v>
      </c>
      <c r="D28" s="30" t="s">
        <v>8</v>
      </c>
      <c r="E28" s="34">
        <v>1.2875497165220471E-2</v>
      </c>
      <c r="F28" s="34">
        <f>E28*'FTS-Unallocated'!$K$16</f>
        <v>1.2534054775942627E-3</v>
      </c>
      <c r="H28" s="6" t="s">
        <v>59</v>
      </c>
      <c r="I28" s="25">
        <f>($I$4*'FTS-Unallocated'!E47)/'FTS-Unallocated'!$E$1</f>
        <v>6.4235151355789374E-2</v>
      </c>
      <c r="J28" s="25">
        <f>($J$4*I28)/$I$4</f>
        <v>0.29454166963142442</v>
      </c>
      <c r="K28" s="25">
        <v>0.21169499999999999</v>
      </c>
      <c r="L28" s="28">
        <f>(K28-J28)/K28</f>
        <v>-0.39134920348342866</v>
      </c>
    </row>
    <row r="29" spans="1:12" x14ac:dyDescent="0.25">
      <c r="A29" s="30"/>
      <c r="B29" s="31" t="s">
        <v>51</v>
      </c>
      <c r="C29" s="30"/>
      <c r="D29" s="30" t="s">
        <v>8</v>
      </c>
      <c r="E29" s="34">
        <v>3.4001752108478167E-3</v>
      </c>
      <c r="F29" s="34">
        <f>E29*'FTS-Unallocated'!$K$16</f>
        <v>3.3100067355604164E-4</v>
      </c>
    </row>
    <row r="30" spans="1:12" x14ac:dyDescent="0.25">
      <c r="A30" s="30"/>
      <c r="B30" s="31"/>
      <c r="C30" s="30"/>
      <c r="D30" s="30"/>
      <c r="E30" s="34"/>
      <c r="F30" s="34"/>
    </row>
    <row r="31" spans="1:12" x14ac:dyDescent="0.25">
      <c r="A31" s="30"/>
      <c r="B31" s="32" t="s">
        <v>89</v>
      </c>
      <c r="C31" s="30"/>
      <c r="D31" s="30"/>
      <c r="E31" s="34"/>
      <c r="F31" s="34"/>
    </row>
    <row r="32" spans="1:12" x14ac:dyDescent="0.25">
      <c r="A32" s="30" t="s">
        <v>90</v>
      </c>
      <c r="B32" s="31" t="s">
        <v>71</v>
      </c>
      <c r="C32" s="30"/>
      <c r="D32" s="30" t="s">
        <v>8</v>
      </c>
      <c r="E32" s="34">
        <v>1.7863302373368941E-2</v>
      </c>
      <c r="F32" s="34">
        <f>E32*'FTS-Unallocated'!$K$16</f>
        <v>1.7389589508965445E-3</v>
      </c>
    </row>
    <row r="33" spans="1:6" x14ac:dyDescent="0.25">
      <c r="A33" s="30" t="s">
        <v>90</v>
      </c>
      <c r="B33" s="31" t="s">
        <v>70</v>
      </c>
      <c r="C33" s="30"/>
      <c r="D33" s="30" t="s">
        <v>8</v>
      </c>
      <c r="E33" s="34">
        <v>1.3601628807150918</v>
      </c>
      <c r="F33" s="34">
        <f>E33*'FTS-Unallocated'!$K$16</f>
        <v>0.13240930297540829</v>
      </c>
    </row>
  </sheetData>
  <mergeCells count="1"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L33"/>
  <sheetViews>
    <sheetView workbookViewId="0">
      <selection activeCell="A33" sqref="A33"/>
    </sheetView>
  </sheetViews>
  <sheetFormatPr defaultColWidth="11" defaultRowHeight="15.75" x14ac:dyDescent="0.25"/>
  <cols>
    <col min="1" max="1" width="19.625" customWidth="1"/>
    <col min="2" max="2" width="59.375" customWidth="1"/>
    <col min="3" max="3" width="13.5" customWidth="1"/>
    <col min="4" max="4" width="9" customWidth="1"/>
    <col min="5" max="6" width="16.875" customWidth="1"/>
    <col min="8" max="8" width="35.625" customWidth="1"/>
    <col min="9" max="9" width="18.625" customWidth="1"/>
    <col min="10" max="10" width="26.375" customWidth="1"/>
    <col min="11" max="12" width="24" customWidth="1"/>
  </cols>
  <sheetData>
    <row r="2" spans="1:12" ht="15.95" customHeight="1" x14ac:dyDescent="0.25">
      <c r="A2" s="47" t="s">
        <v>81</v>
      </c>
      <c r="B2" s="48"/>
      <c r="C2" s="48"/>
      <c r="D2" s="48"/>
      <c r="E2" s="48"/>
      <c r="F2" s="48"/>
    </row>
    <row r="3" spans="1:12" ht="60.95" customHeight="1" x14ac:dyDescent="0.25">
      <c r="A3" s="44" t="s">
        <v>82</v>
      </c>
      <c r="B3" s="44" t="s">
        <v>83</v>
      </c>
      <c r="C3" s="44" t="s">
        <v>84</v>
      </c>
      <c r="D3" s="44" t="s">
        <v>2</v>
      </c>
      <c r="E3" s="44" t="s">
        <v>91</v>
      </c>
      <c r="F3" s="45" t="s">
        <v>126</v>
      </c>
      <c r="I3" s="35" t="s">
        <v>80</v>
      </c>
      <c r="J3" s="35" t="s">
        <v>94</v>
      </c>
      <c r="K3" s="27" t="s">
        <v>93</v>
      </c>
      <c r="L3" s="27" t="s">
        <v>60</v>
      </c>
    </row>
    <row r="4" spans="1:12" x14ac:dyDescent="0.25">
      <c r="A4" s="30" t="s">
        <v>85</v>
      </c>
      <c r="B4" s="31" t="s">
        <v>92</v>
      </c>
      <c r="C4" s="30"/>
      <c r="D4" s="30" t="s">
        <v>8</v>
      </c>
      <c r="E4" s="34">
        <v>1</v>
      </c>
      <c r="F4" s="34">
        <v>1</v>
      </c>
      <c r="H4" s="6" t="s">
        <v>22</v>
      </c>
      <c r="I4" s="22">
        <v>0.33688000000000001</v>
      </c>
      <c r="J4" s="22">
        <v>1</v>
      </c>
      <c r="K4" s="25">
        <v>1</v>
      </c>
    </row>
    <row r="5" spans="1:12" x14ac:dyDescent="0.25">
      <c r="A5" s="30"/>
      <c r="B5" s="30"/>
      <c r="C5" s="30"/>
      <c r="D5" s="30"/>
      <c r="E5" s="34"/>
      <c r="F5" s="34"/>
      <c r="H5" s="6" t="s">
        <v>28</v>
      </c>
      <c r="I5" s="22">
        <v>6.0178000000000002E-3</v>
      </c>
      <c r="J5" s="25">
        <f>($J$4*I5)/$I$4</f>
        <v>1.7863334124910948E-2</v>
      </c>
      <c r="K5" s="25">
        <v>2.4949200000000001E-2</v>
      </c>
      <c r="L5" s="28">
        <f>(K5-J5)/K5</f>
        <v>0.28401174687320846</v>
      </c>
    </row>
    <row r="6" spans="1:12" x14ac:dyDescent="0.25">
      <c r="A6" s="30"/>
      <c r="B6" s="32" t="s">
        <v>86</v>
      </c>
      <c r="C6" s="30"/>
      <c r="D6" s="30"/>
      <c r="E6" s="34"/>
      <c r="F6" s="34"/>
      <c r="H6" s="6" t="s">
        <v>29</v>
      </c>
      <c r="I6" s="22">
        <v>0.45821089999999998</v>
      </c>
      <c r="J6" s="25">
        <f>($J$4*I6)/$I$4</f>
        <v>1.3601605913084778</v>
      </c>
      <c r="K6" s="25">
        <v>1.8996999999999999</v>
      </c>
      <c r="L6" s="28">
        <f>(K6-J6)/K6</f>
        <v>0.28401295398827298</v>
      </c>
    </row>
    <row r="7" spans="1:12" x14ac:dyDescent="0.25">
      <c r="A7" s="30"/>
      <c r="B7" s="31" t="s">
        <v>73</v>
      </c>
      <c r="C7" s="30" t="s">
        <v>31</v>
      </c>
      <c r="D7" s="30" t="s">
        <v>8</v>
      </c>
      <c r="E7" s="34">
        <v>1.4932096847557037</v>
      </c>
      <c r="F7" s="34">
        <f>E7*'FTS-Unallocated'!$K$17</f>
        <v>0.22454162861521121</v>
      </c>
      <c r="H7" s="7"/>
      <c r="I7" s="22"/>
      <c r="J7" s="22"/>
      <c r="K7" s="25"/>
      <c r="L7" s="28"/>
    </row>
    <row r="8" spans="1:12" x14ac:dyDescent="0.25">
      <c r="A8" s="30"/>
      <c r="B8" s="31" t="s">
        <v>74</v>
      </c>
      <c r="C8" s="30" t="s">
        <v>75</v>
      </c>
      <c r="D8" s="30" t="s">
        <v>14</v>
      </c>
      <c r="E8" s="34">
        <v>1.07962783662423E-2</v>
      </c>
      <c r="F8" s="34">
        <f>E8*'FTS-Unallocated'!$K$17</f>
        <v>1.6234919663917335E-3</v>
      </c>
      <c r="H8" s="6" t="s">
        <v>30</v>
      </c>
      <c r="I8" s="22">
        <v>0.50303160000000002</v>
      </c>
      <c r="J8" s="25">
        <f>($J$4*I8)/$I$4</f>
        <v>1.4932070767038708</v>
      </c>
      <c r="K8" s="25">
        <v>2.0855199999999998</v>
      </c>
      <c r="L8" s="28">
        <f>(K8-J8)/K8</f>
        <v>0.284012104077702</v>
      </c>
    </row>
    <row r="9" spans="1:12" x14ac:dyDescent="0.25">
      <c r="A9" s="30"/>
      <c r="B9" s="31" t="s">
        <v>76</v>
      </c>
      <c r="C9" s="30" t="s">
        <v>36</v>
      </c>
      <c r="D9" s="30" t="s">
        <v>37</v>
      </c>
      <c r="E9" s="34">
        <v>9.5696262714476468E-3</v>
      </c>
      <c r="F9" s="34">
        <f>E9*'FTS-Unallocated'!$K$17</f>
        <v>1.4390339750450498E-3</v>
      </c>
      <c r="H9" s="6" t="s">
        <v>32</v>
      </c>
      <c r="I9" s="22">
        <v>3.637E-3</v>
      </c>
      <c r="J9" s="25">
        <f t="shared" ref="J9:J28" si="0">($J$4*I9)/$I$4</f>
        <v>1.0796129185466635E-2</v>
      </c>
      <c r="K9" s="25">
        <v>1.5081000000000001E-2</v>
      </c>
      <c r="L9" s="28">
        <f>(K9-J9)/K9</f>
        <v>0.284123785858588</v>
      </c>
    </row>
    <row r="10" spans="1:12" x14ac:dyDescent="0.25">
      <c r="A10" s="30"/>
      <c r="B10" s="31" t="s">
        <v>77</v>
      </c>
      <c r="C10" s="33" t="s">
        <v>36</v>
      </c>
      <c r="D10" s="33" t="s">
        <v>40</v>
      </c>
      <c r="E10" s="34">
        <v>1.0949972363935248E-4</v>
      </c>
      <c r="F10" s="34">
        <f>E10*'FTS-Unallocated'!$K$17</f>
        <v>1.64660372417276E-5</v>
      </c>
      <c r="H10" s="6" t="s">
        <v>35</v>
      </c>
      <c r="I10" s="22">
        <v>3.2238000000000002E-3</v>
      </c>
      <c r="J10" s="25">
        <f t="shared" si="0"/>
        <v>9.5695796722868685E-3</v>
      </c>
      <c r="K10" s="25">
        <v>1.33677E-2</v>
      </c>
      <c r="L10" s="28">
        <f>(K10-J10)/K10</f>
        <v>0.28412668804006158</v>
      </c>
    </row>
    <row r="11" spans="1:12" x14ac:dyDescent="0.25">
      <c r="A11" s="30"/>
      <c r="B11" s="31" t="s">
        <v>78</v>
      </c>
      <c r="C11" s="33" t="s">
        <v>36</v>
      </c>
      <c r="D11" s="33" t="s">
        <v>40</v>
      </c>
      <c r="E11" s="34">
        <v>1.0949972363935248E-4</v>
      </c>
      <c r="F11" s="34">
        <f>E11*'FTS-Unallocated'!$K$17</f>
        <v>1.64660372417276E-5</v>
      </c>
      <c r="H11" s="15" t="s">
        <v>39</v>
      </c>
      <c r="I11" s="22">
        <v>3.6900000000000002E-5</v>
      </c>
      <c r="J11" s="25">
        <f t="shared" si="0"/>
        <v>1.0953455236285919E-4</v>
      </c>
      <c r="K11" s="25">
        <v>1.5076400000000001E-4</v>
      </c>
      <c r="L11" s="28">
        <f>(K11-J11)/K11</f>
        <v>0.27347010982158088</v>
      </c>
    </row>
    <row r="12" spans="1:12" x14ac:dyDescent="0.25">
      <c r="A12" s="30"/>
      <c r="B12" s="31"/>
      <c r="C12" s="30"/>
      <c r="D12" s="30"/>
      <c r="E12" s="34"/>
      <c r="F12" s="34"/>
      <c r="H12" s="15" t="s">
        <v>41</v>
      </c>
      <c r="I12" s="22">
        <v>3.6900000000000002E-5</v>
      </c>
      <c r="J12" s="25">
        <f t="shared" si="0"/>
        <v>1.0953455236285919E-4</v>
      </c>
      <c r="K12" s="25">
        <v>1.5076400000000001E-4</v>
      </c>
      <c r="L12" s="28">
        <f>(K12-J12)/K12</f>
        <v>0.27347010982158088</v>
      </c>
    </row>
    <row r="13" spans="1:12" x14ac:dyDescent="0.25">
      <c r="A13" s="30"/>
      <c r="B13" s="32" t="s">
        <v>87</v>
      </c>
      <c r="C13" s="30"/>
      <c r="D13" s="30"/>
      <c r="E13" s="34"/>
      <c r="F13" s="34"/>
      <c r="I13" s="22"/>
      <c r="J13" s="22"/>
      <c r="K13" s="25"/>
      <c r="L13" s="28"/>
    </row>
    <row r="14" spans="1:12" x14ac:dyDescent="0.25">
      <c r="A14" s="30"/>
      <c r="B14" s="31" t="s">
        <v>65</v>
      </c>
      <c r="C14" s="30"/>
      <c r="D14" s="30" t="s">
        <v>8</v>
      </c>
      <c r="E14" s="34">
        <v>0.47824932263246839</v>
      </c>
      <c r="F14" s="34">
        <f>E14*'FTS-Unallocated'!$K$17</f>
        <v>7.1916813080130176E-2</v>
      </c>
      <c r="H14" s="6" t="s">
        <v>42</v>
      </c>
      <c r="I14" s="22">
        <v>2.2383402999999999</v>
      </c>
      <c r="J14" s="25">
        <f t="shared" si="0"/>
        <v>6.6443252790311087</v>
      </c>
      <c r="K14" s="25">
        <v>9.2799399999999999</v>
      </c>
      <c r="L14" s="28">
        <f t="shared" ref="L14:L21" si="1">(K14-J14)/K14</f>
        <v>0.28401204328572072</v>
      </c>
    </row>
    <row r="15" spans="1:12" x14ac:dyDescent="0.25">
      <c r="A15" s="30"/>
      <c r="B15" s="31" t="s">
        <v>67</v>
      </c>
      <c r="C15" s="30"/>
      <c r="D15" s="30" t="s">
        <v>54</v>
      </c>
      <c r="E15" s="34">
        <v>8.6996602467705878E-10</v>
      </c>
      <c r="F15" s="34">
        <f>E15*'FTS-Unallocated'!$K$17</f>
        <v>1.3082127045864088E-10</v>
      </c>
      <c r="H15" s="6" t="s">
        <v>44</v>
      </c>
      <c r="I15" s="22">
        <v>2.2899907000000002</v>
      </c>
      <c r="J15" s="25">
        <f t="shared" si="0"/>
        <v>6.797645155545001</v>
      </c>
      <c r="K15" s="25">
        <v>9.4954199999999993</v>
      </c>
      <c r="L15" s="28">
        <f t="shared" si="1"/>
        <v>0.28411327192004127</v>
      </c>
    </row>
    <row r="16" spans="1:12" x14ac:dyDescent="0.25">
      <c r="A16" s="30"/>
      <c r="B16" s="31" t="s">
        <v>68</v>
      </c>
      <c r="C16" s="30"/>
      <c r="D16" s="30" t="s">
        <v>8</v>
      </c>
      <c r="E16" s="34">
        <v>4.7558142682345874</v>
      </c>
      <c r="F16" s="34">
        <f>E16*'FTS-Unallocated'!$K$17</f>
        <v>0.71515627850723673</v>
      </c>
      <c r="H16" s="6" t="s">
        <v>45</v>
      </c>
      <c r="I16" s="22">
        <v>7.8934999999999995E-3</v>
      </c>
      <c r="J16" s="25">
        <f t="shared" si="0"/>
        <v>2.343119211588696E-2</v>
      </c>
      <c r="K16" s="25">
        <v>3.2724900000000001E-2</v>
      </c>
      <c r="L16" s="28">
        <f t="shared" si="1"/>
        <v>0.28399499720741822</v>
      </c>
    </row>
    <row r="17" spans="1:12" x14ac:dyDescent="0.25">
      <c r="A17" s="30"/>
      <c r="B17" s="31" t="s">
        <v>66</v>
      </c>
      <c r="C17" s="30"/>
      <c r="D17" s="30" t="s">
        <v>57</v>
      </c>
      <c r="E17" s="34">
        <v>0.84699725129081715</v>
      </c>
      <c r="F17" s="34">
        <f>E17*'FTS-Unallocated'!$K$17</f>
        <v>0.12736733774169351</v>
      </c>
      <c r="H17" s="6" t="s">
        <v>46</v>
      </c>
      <c r="I17" s="22">
        <v>2.5400000000000002E-3</v>
      </c>
      <c r="J17" s="25">
        <f t="shared" si="0"/>
        <v>7.5397767751128001E-3</v>
      </c>
      <c r="K17" s="25">
        <v>1.0530599999999999E-2</v>
      </c>
      <c r="L17" s="28">
        <f t="shared" si="1"/>
        <v>0.28401261323069904</v>
      </c>
    </row>
    <row r="18" spans="1:12" x14ac:dyDescent="0.25">
      <c r="A18" s="30"/>
      <c r="B18" s="31" t="s">
        <v>69</v>
      </c>
      <c r="C18" s="30"/>
      <c r="D18" s="30" t="s">
        <v>14</v>
      </c>
      <c r="E18" s="34">
        <v>0.29454166963142442</v>
      </c>
      <c r="F18" s="34">
        <f>E18*'FTS-Unallocated'!$K$17</f>
        <v>4.4291747414499157E-2</v>
      </c>
      <c r="H18" s="6" t="s">
        <v>47</v>
      </c>
      <c r="I18" s="22">
        <v>5.9395999999999997E-3</v>
      </c>
      <c r="J18" s="25">
        <f t="shared" si="0"/>
        <v>1.7631203989551175E-2</v>
      </c>
      <c r="K18" s="25">
        <v>2.4624799999999999E-2</v>
      </c>
      <c r="L18" s="28">
        <f t="shared" si="1"/>
        <v>0.28400620555086026</v>
      </c>
    </row>
    <row r="19" spans="1:12" x14ac:dyDescent="0.25">
      <c r="A19" s="30"/>
      <c r="B19" s="31"/>
      <c r="C19" s="30"/>
      <c r="D19" s="30"/>
      <c r="E19" s="34"/>
      <c r="F19" s="34"/>
      <c r="H19" s="6" t="s">
        <v>48</v>
      </c>
      <c r="I19" s="22">
        <v>3.9080000000000001E-4</v>
      </c>
      <c r="J19" s="25">
        <f t="shared" si="0"/>
        <v>1.1600569935882213E-3</v>
      </c>
      <c r="K19" s="25">
        <v>1.6218599999999999E-3</v>
      </c>
      <c r="L19" s="28">
        <f t="shared" si="1"/>
        <v>0.28473666433094019</v>
      </c>
    </row>
    <row r="20" spans="1:12" x14ac:dyDescent="0.25">
      <c r="A20" s="30"/>
      <c r="B20" s="32" t="s">
        <v>88</v>
      </c>
      <c r="C20" s="30"/>
      <c r="D20" s="30"/>
      <c r="E20" s="34"/>
      <c r="F20" s="34"/>
      <c r="H20" s="6" t="s">
        <v>49</v>
      </c>
      <c r="I20" s="22">
        <v>1.6021E-3</v>
      </c>
      <c r="J20" s="25">
        <f t="shared" si="0"/>
        <v>4.7556993588221321E-3</v>
      </c>
      <c r="K20" s="25">
        <v>6.6427500000000002E-3</v>
      </c>
      <c r="L20" s="28">
        <f t="shared" si="1"/>
        <v>0.28407672141475565</v>
      </c>
    </row>
    <row r="21" spans="1:12" x14ac:dyDescent="0.25">
      <c r="A21" s="30"/>
      <c r="B21" s="31" t="s">
        <v>42</v>
      </c>
      <c r="C21" s="31" t="s">
        <v>79</v>
      </c>
      <c r="D21" s="30" t="s">
        <v>8</v>
      </c>
      <c r="E21" s="34">
        <v>6.6443365146035474</v>
      </c>
      <c r="F21" s="34">
        <f>E21*'FTS-Unallocated'!$K$17</f>
        <v>0.99914309241885446</v>
      </c>
      <c r="H21" s="6" t="s">
        <v>50</v>
      </c>
      <c r="I21" s="22">
        <v>4.3375000000000002E-3</v>
      </c>
      <c r="J21" s="25">
        <f t="shared" si="0"/>
        <v>1.2875504630729043E-2</v>
      </c>
      <c r="K21" s="25">
        <v>1.7982000000000001E-2</v>
      </c>
      <c r="L21" s="28">
        <f t="shared" si="1"/>
        <v>0.28397816534706694</v>
      </c>
    </row>
    <row r="22" spans="1:12" x14ac:dyDescent="0.25">
      <c r="A22" s="30"/>
      <c r="B22" s="31" t="s">
        <v>44</v>
      </c>
      <c r="C22" s="31" t="s">
        <v>79</v>
      </c>
      <c r="D22" s="30" t="s">
        <v>8</v>
      </c>
      <c r="E22" s="34">
        <v>6.7976567491155206</v>
      </c>
      <c r="F22" s="34">
        <f>E22*'FTS-Unallocated'!$K$17</f>
        <v>1.022198645505906</v>
      </c>
      <c r="H22" s="23" t="s">
        <v>51</v>
      </c>
      <c r="I22" s="22">
        <v>1.1454E-3</v>
      </c>
      <c r="J22" s="25">
        <f t="shared" si="0"/>
        <v>3.4000237473284256E-3</v>
      </c>
      <c r="K22" s="25"/>
      <c r="L22" s="28"/>
    </row>
    <row r="23" spans="1:12" x14ac:dyDescent="0.25">
      <c r="A23" s="30"/>
      <c r="B23" s="31" t="s">
        <v>45</v>
      </c>
      <c r="C23" s="31" t="s">
        <v>79</v>
      </c>
      <c r="D23" s="30" t="s">
        <v>8</v>
      </c>
      <c r="E23" s="34">
        <v>2.343108493130212E-2</v>
      </c>
      <c r="F23" s="34">
        <f>E23*'FTS-Unallocated'!$K$17</f>
        <v>3.5234528843527285E-3</v>
      </c>
      <c r="I23" s="22"/>
      <c r="J23" s="22"/>
      <c r="K23" s="25"/>
      <c r="L23" s="28"/>
    </row>
    <row r="24" spans="1:12" x14ac:dyDescent="0.25">
      <c r="A24" s="30"/>
      <c r="B24" s="31" t="s">
        <v>46</v>
      </c>
      <c r="C24" s="31" t="s">
        <v>79</v>
      </c>
      <c r="D24" s="30" t="s">
        <v>8</v>
      </c>
      <c r="E24" s="34">
        <v>7.5397055472011757E-3</v>
      </c>
      <c r="F24" s="34">
        <f>E24*'FTS-Unallocated'!$K$17</f>
        <v>1.1337843439748877E-3</v>
      </c>
      <c r="H24" s="6" t="s">
        <v>52</v>
      </c>
      <c r="I24" s="22">
        <v>0.16111239999999999</v>
      </c>
      <c r="J24" s="25">
        <f t="shared" si="0"/>
        <v>0.47824863452861549</v>
      </c>
      <c r="K24" s="25">
        <v>0.66795800000000005</v>
      </c>
      <c r="L24" s="28">
        <f>(K24-J24)/K24</f>
        <v>0.28401391325709779</v>
      </c>
    </row>
    <row r="25" spans="1:12" x14ac:dyDescent="0.25">
      <c r="A25" s="30"/>
      <c r="B25" s="31" t="s">
        <v>47</v>
      </c>
      <c r="C25" s="31" t="s">
        <v>79</v>
      </c>
      <c r="D25" s="30" t="s">
        <v>8</v>
      </c>
      <c r="E25" s="34">
        <v>1.763131143345506E-2</v>
      </c>
      <c r="F25" s="34">
        <f>E25*'FTS-Unallocated'!$K$17</f>
        <v>2.6513110812951225E-3</v>
      </c>
      <c r="H25" s="6" t="s">
        <v>53</v>
      </c>
      <c r="I25" s="25">
        <f>(I4*'FTS-Unallocated'!E44)/'FTS-Unallocated'!E1</f>
        <v>2.9307415439320755E-10</v>
      </c>
      <c r="J25" s="25">
        <f t="shared" si="0"/>
        <v>8.6996602467705868E-10</v>
      </c>
      <c r="K25" s="25">
        <v>1.35505E-9</v>
      </c>
      <c r="L25" s="28">
        <f>(K25-J25)/K25</f>
        <v>0.35798234406327539</v>
      </c>
    </row>
    <row r="26" spans="1:12" x14ac:dyDescent="0.25">
      <c r="A26" s="30"/>
      <c r="B26" s="31" t="s">
        <v>48</v>
      </c>
      <c r="C26" s="31" t="s">
        <v>79</v>
      </c>
      <c r="D26" s="30" t="s">
        <v>8</v>
      </c>
      <c r="E26" s="34">
        <v>1.1599546995694117E-3</v>
      </c>
      <c r="F26" s="34">
        <f>E26*'FTS-Unallocated'!$K$17</f>
        <v>1.7442836061152118E-4</v>
      </c>
      <c r="H26" s="6" t="s">
        <v>55</v>
      </c>
      <c r="I26" s="22">
        <v>1.602136</v>
      </c>
      <c r="J26" s="25">
        <f t="shared" si="0"/>
        <v>4.7558062218000474</v>
      </c>
      <c r="K26" s="25">
        <v>6.6422999999999996</v>
      </c>
      <c r="L26" s="28">
        <f>(K26-J26)/K26</f>
        <v>0.28401213106905021</v>
      </c>
    </row>
    <row r="27" spans="1:12" x14ac:dyDescent="0.25">
      <c r="A27" s="30"/>
      <c r="B27" s="31" t="s">
        <v>49</v>
      </c>
      <c r="C27" s="30"/>
      <c r="D27" s="30" t="s">
        <v>8</v>
      </c>
      <c r="E27" s="34">
        <v>4.7558142682345879E-3</v>
      </c>
      <c r="F27" s="34">
        <f>E27*'FTS-Unallocated'!$K$17</f>
        <v>7.151562785072368E-4</v>
      </c>
      <c r="H27" s="6" t="s">
        <v>56</v>
      </c>
      <c r="I27" s="22">
        <v>0.28533599999999998</v>
      </c>
      <c r="J27" s="25">
        <f t="shared" si="0"/>
        <v>0.84699596295416757</v>
      </c>
      <c r="K27" s="25">
        <v>1.1829799999999999</v>
      </c>
      <c r="L27" s="28">
        <f>(K27-J27)/K27</f>
        <v>0.28401497662330077</v>
      </c>
    </row>
    <row r="28" spans="1:12" x14ac:dyDescent="0.25">
      <c r="A28" s="30"/>
      <c r="B28" s="31" t="s">
        <v>50</v>
      </c>
      <c r="C28" s="31" t="s">
        <v>79</v>
      </c>
      <c r="D28" s="30" t="s">
        <v>8</v>
      </c>
      <c r="E28" s="34">
        <v>1.2875497165220471E-2</v>
      </c>
      <c r="F28" s="34">
        <f>E28*'FTS-Unallocated'!$K$17</f>
        <v>1.9361548027878853E-3</v>
      </c>
      <c r="H28" s="6" t="s">
        <v>59</v>
      </c>
      <c r="I28" s="22">
        <v>9.9224999999999994E-2</v>
      </c>
      <c r="J28" s="25">
        <f t="shared" si="0"/>
        <v>0.29454108287817615</v>
      </c>
      <c r="K28" s="25">
        <v>0.21169499999999999</v>
      </c>
      <c r="L28" s="28">
        <f>(K28-J28)/K28</f>
        <v>-0.39134643179185225</v>
      </c>
    </row>
    <row r="29" spans="1:12" x14ac:dyDescent="0.25">
      <c r="A29" s="30"/>
      <c r="B29" s="31" t="s">
        <v>51</v>
      </c>
      <c r="C29" s="30"/>
      <c r="D29" s="30" t="s">
        <v>8</v>
      </c>
      <c r="E29" s="34">
        <v>3.4001752108478167E-3</v>
      </c>
      <c r="F29" s="34">
        <f>E29*'FTS-Unallocated'!$K$17</f>
        <v>5.1130185346055204E-4</v>
      </c>
    </row>
    <row r="30" spans="1:12" x14ac:dyDescent="0.25">
      <c r="A30" s="30"/>
      <c r="B30" s="31"/>
      <c r="C30" s="30"/>
      <c r="D30" s="30"/>
      <c r="E30" s="34"/>
      <c r="F30" s="34"/>
    </row>
    <row r="31" spans="1:12" x14ac:dyDescent="0.25">
      <c r="A31" s="30"/>
      <c r="B31" s="32" t="s">
        <v>89</v>
      </c>
      <c r="C31" s="30"/>
      <c r="D31" s="30"/>
      <c r="E31" s="34"/>
      <c r="F31" s="34"/>
    </row>
    <row r="32" spans="1:12" x14ac:dyDescent="0.25">
      <c r="A32" s="30" t="s">
        <v>90</v>
      </c>
      <c r="B32" s="31" t="s">
        <v>71</v>
      </c>
      <c r="C32" s="30"/>
      <c r="D32" s="30" t="s">
        <v>8</v>
      </c>
      <c r="E32" s="34">
        <v>1.7863302373368941E-2</v>
      </c>
      <c r="F32" s="34">
        <f>E32*'FTS-Unallocated'!$K$17</f>
        <v>2.6861967534174262E-3</v>
      </c>
    </row>
    <row r="33" spans="1:6" x14ac:dyDescent="0.25">
      <c r="A33" s="30" t="s">
        <v>90</v>
      </c>
      <c r="B33" s="31" t="s">
        <v>70</v>
      </c>
      <c r="C33" s="30"/>
      <c r="D33" s="30" t="s">
        <v>8</v>
      </c>
      <c r="E33" s="34">
        <v>1.3601628807150918</v>
      </c>
      <c r="F33" s="34">
        <f>E33*'FTS-Unallocated'!$K$17</f>
        <v>0.2045346956530697</v>
      </c>
    </row>
  </sheetData>
  <mergeCells count="1">
    <mergeCell ref="A2:F2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D33"/>
  <sheetViews>
    <sheetView workbookViewId="0">
      <selection activeCell="D16" sqref="D16"/>
    </sheetView>
  </sheetViews>
  <sheetFormatPr defaultColWidth="11" defaultRowHeight="15.75" x14ac:dyDescent="0.25"/>
  <cols>
    <col min="2" max="2" width="36.625" customWidth="1"/>
    <col min="3" max="3" width="20.875" customWidth="1"/>
  </cols>
  <sheetData>
    <row r="1" spans="2:4" x14ac:dyDescent="0.25">
      <c r="D1" s="37" t="s">
        <v>118</v>
      </c>
    </row>
    <row r="2" spans="2:4" x14ac:dyDescent="0.25">
      <c r="B2" t="s">
        <v>95</v>
      </c>
      <c r="C2" t="s">
        <v>96</v>
      </c>
      <c r="D2">
        <v>0.72368708809546101</v>
      </c>
    </row>
    <row r="3" spans="2:4" x14ac:dyDescent="0.25">
      <c r="B3" t="s">
        <v>97</v>
      </c>
      <c r="C3" t="s">
        <v>96</v>
      </c>
      <c r="D3">
        <v>0.741257721590173</v>
      </c>
    </row>
    <row r="4" spans="2:4" x14ac:dyDescent="0.25">
      <c r="B4" t="s">
        <v>98</v>
      </c>
      <c r="C4" t="s">
        <v>96</v>
      </c>
      <c r="D4">
        <v>0.754</v>
      </c>
    </row>
    <row r="5" spans="2:4" x14ac:dyDescent="0.25">
      <c r="B5" t="s">
        <v>99</v>
      </c>
      <c r="C5" t="s">
        <v>96</v>
      </c>
      <c r="D5">
        <v>0.13800000000000001</v>
      </c>
    </row>
    <row r="6" spans="2:4" x14ac:dyDescent="0.25">
      <c r="B6" t="s">
        <v>100</v>
      </c>
      <c r="C6" t="s">
        <v>96</v>
      </c>
      <c r="D6">
        <v>0.29699999999999999</v>
      </c>
    </row>
    <row r="7" spans="2:4" x14ac:dyDescent="0.25">
      <c r="B7" t="s">
        <v>101</v>
      </c>
      <c r="C7" t="s">
        <v>96</v>
      </c>
      <c r="D7">
        <v>0.26800000000000002</v>
      </c>
    </row>
    <row r="8" spans="2:4" x14ac:dyDescent="0.25">
      <c r="B8" t="s">
        <v>102</v>
      </c>
      <c r="C8" t="s">
        <v>96</v>
      </c>
      <c r="D8">
        <v>0.27600000000000002</v>
      </c>
    </row>
    <row r="9" spans="2:4" x14ac:dyDescent="0.25">
      <c r="B9" t="s">
        <v>103</v>
      </c>
      <c r="C9" t="s">
        <v>96</v>
      </c>
      <c r="D9">
        <v>0.26500000000000001</v>
      </c>
    </row>
    <row r="10" spans="2:4" x14ac:dyDescent="0.25">
      <c r="B10" t="s">
        <v>104</v>
      </c>
      <c r="C10" t="s">
        <v>96</v>
      </c>
      <c r="D10">
        <v>0.84812096291781802</v>
      </c>
    </row>
    <row r="11" spans="2:4" x14ac:dyDescent="0.25">
      <c r="B11" t="s">
        <v>105</v>
      </c>
      <c r="C11" t="s">
        <v>96</v>
      </c>
      <c r="D11">
        <v>0.23300000000000001</v>
      </c>
    </row>
    <row r="12" spans="2:4" x14ac:dyDescent="0.25">
      <c r="B12" t="s">
        <v>106</v>
      </c>
      <c r="C12" t="s">
        <v>96</v>
      </c>
      <c r="D12">
        <v>0.754</v>
      </c>
    </row>
    <row r="15" spans="2:4" x14ac:dyDescent="0.25">
      <c r="B15" t="s">
        <v>107</v>
      </c>
      <c r="D15">
        <v>0.54600000000000004</v>
      </c>
    </row>
    <row r="16" spans="2:4" x14ac:dyDescent="0.25">
      <c r="B16" t="s">
        <v>108</v>
      </c>
      <c r="D16">
        <v>0.83</v>
      </c>
    </row>
    <row r="17" spans="2:4" x14ac:dyDescent="0.25">
      <c r="B17" t="s">
        <v>109</v>
      </c>
      <c r="D17">
        <v>0.57999999999999996</v>
      </c>
    </row>
    <row r="18" spans="2:4" x14ac:dyDescent="0.25">
      <c r="B18" t="s">
        <v>110</v>
      </c>
      <c r="D18">
        <v>0.35</v>
      </c>
    </row>
    <row r="19" spans="2:4" x14ac:dyDescent="0.25">
      <c r="B19" t="s">
        <v>25</v>
      </c>
      <c r="D19">
        <v>1.6</v>
      </c>
    </row>
    <row r="20" spans="2:4" x14ac:dyDescent="0.25">
      <c r="B20" t="s">
        <v>111</v>
      </c>
      <c r="D20">
        <v>1.57</v>
      </c>
    </row>
    <row r="21" spans="2:4" x14ac:dyDescent="0.25">
      <c r="B21" t="s">
        <v>112</v>
      </c>
      <c r="D21">
        <v>0.4</v>
      </c>
    </row>
    <row r="22" spans="2:4" x14ac:dyDescent="0.25">
      <c r="B22" t="s">
        <v>113</v>
      </c>
      <c r="D22">
        <v>0.36499999999999999</v>
      </c>
    </row>
    <row r="23" spans="2:4" x14ac:dyDescent="0.25">
      <c r="B23" t="s">
        <v>21</v>
      </c>
      <c r="D23">
        <v>0.754</v>
      </c>
    </row>
    <row r="24" spans="2:4" x14ac:dyDescent="0.25">
      <c r="B24" t="s">
        <v>12</v>
      </c>
      <c r="D24">
        <v>0.13800000000000001</v>
      </c>
    </row>
    <row r="25" spans="2:4" x14ac:dyDescent="0.25">
      <c r="B25" t="s">
        <v>114</v>
      </c>
      <c r="D25">
        <v>0.54600000000000004</v>
      </c>
    </row>
    <row r="26" spans="2:4" x14ac:dyDescent="0.25">
      <c r="B26" t="s">
        <v>115</v>
      </c>
      <c r="D26">
        <v>0.27600000000000002</v>
      </c>
    </row>
    <row r="27" spans="2:4" x14ac:dyDescent="0.25">
      <c r="B27" t="s">
        <v>24</v>
      </c>
      <c r="D27">
        <v>0.22</v>
      </c>
    </row>
    <row r="28" spans="2:4" x14ac:dyDescent="0.25">
      <c r="B28" t="s">
        <v>15</v>
      </c>
      <c r="D28">
        <v>0.63400000000000001</v>
      </c>
    </row>
    <row r="29" spans="2:4" x14ac:dyDescent="0.25">
      <c r="B29" t="s">
        <v>59</v>
      </c>
      <c r="D29">
        <v>0.16600000000000001</v>
      </c>
    </row>
    <row r="30" spans="2:4" x14ac:dyDescent="0.25">
      <c r="B30" t="s">
        <v>7</v>
      </c>
      <c r="D30">
        <v>0.71</v>
      </c>
    </row>
    <row r="31" spans="2:4" x14ac:dyDescent="0.25">
      <c r="B31" t="s">
        <v>116</v>
      </c>
      <c r="D31">
        <v>0.23300000000000001</v>
      </c>
    </row>
    <row r="32" spans="2:4" x14ac:dyDescent="0.25">
      <c r="B32" t="s">
        <v>22</v>
      </c>
      <c r="D32">
        <v>0.754</v>
      </c>
    </row>
    <row r="33" spans="2:4" x14ac:dyDescent="0.25">
      <c r="B33" t="s">
        <v>117</v>
      </c>
      <c r="D33">
        <v>0.13100000000000001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FTS-Unallocated</vt:lpstr>
      <vt:lpstr>Ehtylene</vt:lpstr>
      <vt:lpstr>Propylene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Bruno</cp:lastModifiedBy>
  <dcterms:created xsi:type="dcterms:W3CDTF">2019-06-21T17:57:08Z</dcterms:created>
  <dcterms:modified xsi:type="dcterms:W3CDTF">2022-02-01T07:35:10Z</dcterms:modified>
</cp:coreProperties>
</file>