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threadedComments/threadedComment2.xml" ContentType="application/vnd.ms-excel.threaded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threadedComments/threadedComment3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1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2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3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omments8.xml" ContentType="application/vnd.openxmlformats-officedocument.spreadsheetml.comments+xml"/>
  <Override PartName="/xl/drawings/drawing16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9.xml" ContentType="application/vnd.openxmlformats-officedocument.spreadsheetml.comments+xml"/>
  <Override PartName="/xl/drawings/drawing17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8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19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20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drawings/drawing21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drawings/drawing22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drawings/drawing23.xml" ContentType="application/vnd.openxmlformats-officedocument.drawing+xml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Models\SATIMGE\SATIM\DataSpreadsheets\"/>
    </mc:Choice>
  </mc:AlternateContent>
  <xr:revisionPtr revIDLastSave="0" documentId="13_ncr:1_{F76300CD-5A3A-4A2A-AD72-79DC318428AC}" xr6:coauthVersionLast="47" xr6:coauthVersionMax="47" xr10:uidLastSave="{00000000-0000-0000-0000-000000000000}"/>
  <bookViews>
    <workbookView xWindow="-120" yWindow="-120" windowWidth="29040" windowHeight="15990" firstSheet="2" activeTab="9" xr2:uid="{9E3DDBDA-ADE2-418D-9461-662F1F06B093}"/>
    <workbookView xWindow="-23148" yWindow="1980" windowWidth="23256" windowHeight="12720" firstSheet="3" activeTab="4" xr2:uid="{34DA6E80-23FC-4416-A00B-77E86215713D}"/>
  </bookViews>
  <sheets>
    <sheet name="ANSv2-692-Home" sheetId="9" r:id="rId1"/>
    <sheet name="Index" sheetId="102" r:id="rId2"/>
    <sheet name="Processes" sheetId="76" r:id="rId3"/>
    <sheet name="Commodities" sheetId="127" r:id="rId4"/>
    <sheet name="ProcDataRetirement" sheetId="78" r:id="rId5"/>
    <sheet name="ProcDataFGD" sheetId="125" r:id="rId6"/>
    <sheet name="ProcDataAux" sheetId="126" r:id="rId7"/>
    <sheet name="ProcDataEndoRetireFX" sheetId="128" r:id="rId8"/>
    <sheet name="FGD" sheetId="124" r:id="rId9"/>
    <sheet name="retirement scenarios" sheetId="123" r:id="rId10"/>
    <sheet name="Deflator" sheetId="99" r:id="rId11"/>
    <sheet name="ANSv2-692-REGIONS" sheetId="18" state="veryHidden" r:id="rId12"/>
    <sheet name="ANSv2-692-Commodities" sheetId="19" state="veryHidden" r:id="rId13"/>
    <sheet name="ANSv2-692-Processes" sheetId="20" state="veryHidden" r:id="rId14"/>
    <sheet name="ANSv2-692-Constraints" sheetId="23" state="veryHidden" r:id="rId15"/>
    <sheet name="ANSv2-692-CommData" sheetId="21" state="veryHidden" r:id="rId16"/>
    <sheet name="ANSv2-692-ProcData" sheetId="25" state="veryHidden" r:id="rId17"/>
    <sheet name="ANSv2-692-ConstrData" sheetId="24" state="veryHidden" r:id="rId18"/>
    <sheet name="ANSv2-692-ITEMS" sheetId="10" state="veryHidden" r:id="rId19"/>
    <sheet name="ANSv2-692-TS DATA" sheetId="12" state="veryHidden" r:id="rId20"/>
    <sheet name="ANSv2-692-TID DATA" sheetId="13" state="veryHidden" r:id="rId21"/>
    <sheet name="ANSv2-692-TS&amp;TID DATA" sheetId="14" state="veryHidden" r:id="rId22"/>
    <sheet name="ANSv2-692-TS TRADE" sheetId="15" state="veryHidden" r:id="rId23"/>
    <sheet name="ANSv2-692-TID TRADE" sheetId="16" state="veryHidden" r:id="rId24"/>
    <sheet name="ANSv2-692-TS&amp;TID TRADE" sheetId="17" state="veryHidden" r:id="rId25"/>
  </sheets>
  <functionGroups builtInGroupCount="19"/>
  <externalReferences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</externalReferences>
  <definedNames>
    <definedName name="\I" localSheetId="3">#REF!</definedName>
    <definedName name="\I" localSheetId="10">#REF!</definedName>
    <definedName name="\I" localSheetId="6">#REF!</definedName>
    <definedName name="\I" localSheetId="7">#REF!</definedName>
    <definedName name="\I">#REF!</definedName>
    <definedName name="\P" localSheetId="10">#REF!</definedName>
    <definedName name="\P">#REF!</definedName>
    <definedName name="__FDS_HYPERLINK_TOGGLE_STATE__" hidden="1">"ON"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aa" localSheetId="10">'[1]Oil Consumption – barrels'!#REF!</definedName>
    <definedName name="aa">'[1]Oil Consumption – barrels'!#REF!</definedName>
    <definedName name="AGR">[2]Index!$C$7</definedName>
    <definedName name="COM">[2]Index!$C$8</definedName>
    <definedName name="Demand.Sectors">[3]Index!$D$2:$J$2</definedName>
    <definedName name="discount_rate">#REF!</definedName>
    <definedName name="dr">#REF!</definedName>
    <definedName name="drate">'[4]TechWATv5 (supwat5)'!$E$3</definedName>
    <definedName name="emissions_start">[3]NameConv!$AY$4</definedName>
    <definedName name="emissions_types">[3]NameConv!$AX$3</definedName>
    <definedName name="epp_start">#REF!</definedName>
    <definedName name="etech_data">#REF!</definedName>
    <definedName name="etech_parameters">#REF!</definedName>
    <definedName name="Exist_basic_data_start">#REF!</definedName>
    <definedName name="FuelNames">[3]NameConv!$B$5:$C$44</definedName>
    <definedName name="HTML1_1" hidden="1">"'[Syb96.xls]ESI in South Africa'!$A$2:$C$22"</definedName>
    <definedName name="HTML1_11" hidden="1">1</definedName>
    <definedName name="HTML1_12" hidden="1">"C:\NER\ESIFlow.htm"</definedName>
    <definedName name="HTML1_2" hidden="1">-4146</definedName>
    <definedName name="HTML1_3" hidden="1">"C:\NER\Elec\Temp.htm"</definedName>
    <definedName name="HTMLCount" hidden="1">1</definedName>
    <definedName name="inchtocentimetre">[3]Distribution!$A$17</definedName>
    <definedName name="IND">[2]Index!$C$9</definedName>
    <definedName name="INIT" localSheetId="10">#REF!</definedName>
    <definedName name="INIT">#REF!</definedName>
    <definedName name="InvConstraint">#REF!</definedName>
    <definedName name="LEAP" localSheetId="10">#REF!</definedName>
    <definedName name="LEAP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6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7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Model_RUN_code">[3]Index!$A$2</definedName>
    <definedName name="New_basic_data_start">'[5]New Capacity basic data'!$B$9</definedName>
    <definedName name="newtech_cat">#REF!</definedName>
    <definedName name="newtech_count">#REF!</definedName>
    <definedName name="newtech_data">#REF!</definedName>
    <definedName name="newtech_parameters">#REF!</definedName>
    <definedName name="Newtech_Start">#REF!</definedName>
    <definedName name="NONLEAP" localSheetId="10">#REF!</definedName>
    <definedName name="NONLEAP">#REF!</definedName>
    <definedName name="Pal_Workbook_GUID" hidden="1">"E2D7SR7Q3BDXUD24G1M1SK63"</definedName>
    <definedName name="par_TID_ETech">#REF!</definedName>
    <definedName name="par_TID_Ntech">#REF!</definedName>
    <definedName name="par_TS_ETech">#REF!</definedName>
    <definedName name="PeakContribution.Wind">#REF!</definedName>
    <definedName name="Print1" localSheetId="10">#REF!</definedName>
    <definedName name="Print1">#REF!</definedName>
    <definedName name="RES">[2]Index!$C$10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[3]Index!$D$2</definedName>
    <definedName name="Sector.Commercial">[3]Index!$E$2</definedName>
    <definedName name="Sector.Industry">[3]Index!$F$2</definedName>
    <definedName name="Sector.Power">[3]Index!$I$2</definedName>
    <definedName name="Sector.Residential">[3]Index!$H$2</definedName>
    <definedName name="Sector.Supply">[3]Index!$J$2</definedName>
    <definedName name="Sector.Transport">[3]Index!$G$2</definedName>
    <definedName name="sector_prefix">[3]UPS!$B$6</definedName>
    <definedName name="TRA">[2]Index!$C$11</definedName>
    <definedName name="XLSIMSI" localSheetId="3" hidden="1">{"Sim",3,"Output 1","'Reworked data'!$AI$84","Output 2","'Reworked data'!$AJ$84","Output 3","'Reworked data'!$AK$84","1","2","100","0"}</definedName>
    <definedName name="XLSIMSI" localSheetId="6" hidden="1">{"Sim",3,"Output 1","'Reworked data'!$AI$84","Output 2","'Reworked data'!$AJ$84","Output 3","'Reworked data'!$AK$84","1","2","100","0"}</definedName>
    <definedName name="XLSIMSI" localSheetId="7" hidden="1">{"Sim",3,"Output 1","'Reworked data'!$AI$84","Output 2","'Reworked data'!$AJ$84","Output 3","'Reworked data'!$AK$84","1","2","100","0"}</definedName>
    <definedName name="XLSIMSI" hidden="1">{"Sim",3,"Output 1","'Reworked data'!$AI$84","Output 2","'Reworked data'!$AJ$84","Output 3","'Reworked data'!$AK$84","1","2","100","0"}</definedName>
    <definedName name="XLSIMSIM" localSheetId="3" hidden="1">{"Sim",3,"Output 1","'Reworked data'!$AI$84","Output 2","'Reworked data'!$AJ$84","Output 3","'Reworked data'!$AK$84","1","2","100","0"}</definedName>
    <definedName name="XLSIMSIM" localSheetId="10" hidden="1">{"Sim",3,"Output 1","'Reworked data'!$AI$84","Output 2","'Reworked data'!$AJ$84","Output 3","'Reworked data'!$AK$84","1","2","100","0"}</definedName>
    <definedName name="XLSIMSIM" localSheetId="6" hidden="1">{"Sim",3,"Output 1","'Reworked data'!$AI$84","Output 2","'Reworked data'!$AJ$84","Output 3","'Reworked data'!$AK$84","1","2","100","0"}</definedName>
    <definedName name="XLSIMSIM" localSheetId="7" hidden="1">{"Sim",3,"Output 1","'Reworked data'!$AI$84","Output 2","'Reworked data'!$AJ$84","Output 3","'Reworked data'!$AK$84","1","2","100","0"}</definedName>
    <definedName name="XLSIMSIM" hidden="1">{"Sim",3,"Output 1","'Reworked data'!$AI$84","Output 2","'Reworked data'!$AJ$84","Output 3","'Reworked data'!$AK$84","1","2","100","0"}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45" i="123" l="1"/>
  <c r="L145" i="123"/>
  <c r="K145" i="123"/>
  <c r="J145" i="123"/>
  <c r="I145" i="123"/>
  <c r="I163" i="123" s="1"/>
  <c r="H145" i="123"/>
  <c r="H163" i="123" s="1"/>
  <c r="M163" i="123"/>
  <c r="L163" i="123"/>
  <c r="K163" i="123"/>
  <c r="J163" i="123"/>
  <c r="D34" i="124" l="1"/>
  <c r="M39" i="125" s="1"/>
  <c r="D33" i="124"/>
  <c r="L39" i="125" s="1"/>
  <c r="D32" i="124"/>
  <c r="K39" i="125" s="1"/>
  <c r="T28" i="124"/>
  <c r="T34" i="124" s="1"/>
  <c r="S28" i="124"/>
  <c r="S34" i="124" s="1"/>
  <c r="R28" i="124"/>
  <c r="R34" i="124" s="1"/>
  <c r="D28" i="124"/>
  <c r="D24" i="124"/>
  <c r="F16" i="124" s="1"/>
  <c r="D14" i="124"/>
  <c r="D13" i="124"/>
  <c r="D15" i="124" s="1"/>
  <c r="T11" i="124"/>
  <c r="S11" i="124"/>
  <c r="R11" i="124"/>
  <c r="D8" i="124"/>
  <c r="J6" i="124"/>
  <c r="J8" i="124" s="1"/>
  <c r="J9" i="124" s="1"/>
  <c r="D5" i="124"/>
  <c r="D23" i="124" s="1"/>
  <c r="H23" i="125"/>
  <c r="H23" i="126"/>
  <c r="AL23" i="126" s="1"/>
  <c r="D25" i="128"/>
  <c r="C25" i="128"/>
  <c r="B25" i="128"/>
  <c r="D24" i="128"/>
  <c r="C24" i="128"/>
  <c r="B24" i="128"/>
  <c r="A23" i="128"/>
  <c r="D22" i="128"/>
  <c r="C22" i="128"/>
  <c r="B22" i="128"/>
  <c r="D21" i="128"/>
  <c r="C21" i="128"/>
  <c r="B21" i="128"/>
  <c r="D20" i="128"/>
  <c r="C20" i="128"/>
  <c r="B20" i="128"/>
  <c r="D19" i="128"/>
  <c r="C19" i="128"/>
  <c r="B19" i="128"/>
  <c r="D18" i="128"/>
  <c r="C18" i="128"/>
  <c r="B18" i="128"/>
  <c r="D17" i="128"/>
  <c r="C17" i="128"/>
  <c r="B17" i="128"/>
  <c r="D16" i="128"/>
  <c r="C16" i="128"/>
  <c r="B16" i="128"/>
  <c r="D15" i="128"/>
  <c r="C15" i="128"/>
  <c r="B15" i="128"/>
  <c r="D14" i="128"/>
  <c r="C14" i="128"/>
  <c r="B14" i="128"/>
  <c r="D13" i="128"/>
  <c r="C13" i="128"/>
  <c r="B13" i="128"/>
  <c r="D12" i="128"/>
  <c r="C12" i="128"/>
  <c r="B12" i="128"/>
  <c r="D11" i="128"/>
  <c r="C11" i="128"/>
  <c r="B11" i="128"/>
  <c r="D10" i="128"/>
  <c r="C10" i="128"/>
  <c r="B10" i="128"/>
  <c r="D9" i="128"/>
  <c r="C9" i="128"/>
  <c r="B9" i="128"/>
  <c r="A8" i="128"/>
  <c r="K7" i="128"/>
  <c r="J7" i="128"/>
  <c r="A2" i="128"/>
  <c r="I23" i="125"/>
  <c r="O39" i="125"/>
  <c r="B23" i="125"/>
  <c r="E23" i="125" s="1"/>
  <c r="C23" i="125"/>
  <c r="D23" i="125"/>
  <c r="B25" i="125"/>
  <c r="C25" i="125"/>
  <c r="D25" i="125"/>
  <c r="F25" i="125"/>
  <c r="B26" i="125"/>
  <c r="C26" i="125"/>
  <c r="D26" i="125"/>
  <c r="F26" i="125"/>
  <c r="B27" i="125"/>
  <c r="C27" i="125"/>
  <c r="D27" i="125"/>
  <c r="F27" i="125"/>
  <c r="B28" i="125"/>
  <c r="C28" i="125"/>
  <c r="D28" i="125"/>
  <c r="F28" i="125"/>
  <c r="B29" i="125"/>
  <c r="C29" i="125"/>
  <c r="D29" i="125"/>
  <c r="F29" i="125"/>
  <c r="B30" i="125"/>
  <c r="C30" i="125"/>
  <c r="D30" i="125"/>
  <c r="F30" i="125"/>
  <c r="B31" i="125"/>
  <c r="C31" i="125"/>
  <c r="D31" i="125"/>
  <c r="F31" i="125"/>
  <c r="B32" i="125"/>
  <c r="C32" i="125"/>
  <c r="D32" i="125"/>
  <c r="F32" i="125"/>
  <c r="B33" i="125"/>
  <c r="C33" i="125"/>
  <c r="D33" i="125"/>
  <c r="F33" i="125"/>
  <c r="B34" i="125"/>
  <c r="C34" i="125"/>
  <c r="D34" i="125"/>
  <c r="F34" i="125"/>
  <c r="B35" i="125"/>
  <c r="C35" i="125"/>
  <c r="D35" i="125"/>
  <c r="F35" i="125"/>
  <c r="B36" i="125"/>
  <c r="C36" i="125"/>
  <c r="D36" i="125"/>
  <c r="F36" i="125"/>
  <c r="B37" i="125"/>
  <c r="C37" i="125"/>
  <c r="D37" i="125"/>
  <c r="F37" i="125"/>
  <c r="B38" i="125"/>
  <c r="C38" i="125"/>
  <c r="D38" i="125"/>
  <c r="F38" i="125"/>
  <c r="B39" i="125"/>
  <c r="C39" i="125"/>
  <c r="D39" i="125"/>
  <c r="F39" i="125"/>
  <c r="E10" i="126"/>
  <c r="E11" i="126"/>
  <c r="E12" i="126"/>
  <c r="E13" i="126"/>
  <c r="E14" i="126"/>
  <c r="E15" i="126"/>
  <c r="E16" i="126"/>
  <c r="E17" i="126"/>
  <c r="E18" i="126"/>
  <c r="E19" i="126"/>
  <c r="E20" i="126"/>
  <c r="E21" i="126"/>
  <c r="E22" i="126"/>
  <c r="E23" i="126"/>
  <c r="E9" i="126"/>
  <c r="D23" i="126"/>
  <c r="B23" i="126"/>
  <c r="C23" i="126"/>
  <c r="E9" i="76"/>
  <c r="C28" i="76"/>
  <c r="C29" i="76"/>
  <c r="C30" i="76"/>
  <c r="C31" i="76"/>
  <c r="C32" i="76"/>
  <c r="C33" i="76"/>
  <c r="C34" i="76"/>
  <c r="C35" i="76"/>
  <c r="C36" i="76"/>
  <c r="C37" i="76"/>
  <c r="C38" i="76"/>
  <c r="C39" i="76"/>
  <c r="C40" i="76"/>
  <c r="C42" i="76"/>
  <c r="C27" i="76"/>
  <c r="A2" i="127"/>
  <c r="F10" i="126"/>
  <c r="F11" i="126"/>
  <c r="F12" i="126"/>
  <c r="F13" i="126"/>
  <c r="F14" i="126"/>
  <c r="F15" i="126"/>
  <c r="F16" i="126"/>
  <c r="F17" i="126"/>
  <c r="F18" i="126"/>
  <c r="F19" i="126"/>
  <c r="F20" i="126"/>
  <c r="F21" i="126"/>
  <c r="F22" i="126"/>
  <c r="F23" i="126" s="1"/>
  <c r="D10" i="126"/>
  <c r="D11" i="126"/>
  <c r="D12" i="126"/>
  <c r="D13" i="126"/>
  <c r="D14" i="126"/>
  <c r="D15" i="126"/>
  <c r="D16" i="126"/>
  <c r="D17" i="126"/>
  <c r="D18" i="126"/>
  <c r="D19" i="126"/>
  <c r="D20" i="126"/>
  <c r="D21" i="126"/>
  <c r="D22" i="126"/>
  <c r="C22" i="126"/>
  <c r="B22" i="126"/>
  <c r="C21" i="126"/>
  <c r="B21" i="126"/>
  <c r="C20" i="126"/>
  <c r="B20" i="126"/>
  <c r="C19" i="126"/>
  <c r="B19" i="126"/>
  <c r="C18" i="126"/>
  <c r="B18" i="126"/>
  <c r="C17" i="126"/>
  <c r="B17" i="126"/>
  <c r="C16" i="126"/>
  <c r="B16" i="126"/>
  <c r="C15" i="126"/>
  <c r="B15" i="126"/>
  <c r="C14" i="126"/>
  <c r="B14" i="126"/>
  <c r="C13" i="126"/>
  <c r="B13" i="126"/>
  <c r="C12" i="126"/>
  <c r="B12" i="126"/>
  <c r="C11" i="126"/>
  <c r="B11" i="126"/>
  <c r="C10" i="126"/>
  <c r="B10" i="126"/>
  <c r="C9" i="126"/>
  <c r="B9" i="126"/>
  <c r="F9" i="126"/>
  <c r="D9" i="126"/>
  <c r="A8" i="126"/>
  <c r="A2" i="126"/>
  <c r="D22" i="125"/>
  <c r="C22" i="125"/>
  <c r="B22" i="125"/>
  <c r="E22" i="125" s="1"/>
  <c r="D21" i="125"/>
  <c r="C21" i="125"/>
  <c r="B21" i="125"/>
  <c r="E21" i="125" s="1"/>
  <c r="D20" i="125"/>
  <c r="C20" i="125"/>
  <c r="B20" i="125"/>
  <c r="E20" i="125" s="1"/>
  <c r="D19" i="125"/>
  <c r="C19" i="125"/>
  <c r="B19" i="125"/>
  <c r="D18" i="125"/>
  <c r="C18" i="125"/>
  <c r="B18" i="125"/>
  <c r="D17" i="125"/>
  <c r="C17" i="125"/>
  <c r="B17" i="125"/>
  <c r="E17" i="125" s="1"/>
  <c r="D16" i="125"/>
  <c r="C16" i="125"/>
  <c r="B16" i="125"/>
  <c r="E16" i="125" s="1"/>
  <c r="D15" i="125"/>
  <c r="C15" i="125"/>
  <c r="B15" i="125"/>
  <c r="E15" i="125" s="1"/>
  <c r="D14" i="125"/>
  <c r="C14" i="125"/>
  <c r="B14" i="125"/>
  <c r="E14" i="125" s="1"/>
  <c r="D13" i="125"/>
  <c r="C13" i="125"/>
  <c r="B13" i="125"/>
  <c r="E13" i="125" s="1"/>
  <c r="D12" i="125"/>
  <c r="C12" i="125"/>
  <c r="B12" i="125"/>
  <c r="E12" i="125" s="1"/>
  <c r="D11" i="125"/>
  <c r="C11" i="125"/>
  <c r="B11" i="125"/>
  <c r="E11" i="125" s="1"/>
  <c r="D10" i="125"/>
  <c r="C10" i="125"/>
  <c r="B10" i="125"/>
  <c r="E10" i="125" s="1"/>
  <c r="D9" i="125"/>
  <c r="C9" i="125"/>
  <c r="B9" i="125"/>
  <c r="E9" i="125" s="1"/>
  <c r="A2" i="125"/>
  <c r="H10" i="78"/>
  <c r="H11" i="78"/>
  <c r="H12" i="78"/>
  <c r="H13" i="78"/>
  <c r="H14" i="78"/>
  <c r="H15" i="78"/>
  <c r="H16" i="78"/>
  <c r="H17" i="78"/>
  <c r="H18" i="78"/>
  <c r="H19" i="78"/>
  <c r="H20" i="78"/>
  <c r="H21" i="78"/>
  <c r="H22" i="78"/>
  <c r="H9" i="78"/>
  <c r="D228" i="123"/>
  <c r="D229" i="123" s="1"/>
  <c r="D211" i="123"/>
  <c r="D212" i="123" s="1"/>
  <c r="D193" i="123"/>
  <c r="D194" i="123" s="1"/>
  <c r="D174" i="123"/>
  <c r="D175" i="123" s="1"/>
  <c r="D157" i="123"/>
  <c r="D158" i="123" s="1"/>
  <c r="D118" i="123"/>
  <c r="D119" i="123" s="1"/>
  <c r="B19" i="123"/>
  <c r="D18" i="123" s="1"/>
  <c r="C18" i="123" s="1"/>
  <c r="F18" i="123" s="1"/>
  <c r="D139" i="123"/>
  <c r="D140" i="123" s="1"/>
  <c r="Q241" i="123"/>
  <c r="Q240" i="123"/>
  <c r="Q239" i="123"/>
  <c r="S239" i="123" s="1"/>
  <c r="T239" i="123" s="1"/>
  <c r="U239" i="123" s="1"/>
  <c r="V239" i="123" s="1"/>
  <c r="Q238" i="123"/>
  <c r="Q237" i="123"/>
  <c r="Q236" i="123"/>
  <c r="S236" i="123" s="1"/>
  <c r="T236" i="123" s="1"/>
  <c r="U236" i="123" s="1"/>
  <c r="V236" i="123" s="1"/>
  <c r="Q234" i="123"/>
  <c r="S234" i="123" s="1"/>
  <c r="T234" i="123" s="1"/>
  <c r="U234" i="123" s="1"/>
  <c r="V234" i="123" s="1"/>
  <c r="Q232" i="123"/>
  <c r="S232" i="123" s="1"/>
  <c r="T232" i="123" s="1"/>
  <c r="U232" i="123" s="1"/>
  <c r="V232" i="123" s="1"/>
  <c r="Q224" i="123"/>
  <c r="S224" i="123" s="1"/>
  <c r="T224" i="123" s="1"/>
  <c r="U224" i="123" s="1"/>
  <c r="V224" i="123" s="1"/>
  <c r="Q223" i="123"/>
  <c r="Q222" i="123"/>
  <c r="Q221" i="123"/>
  <c r="S221" i="123" s="1"/>
  <c r="T221" i="123" s="1"/>
  <c r="U221" i="123" s="1"/>
  <c r="V221" i="123" s="1"/>
  <c r="Q220" i="123"/>
  <c r="Q219" i="123"/>
  <c r="Q217" i="123"/>
  <c r="Q215" i="123"/>
  <c r="M206" i="123"/>
  <c r="L206" i="123"/>
  <c r="K206" i="123"/>
  <c r="J206" i="123"/>
  <c r="I206" i="123"/>
  <c r="H206" i="123"/>
  <c r="M205" i="123"/>
  <c r="L205" i="123"/>
  <c r="K205" i="123"/>
  <c r="J205" i="123"/>
  <c r="I205" i="123"/>
  <c r="H205" i="123"/>
  <c r="M204" i="123"/>
  <c r="L204" i="123"/>
  <c r="K204" i="123"/>
  <c r="J204" i="123"/>
  <c r="I204" i="123"/>
  <c r="H204" i="123"/>
  <c r="M203" i="123"/>
  <c r="L203" i="123"/>
  <c r="K203" i="123"/>
  <c r="J202" i="123"/>
  <c r="I202" i="123"/>
  <c r="H202" i="123"/>
  <c r="M201" i="123"/>
  <c r="L201" i="123"/>
  <c r="K201" i="123"/>
  <c r="J201" i="123"/>
  <c r="I201" i="123"/>
  <c r="H201" i="123"/>
  <c r="M199" i="123"/>
  <c r="L199" i="123"/>
  <c r="K199" i="123"/>
  <c r="J199" i="123"/>
  <c r="I199" i="123"/>
  <c r="H199" i="123"/>
  <c r="L197" i="123"/>
  <c r="K197" i="123"/>
  <c r="J197" i="123"/>
  <c r="I197" i="123"/>
  <c r="H197" i="123"/>
  <c r="Q187" i="123"/>
  <c r="S187" i="123" s="1"/>
  <c r="Q186" i="123"/>
  <c r="Q180" i="123"/>
  <c r="Q178" i="123"/>
  <c r="Q170" i="123"/>
  <c r="Q169" i="123"/>
  <c r="Q163" i="123"/>
  <c r="Q161" i="123"/>
  <c r="S161" i="123" s="1"/>
  <c r="M152" i="123"/>
  <c r="L152" i="123"/>
  <c r="K152" i="123"/>
  <c r="J152" i="123"/>
  <c r="I152" i="123"/>
  <c r="H152" i="123"/>
  <c r="M151" i="123"/>
  <c r="L151" i="123"/>
  <c r="K151" i="123"/>
  <c r="J151" i="123"/>
  <c r="I151" i="123"/>
  <c r="H151" i="123"/>
  <c r="O150" i="123"/>
  <c r="O168" i="123" s="1"/>
  <c r="O185" i="123" s="1"/>
  <c r="N150" i="123"/>
  <c r="N168" i="123" s="1"/>
  <c r="N185" i="123" s="1"/>
  <c r="M150" i="123"/>
  <c r="M168" i="123" s="1"/>
  <c r="M185" i="123" s="1"/>
  <c r="L150" i="123"/>
  <c r="L168" i="123" s="1"/>
  <c r="L185" i="123" s="1"/>
  <c r="K150" i="123"/>
  <c r="K168" i="123" s="1"/>
  <c r="K185" i="123" s="1"/>
  <c r="J150" i="123"/>
  <c r="J168" i="123" s="1"/>
  <c r="J185" i="123" s="1"/>
  <c r="I150" i="123"/>
  <c r="I168" i="123" s="1"/>
  <c r="I185" i="123" s="1"/>
  <c r="H150" i="123"/>
  <c r="H168" i="123" s="1"/>
  <c r="O149" i="123"/>
  <c r="O167" i="123" s="1"/>
  <c r="O184" i="123" s="1"/>
  <c r="N149" i="123"/>
  <c r="N167" i="123" s="1"/>
  <c r="N184" i="123" s="1"/>
  <c r="M149" i="123"/>
  <c r="M167" i="123" s="1"/>
  <c r="M184" i="123" s="1"/>
  <c r="L149" i="123"/>
  <c r="L167" i="123" s="1"/>
  <c r="L184" i="123" s="1"/>
  <c r="K149" i="123"/>
  <c r="K167" i="123" s="1"/>
  <c r="K184" i="123" s="1"/>
  <c r="J149" i="123"/>
  <c r="J167" i="123" s="1"/>
  <c r="J184" i="123" s="1"/>
  <c r="I149" i="123"/>
  <c r="H149" i="123"/>
  <c r="H167" i="123" s="1"/>
  <c r="H184" i="123" s="1"/>
  <c r="O148" i="123"/>
  <c r="O166" i="123" s="1"/>
  <c r="O183" i="123" s="1"/>
  <c r="N148" i="123"/>
  <c r="N166" i="123" s="1"/>
  <c r="N183" i="123" s="1"/>
  <c r="M148" i="123"/>
  <c r="M166" i="123" s="1"/>
  <c r="M183" i="123" s="1"/>
  <c r="L148" i="123"/>
  <c r="L166" i="123" s="1"/>
  <c r="L183" i="123" s="1"/>
  <c r="K148" i="123"/>
  <c r="K166" i="123" s="1"/>
  <c r="K183" i="123" s="1"/>
  <c r="J148" i="123"/>
  <c r="J166" i="123" s="1"/>
  <c r="J183" i="123" s="1"/>
  <c r="I148" i="123"/>
  <c r="I166" i="123" s="1"/>
  <c r="I183" i="123" s="1"/>
  <c r="H148" i="123"/>
  <c r="H166" i="123" s="1"/>
  <c r="O147" i="123"/>
  <c r="O165" i="123" s="1"/>
  <c r="O182" i="123" s="1"/>
  <c r="N147" i="123"/>
  <c r="N165" i="123" s="1"/>
  <c r="N182" i="123" s="1"/>
  <c r="M147" i="123"/>
  <c r="M165" i="123" s="1"/>
  <c r="M182" i="123" s="1"/>
  <c r="L147" i="123"/>
  <c r="L165" i="123" s="1"/>
  <c r="L182" i="123" s="1"/>
  <c r="K147" i="123"/>
  <c r="K165" i="123" s="1"/>
  <c r="K182" i="123" s="1"/>
  <c r="J147" i="123"/>
  <c r="J165" i="123" s="1"/>
  <c r="J182" i="123" s="1"/>
  <c r="I147" i="123"/>
  <c r="I165" i="123" s="1"/>
  <c r="I182" i="123" s="1"/>
  <c r="H147" i="123"/>
  <c r="H165" i="123" s="1"/>
  <c r="O146" i="123"/>
  <c r="O164" i="123" s="1"/>
  <c r="O181" i="123" s="1"/>
  <c r="O200" i="123" s="1"/>
  <c r="O218" i="123" s="1"/>
  <c r="O235" i="123" s="1"/>
  <c r="N146" i="123"/>
  <c r="N164" i="123" s="1"/>
  <c r="N181" i="123" s="1"/>
  <c r="N200" i="123" s="1"/>
  <c r="N218" i="123" s="1"/>
  <c r="N235" i="123" s="1"/>
  <c r="M146" i="123"/>
  <c r="M164" i="123" s="1"/>
  <c r="M181" i="123" s="1"/>
  <c r="M200" i="123" s="1"/>
  <c r="M218" i="123" s="1"/>
  <c r="M235" i="123" s="1"/>
  <c r="L146" i="123"/>
  <c r="L164" i="123" s="1"/>
  <c r="L181" i="123" s="1"/>
  <c r="L200" i="123" s="1"/>
  <c r="L218" i="123" s="1"/>
  <c r="L235" i="123" s="1"/>
  <c r="K146" i="123"/>
  <c r="K164" i="123" s="1"/>
  <c r="K181" i="123" s="1"/>
  <c r="K200" i="123" s="1"/>
  <c r="K218" i="123" s="1"/>
  <c r="K235" i="123" s="1"/>
  <c r="J146" i="123"/>
  <c r="J164" i="123" s="1"/>
  <c r="J181" i="123" s="1"/>
  <c r="J200" i="123" s="1"/>
  <c r="J218" i="123" s="1"/>
  <c r="J235" i="123" s="1"/>
  <c r="I146" i="123"/>
  <c r="I164" i="123" s="1"/>
  <c r="I181" i="123" s="1"/>
  <c r="I200" i="123" s="1"/>
  <c r="I218" i="123" s="1"/>
  <c r="I235" i="123" s="1"/>
  <c r="H146" i="123"/>
  <c r="O144" i="123"/>
  <c r="O162" i="123" s="1"/>
  <c r="O179" i="123" s="1"/>
  <c r="O198" i="123" s="1"/>
  <c r="O216" i="123" s="1"/>
  <c r="O233" i="123" s="1"/>
  <c r="N144" i="123"/>
  <c r="N162" i="123" s="1"/>
  <c r="N179" i="123" s="1"/>
  <c r="N198" i="123" s="1"/>
  <c r="N216" i="123" s="1"/>
  <c r="N233" i="123" s="1"/>
  <c r="M144" i="123"/>
  <c r="M162" i="123" s="1"/>
  <c r="M179" i="123" s="1"/>
  <c r="M198" i="123" s="1"/>
  <c r="M216" i="123" s="1"/>
  <c r="M233" i="123" s="1"/>
  <c r="L144" i="123"/>
  <c r="L162" i="123" s="1"/>
  <c r="L179" i="123" s="1"/>
  <c r="L198" i="123" s="1"/>
  <c r="L216" i="123" s="1"/>
  <c r="L233" i="123" s="1"/>
  <c r="K144" i="123"/>
  <c r="K162" i="123" s="1"/>
  <c r="K179" i="123" s="1"/>
  <c r="K198" i="123" s="1"/>
  <c r="K216" i="123" s="1"/>
  <c r="K233" i="123" s="1"/>
  <c r="J144" i="123"/>
  <c r="J162" i="123" s="1"/>
  <c r="J179" i="123" s="1"/>
  <c r="J198" i="123" s="1"/>
  <c r="J216" i="123" s="1"/>
  <c r="J233" i="123" s="1"/>
  <c r="I144" i="123"/>
  <c r="I162" i="123" s="1"/>
  <c r="H144" i="123"/>
  <c r="H162" i="123" s="1"/>
  <c r="H179" i="123" s="1"/>
  <c r="H198" i="123" s="1"/>
  <c r="L143" i="123"/>
  <c r="K143" i="123"/>
  <c r="J143" i="123"/>
  <c r="I143" i="123"/>
  <c r="H143" i="123"/>
  <c r="O142" i="123"/>
  <c r="O160" i="123" s="1"/>
  <c r="O177" i="123" s="1"/>
  <c r="O196" i="123" s="1"/>
  <c r="O214" i="123" s="1"/>
  <c r="O231" i="123" s="1"/>
  <c r="N142" i="123"/>
  <c r="N160" i="123" s="1"/>
  <c r="N177" i="123" s="1"/>
  <c r="N196" i="123" s="1"/>
  <c r="N214" i="123" s="1"/>
  <c r="N231" i="123" s="1"/>
  <c r="M142" i="123"/>
  <c r="M160" i="123" s="1"/>
  <c r="M177" i="123" s="1"/>
  <c r="M196" i="123" s="1"/>
  <c r="M214" i="123" s="1"/>
  <c r="M231" i="123" s="1"/>
  <c r="L142" i="123"/>
  <c r="L160" i="123" s="1"/>
  <c r="L177" i="123" s="1"/>
  <c r="L196" i="123" s="1"/>
  <c r="L214" i="123" s="1"/>
  <c r="L231" i="123" s="1"/>
  <c r="K142" i="123"/>
  <c r="K160" i="123" s="1"/>
  <c r="K177" i="123" s="1"/>
  <c r="K196" i="123" s="1"/>
  <c r="K214" i="123" s="1"/>
  <c r="K231" i="123" s="1"/>
  <c r="J142" i="123"/>
  <c r="J160" i="123" s="1"/>
  <c r="J177" i="123" s="1"/>
  <c r="J196" i="123" s="1"/>
  <c r="J214" i="123" s="1"/>
  <c r="J231" i="123" s="1"/>
  <c r="I142" i="123"/>
  <c r="I160" i="123" s="1"/>
  <c r="I177" i="123" s="1"/>
  <c r="I196" i="123" s="1"/>
  <c r="I214" i="123" s="1"/>
  <c r="I231" i="123" s="1"/>
  <c r="H142" i="123"/>
  <c r="O141" i="123"/>
  <c r="O159" i="123" s="1"/>
  <c r="O176" i="123" s="1"/>
  <c r="O195" i="123" s="1"/>
  <c r="O213" i="123" s="1"/>
  <c r="O230" i="123" s="1"/>
  <c r="N141" i="123"/>
  <c r="N159" i="123" s="1"/>
  <c r="N176" i="123" s="1"/>
  <c r="N195" i="123" s="1"/>
  <c r="N213" i="123" s="1"/>
  <c r="N230" i="123" s="1"/>
  <c r="M141" i="123"/>
  <c r="M159" i="123" s="1"/>
  <c r="M176" i="123" s="1"/>
  <c r="M195" i="123" s="1"/>
  <c r="M213" i="123" s="1"/>
  <c r="M230" i="123" s="1"/>
  <c r="L141" i="123"/>
  <c r="L159" i="123" s="1"/>
  <c r="L176" i="123" s="1"/>
  <c r="L195" i="123" s="1"/>
  <c r="L213" i="123" s="1"/>
  <c r="L230" i="123" s="1"/>
  <c r="K141" i="123"/>
  <c r="K159" i="123" s="1"/>
  <c r="K176" i="123" s="1"/>
  <c r="K195" i="123" s="1"/>
  <c r="K213" i="123" s="1"/>
  <c r="K230" i="123" s="1"/>
  <c r="J141" i="123"/>
  <c r="J159" i="123" s="1"/>
  <c r="J176" i="123" s="1"/>
  <c r="J195" i="123" s="1"/>
  <c r="J213" i="123" s="1"/>
  <c r="J230" i="123" s="1"/>
  <c r="I141" i="123"/>
  <c r="I159" i="123" s="1"/>
  <c r="I176" i="123" s="1"/>
  <c r="I195" i="123" s="1"/>
  <c r="I213" i="123" s="1"/>
  <c r="I230" i="123" s="1"/>
  <c r="H141" i="123"/>
  <c r="H159" i="123" s="1"/>
  <c r="O140" i="123"/>
  <c r="O158" i="123" s="1"/>
  <c r="O175" i="123" s="1"/>
  <c r="O194" i="123" s="1"/>
  <c r="O212" i="123" s="1"/>
  <c r="O229" i="123" s="1"/>
  <c r="N140" i="123"/>
  <c r="N158" i="123" s="1"/>
  <c r="N175" i="123" s="1"/>
  <c r="N194" i="123" s="1"/>
  <c r="N212" i="123" s="1"/>
  <c r="N229" i="123" s="1"/>
  <c r="M140" i="123"/>
  <c r="M158" i="123" s="1"/>
  <c r="M175" i="123" s="1"/>
  <c r="M194" i="123" s="1"/>
  <c r="M212" i="123" s="1"/>
  <c r="M229" i="123" s="1"/>
  <c r="L140" i="123"/>
  <c r="L158" i="123" s="1"/>
  <c r="L175" i="123" s="1"/>
  <c r="L194" i="123" s="1"/>
  <c r="L212" i="123" s="1"/>
  <c r="L229" i="123" s="1"/>
  <c r="K140" i="123"/>
  <c r="K158" i="123" s="1"/>
  <c r="K175" i="123" s="1"/>
  <c r="K194" i="123" s="1"/>
  <c r="K212" i="123" s="1"/>
  <c r="K229" i="123" s="1"/>
  <c r="J140" i="123"/>
  <c r="J158" i="123" s="1"/>
  <c r="J175" i="123" s="1"/>
  <c r="J194" i="123" s="1"/>
  <c r="J212" i="123" s="1"/>
  <c r="J229" i="123" s="1"/>
  <c r="I140" i="123"/>
  <c r="I158" i="123" s="1"/>
  <c r="I175" i="123" s="1"/>
  <c r="I194" i="123" s="1"/>
  <c r="I212" i="123" s="1"/>
  <c r="I229" i="123" s="1"/>
  <c r="H140" i="123"/>
  <c r="O139" i="123"/>
  <c r="O157" i="123" s="1"/>
  <c r="O174" i="123" s="1"/>
  <c r="O193" i="123" s="1"/>
  <c r="O211" i="123" s="1"/>
  <c r="O228" i="123" s="1"/>
  <c r="N139" i="123"/>
  <c r="N157" i="123" s="1"/>
  <c r="N174" i="123" s="1"/>
  <c r="N193" i="123" s="1"/>
  <c r="N211" i="123" s="1"/>
  <c r="N228" i="123" s="1"/>
  <c r="M139" i="123"/>
  <c r="M157" i="123" s="1"/>
  <c r="M174" i="123" s="1"/>
  <c r="M193" i="123" s="1"/>
  <c r="M211" i="123" s="1"/>
  <c r="M228" i="123" s="1"/>
  <c r="L139" i="123"/>
  <c r="L157" i="123" s="1"/>
  <c r="L174" i="123" s="1"/>
  <c r="L193" i="123" s="1"/>
  <c r="L211" i="123" s="1"/>
  <c r="L228" i="123" s="1"/>
  <c r="K139" i="123"/>
  <c r="K157" i="123" s="1"/>
  <c r="K174" i="123" s="1"/>
  <c r="K193" i="123" s="1"/>
  <c r="K211" i="123" s="1"/>
  <c r="K228" i="123" s="1"/>
  <c r="J139" i="123"/>
  <c r="J157" i="123" s="1"/>
  <c r="J174" i="123" s="1"/>
  <c r="J193" i="123" s="1"/>
  <c r="J211" i="123" s="1"/>
  <c r="J228" i="123" s="1"/>
  <c r="I139" i="123"/>
  <c r="I157" i="123" s="1"/>
  <c r="H139" i="123"/>
  <c r="H157" i="123" s="1"/>
  <c r="H174" i="123" s="1"/>
  <c r="H193" i="123" s="1"/>
  <c r="Q131" i="123"/>
  <c r="Q130" i="123"/>
  <c r="Q129" i="123"/>
  <c r="Q128" i="123"/>
  <c r="Q127" i="123"/>
  <c r="S127" i="123" s="1"/>
  <c r="T127" i="123" s="1"/>
  <c r="Q126" i="123"/>
  <c r="Q125" i="123"/>
  <c r="Q124" i="123"/>
  <c r="S124" i="123" s="1"/>
  <c r="T124" i="123" s="1"/>
  <c r="U124" i="123" s="1"/>
  <c r="V124" i="123" s="1"/>
  <c r="W124" i="123" s="1"/>
  <c r="X124" i="123" s="1"/>
  <c r="Y124" i="123" s="1"/>
  <c r="Z124" i="123" s="1"/>
  <c r="AA124" i="123" s="1"/>
  <c r="AB124" i="123" s="1"/>
  <c r="AC124" i="123" s="1"/>
  <c r="Q123" i="123"/>
  <c r="Q122" i="123"/>
  <c r="Q121" i="123"/>
  <c r="S121" i="123" s="1"/>
  <c r="Q120" i="123"/>
  <c r="Q119" i="123"/>
  <c r="Q118" i="123"/>
  <c r="S118" i="123" s="1"/>
  <c r="Q112" i="123"/>
  <c r="Q111" i="123"/>
  <c r="Q110" i="123"/>
  <c r="S110" i="123" s="1"/>
  <c r="Q109" i="123"/>
  <c r="Q108" i="123"/>
  <c r="Q107" i="123"/>
  <c r="S107" i="123" s="1"/>
  <c r="Q106" i="123"/>
  <c r="Q105" i="123"/>
  <c r="Q104" i="123"/>
  <c r="S104" i="123" s="1"/>
  <c r="Q103" i="123"/>
  <c r="S103" i="123" s="1"/>
  <c r="Q102" i="123"/>
  <c r="Q101" i="123"/>
  <c r="Q100" i="123"/>
  <c r="Q99" i="123"/>
  <c r="K28" i="124" l="1"/>
  <c r="K27" i="124"/>
  <c r="K29" i="124"/>
  <c r="T14" i="124"/>
  <c r="T23" i="124" s="1"/>
  <c r="T32" i="124" s="1"/>
  <c r="S14" i="124"/>
  <c r="S23" i="124" s="1"/>
  <c r="S32" i="124" s="1"/>
  <c r="R14" i="124"/>
  <c r="R23" i="124" s="1"/>
  <c r="R32" i="124" s="1"/>
  <c r="T13" i="124"/>
  <c r="T24" i="124" s="1"/>
  <c r="T33" i="124" s="1"/>
  <c r="S13" i="124"/>
  <c r="S24" i="124" s="1"/>
  <c r="S33" i="124" s="1"/>
  <c r="D17" i="124"/>
  <c r="J18" i="123" a="1"/>
  <c r="J18" i="123" s="1"/>
  <c r="K18" i="123" a="1"/>
  <c r="K18" i="123" s="1"/>
  <c r="L18" i="123" a="1"/>
  <c r="L18" i="123" s="1"/>
  <c r="M18" i="123" a="1"/>
  <c r="M18" i="123" s="1"/>
  <c r="N18" i="123" a="1"/>
  <c r="N18" i="123" s="1"/>
  <c r="O18" i="123" a="1"/>
  <c r="O18" i="123" s="1"/>
  <c r="P18" i="123" a="1"/>
  <c r="P18" i="123" s="1"/>
  <c r="H18" i="123" a="1"/>
  <c r="H18" i="123" s="1"/>
  <c r="C229" i="123"/>
  <c r="D230" i="123"/>
  <c r="C228" i="123"/>
  <c r="C212" i="123"/>
  <c r="D213" i="123"/>
  <c r="C211" i="123"/>
  <c r="C194" i="123"/>
  <c r="D195" i="123"/>
  <c r="C193" i="123"/>
  <c r="C175" i="123"/>
  <c r="D176" i="123"/>
  <c r="C174" i="123"/>
  <c r="D159" i="123"/>
  <c r="C158" i="123"/>
  <c r="C157" i="123"/>
  <c r="C119" i="123"/>
  <c r="D120" i="123"/>
  <c r="C118" i="123"/>
  <c r="C140" i="123"/>
  <c r="D141" i="123"/>
  <c r="C139" i="123"/>
  <c r="D19" i="123"/>
  <c r="Q145" i="123"/>
  <c r="Q203" i="123"/>
  <c r="Q201" i="123"/>
  <c r="Q202" i="123"/>
  <c r="Q205" i="123"/>
  <c r="S205" i="123" s="1"/>
  <c r="T205" i="123" s="1"/>
  <c r="U205" i="123" s="1"/>
  <c r="V205" i="123" s="1"/>
  <c r="W205" i="123" s="1"/>
  <c r="X205" i="123" s="1"/>
  <c r="Y205" i="123" s="1"/>
  <c r="Z205" i="123" s="1"/>
  <c r="AA205" i="123" s="1"/>
  <c r="AB205" i="123" s="1"/>
  <c r="AC205" i="123" s="1"/>
  <c r="AD205" i="123" s="1"/>
  <c r="AE205" i="123" s="1"/>
  <c r="AF205" i="123" s="1"/>
  <c r="AG205" i="123" s="1"/>
  <c r="AH205" i="123" s="1"/>
  <c r="AI205" i="123" s="1"/>
  <c r="AJ205" i="123" s="1"/>
  <c r="AK205" i="123" s="1"/>
  <c r="AL205" i="123" s="1"/>
  <c r="AM205" i="123" s="1"/>
  <c r="AN205" i="123" s="1"/>
  <c r="AO205" i="123" s="1"/>
  <c r="AP205" i="123" s="1"/>
  <c r="AQ205" i="123" s="1"/>
  <c r="AR205" i="123" s="1"/>
  <c r="AS205" i="123" s="1"/>
  <c r="AT205" i="123" s="1"/>
  <c r="AU205" i="123" s="1"/>
  <c r="AV205" i="123" s="1"/>
  <c r="AW205" i="123" s="1"/>
  <c r="Q149" i="123"/>
  <c r="Q199" i="123"/>
  <c r="Q143" i="123"/>
  <c r="Q151" i="123"/>
  <c r="Q197" i="123"/>
  <c r="S197" i="123" s="1"/>
  <c r="T197" i="123" s="1"/>
  <c r="U197" i="123" s="1"/>
  <c r="V197" i="123" s="1"/>
  <c r="W197" i="123" s="1"/>
  <c r="X197" i="123" s="1"/>
  <c r="Y197" i="123" s="1"/>
  <c r="Z197" i="123" s="1"/>
  <c r="AA197" i="123" s="1"/>
  <c r="AB197" i="123" s="1"/>
  <c r="AC197" i="123" s="1"/>
  <c r="AD197" i="123" s="1"/>
  <c r="AE197" i="123" s="1"/>
  <c r="AF197" i="123" s="1"/>
  <c r="AG197" i="123" s="1"/>
  <c r="AH197" i="123" s="1"/>
  <c r="AI197" i="123" s="1"/>
  <c r="AJ197" i="123" s="1"/>
  <c r="AK197" i="123" s="1"/>
  <c r="AL197" i="123" s="1"/>
  <c r="AM197" i="123" s="1"/>
  <c r="AN197" i="123" s="1"/>
  <c r="AO197" i="123" s="1"/>
  <c r="AP197" i="123" s="1"/>
  <c r="AQ197" i="123" s="1"/>
  <c r="AR197" i="123" s="1"/>
  <c r="AS197" i="123" s="1"/>
  <c r="AT197" i="123" s="1"/>
  <c r="AU197" i="123" s="1"/>
  <c r="AV197" i="123" s="1"/>
  <c r="AW197" i="123" s="1"/>
  <c r="Q152" i="123"/>
  <c r="S152" i="123" s="1"/>
  <c r="T152" i="123" s="1"/>
  <c r="U152" i="123" s="1"/>
  <c r="V152" i="123" s="1"/>
  <c r="W152" i="123" s="1"/>
  <c r="X152" i="123" s="1"/>
  <c r="Y152" i="123" s="1"/>
  <c r="Z152" i="123" s="1"/>
  <c r="AA152" i="123" s="1"/>
  <c r="AB152" i="123" s="1"/>
  <c r="AC152" i="123" s="1"/>
  <c r="AD152" i="123" s="1"/>
  <c r="AE152" i="123" s="1"/>
  <c r="AF152" i="123" s="1"/>
  <c r="AG152" i="123" s="1"/>
  <c r="AH152" i="123" s="1"/>
  <c r="AI152" i="123" s="1"/>
  <c r="AJ152" i="123" s="1"/>
  <c r="AK152" i="123" s="1"/>
  <c r="AL152" i="123" s="1"/>
  <c r="AM152" i="123" s="1"/>
  <c r="AN152" i="123" s="1"/>
  <c r="AO152" i="123" s="1"/>
  <c r="AP152" i="123" s="1"/>
  <c r="AQ152" i="123" s="1"/>
  <c r="AR152" i="123" s="1"/>
  <c r="AS152" i="123" s="1"/>
  <c r="AT152" i="123" s="1"/>
  <c r="AU152" i="123" s="1"/>
  <c r="AV152" i="123" s="1"/>
  <c r="AW152" i="123" s="1"/>
  <c r="Q148" i="123"/>
  <c r="S148" i="123" s="1"/>
  <c r="T148" i="123" s="1"/>
  <c r="U148" i="123" s="1"/>
  <c r="V148" i="123" s="1"/>
  <c r="W148" i="123" s="1"/>
  <c r="X148" i="123" s="1"/>
  <c r="Y148" i="123" s="1"/>
  <c r="Z148" i="123" s="1"/>
  <c r="AA148" i="123" s="1"/>
  <c r="AB148" i="123" s="1"/>
  <c r="AC148" i="123" s="1"/>
  <c r="AD148" i="123" s="1"/>
  <c r="AE148" i="123" s="1"/>
  <c r="AF148" i="123" s="1"/>
  <c r="AG148" i="123" s="1"/>
  <c r="AH148" i="123" s="1"/>
  <c r="AI148" i="123" s="1"/>
  <c r="AJ148" i="123" s="1"/>
  <c r="AK148" i="123" s="1"/>
  <c r="AL148" i="123" s="1"/>
  <c r="AM148" i="123" s="1"/>
  <c r="AN148" i="123" s="1"/>
  <c r="AO148" i="123" s="1"/>
  <c r="AP148" i="123" s="1"/>
  <c r="AQ148" i="123" s="1"/>
  <c r="AR148" i="123" s="1"/>
  <c r="AS148" i="123" s="1"/>
  <c r="AT148" i="123" s="1"/>
  <c r="AU148" i="123" s="1"/>
  <c r="AV148" i="123" s="1"/>
  <c r="AW148" i="123" s="1"/>
  <c r="S99" i="123"/>
  <c r="T99" i="123" s="1"/>
  <c r="U99" i="123" s="1"/>
  <c r="V99" i="123" s="1"/>
  <c r="W99" i="123" s="1"/>
  <c r="X99" i="123" s="1"/>
  <c r="Y99" i="123" s="1"/>
  <c r="Z99" i="123" s="1"/>
  <c r="AA99" i="123" s="1"/>
  <c r="AB99" i="123" s="1"/>
  <c r="AC99" i="123" s="1"/>
  <c r="AD99" i="123" s="1"/>
  <c r="AE99" i="123" s="1"/>
  <c r="AF99" i="123" s="1"/>
  <c r="AG99" i="123" s="1"/>
  <c r="AH99" i="123" s="1"/>
  <c r="AI99" i="123" s="1"/>
  <c r="AJ99" i="123" s="1"/>
  <c r="AK99" i="123" s="1"/>
  <c r="AL99" i="123" s="1"/>
  <c r="AM99" i="123" s="1"/>
  <c r="AN99" i="123" s="1"/>
  <c r="AO99" i="123" s="1"/>
  <c r="AP99" i="123" s="1"/>
  <c r="AQ99" i="123" s="1"/>
  <c r="AR99" i="123" s="1"/>
  <c r="AS99" i="123" s="1"/>
  <c r="AT99" i="123" s="1"/>
  <c r="AU99" i="123" s="1"/>
  <c r="AV99" i="123" s="1"/>
  <c r="AW99" i="123" s="1"/>
  <c r="T103" i="123"/>
  <c r="Q140" i="123"/>
  <c r="H158" i="123"/>
  <c r="U103" i="123"/>
  <c r="V103" i="123" s="1"/>
  <c r="W103" i="123" s="1"/>
  <c r="X103" i="123" s="1"/>
  <c r="Y103" i="123" s="1"/>
  <c r="Z103" i="123" s="1"/>
  <c r="AA103" i="123" s="1"/>
  <c r="AB103" i="123" s="1"/>
  <c r="AC103" i="123" s="1"/>
  <c r="AD103" i="123" s="1"/>
  <c r="AE103" i="123" s="1"/>
  <c r="AF103" i="123" s="1"/>
  <c r="AG103" i="123" s="1"/>
  <c r="AH103" i="123" s="1"/>
  <c r="AI103" i="123" s="1"/>
  <c r="AJ103" i="123" s="1"/>
  <c r="AK103" i="123" s="1"/>
  <c r="AL103" i="123" s="1"/>
  <c r="AM103" i="123" s="1"/>
  <c r="AN103" i="123" s="1"/>
  <c r="AO103" i="123" s="1"/>
  <c r="AP103" i="123" s="1"/>
  <c r="AQ103" i="123" s="1"/>
  <c r="AR103" i="123" s="1"/>
  <c r="AS103" i="123" s="1"/>
  <c r="AT103" i="123" s="1"/>
  <c r="AU103" i="123" s="1"/>
  <c r="AV103" i="123" s="1"/>
  <c r="AW103" i="123" s="1"/>
  <c r="S125" i="123"/>
  <c r="T125" i="123" s="1"/>
  <c r="U125" i="123" s="1"/>
  <c r="V125" i="123" s="1"/>
  <c r="W125" i="123" s="1"/>
  <c r="X125" i="123" s="1"/>
  <c r="Y125" i="123" s="1"/>
  <c r="Z125" i="123" s="1"/>
  <c r="AA125" i="123" s="1"/>
  <c r="AB125" i="123" s="1"/>
  <c r="AC125" i="123" s="1"/>
  <c r="AD125" i="123" s="1"/>
  <c r="AE125" i="123" s="1"/>
  <c r="AF125" i="123" s="1"/>
  <c r="AG125" i="123" s="1"/>
  <c r="AH125" i="123" s="1"/>
  <c r="AI125" i="123" s="1"/>
  <c r="AJ125" i="123" s="1"/>
  <c r="AK125" i="123" s="1"/>
  <c r="AL125" i="123" s="1"/>
  <c r="AM125" i="123" s="1"/>
  <c r="AN125" i="123" s="1"/>
  <c r="AO125" i="123" s="1"/>
  <c r="AP125" i="123" s="1"/>
  <c r="AQ125" i="123" s="1"/>
  <c r="AR125" i="123" s="1"/>
  <c r="AS125" i="123" s="1"/>
  <c r="AT125" i="123" s="1"/>
  <c r="AU125" i="123" s="1"/>
  <c r="AV125" i="123" s="1"/>
  <c r="AW125" i="123" s="1"/>
  <c r="S102" i="123"/>
  <c r="T102" i="123" s="1"/>
  <c r="U102" i="123" s="1"/>
  <c r="V102" i="123" s="1"/>
  <c r="W102" i="123" s="1"/>
  <c r="X102" i="123" s="1"/>
  <c r="Y102" i="123" s="1"/>
  <c r="Z102" i="123" s="1"/>
  <c r="AA102" i="123" s="1"/>
  <c r="AB102" i="123" s="1"/>
  <c r="AC102" i="123" s="1"/>
  <c r="AD102" i="123" s="1"/>
  <c r="AE102" i="123" s="1"/>
  <c r="AF102" i="123" s="1"/>
  <c r="AG102" i="123" s="1"/>
  <c r="AH102" i="123" s="1"/>
  <c r="AI102" i="123" s="1"/>
  <c r="AJ102" i="123" s="1"/>
  <c r="AK102" i="123" s="1"/>
  <c r="AL102" i="123" s="1"/>
  <c r="AM102" i="123" s="1"/>
  <c r="AN102" i="123" s="1"/>
  <c r="AO102" i="123" s="1"/>
  <c r="AP102" i="123" s="1"/>
  <c r="AQ102" i="123" s="1"/>
  <c r="AR102" i="123" s="1"/>
  <c r="AS102" i="123" s="1"/>
  <c r="AT102" i="123" s="1"/>
  <c r="AU102" i="123" s="1"/>
  <c r="AV102" i="123" s="1"/>
  <c r="AW102" i="123" s="1"/>
  <c r="S105" i="123"/>
  <c r="T105" i="123" s="1"/>
  <c r="U105" i="123" s="1"/>
  <c r="V105" i="123" s="1"/>
  <c r="W105" i="123" s="1"/>
  <c r="X105" i="123" s="1"/>
  <c r="Y105" i="123" s="1"/>
  <c r="Z105" i="123" s="1"/>
  <c r="AA105" i="123" s="1"/>
  <c r="AB105" i="123" s="1"/>
  <c r="AC105" i="123" s="1"/>
  <c r="AD105" i="123" s="1"/>
  <c r="AE105" i="123" s="1"/>
  <c r="AF105" i="123" s="1"/>
  <c r="AG105" i="123" s="1"/>
  <c r="AH105" i="123" s="1"/>
  <c r="AI105" i="123" s="1"/>
  <c r="AJ105" i="123" s="1"/>
  <c r="AK105" i="123" s="1"/>
  <c r="AL105" i="123" s="1"/>
  <c r="AM105" i="123" s="1"/>
  <c r="AN105" i="123" s="1"/>
  <c r="AO105" i="123" s="1"/>
  <c r="AP105" i="123" s="1"/>
  <c r="AQ105" i="123" s="1"/>
  <c r="AR105" i="123" s="1"/>
  <c r="AS105" i="123" s="1"/>
  <c r="AT105" i="123" s="1"/>
  <c r="AU105" i="123" s="1"/>
  <c r="AV105" i="123" s="1"/>
  <c r="AW105" i="123" s="1"/>
  <c r="S111" i="123"/>
  <c r="T111" i="123" s="1"/>
  <c r="U111" i="123" s="1"/>
  <c r="V111" i="123" s="1"/>
  <c r="W111" i="123" s="1"/>
  <c r="X111" i="123" s="1"/>
  <c r="Y111" i="123" s="1"/>
  <c r="Z111" i="123" s="1"/>
  <c r="AA111" i="123" s="1"/>
  <c r="AB111" i="123" s="1"/>
  <c r="AC111" i="123" s="1"/>
  <c r="AD111" i="123" s="1"/>
  <c r="AE111" i="123" s="1"/>
  <c r="AF111" i="123" s="1"/>
  <c r="AG111" i="123" s="1"/>
  <c r="AH111" i="123" s="1"/>
  <c r="AI111" i="123" s="1"/>
  <c r="AJ111" i="123" s="1"/>
  <c r="AK111" i="123" s="1"/>
  <c r="AL111" i="123" s="1"/>
  <c r="AM111" i="123" s="1"/>
  <c r="AN111" i="123" s="1"/>
  <c r="AO111" i="123" s="1"/>
  <c r="AP111" i="123" s="1"/>
  <c r="AQ111" i="123" s="1"/>
  <c r="AR111" i="123" s="1"/>
  <c r="AS111" i="123" s="1"/>
  <c r="AT111" i="123" s="1"/>
  <c r="AU111" i="123" s="1"/>
  <c r="AV111" i="123" s="1"/>
  <c r="AW111" i="123" s="1"/>
  <c r="S112" i="123"/>
  <c r="T112" i="123" s="1"/>
  <c r="U112" i="123" s="1"/>
  <c r="V112" i="123" s="1"/>
  <c r="W112" i="123" s="1"/>
  <c r="X112" i="123" s="1"/>
  <c r="Y112" i="123" s="1"/>
  <c r="Z112" i="123" s="1"/>
  <c r="AA112" i="123" s="1"/>
  <c r="AB112" i="123" s="1"/>
  <c r="AC112" i="123" s="1"/>
  <c r="AD112" i="123" s="1"/>
  <c r="AE112" i="123" s="1"/>
  <c r="AF112" i="123" s="1"/>
  <c r="AG112" i="123" s="1"/>
  <c r="AH112" i="123" s="1"/>
  <c r="AI112" i="123" s="1"/>
  <c r="AJ112" i="123" s="1"/>
  <c r="AK112" i="123" s="1"/>
  <c r="AL112" i="123" s="1"/>
  <c r="AM112" i="123" s="1"/>
  <c r="AN112" i="123" s="1"/>
  <c r="AO112" i="123" s="1"/>
  <c r="AP112" i="123" s="1"/>
  <c r="AQ112" i="123" s="1"/>
  <c r="AR112" i="123" s="1"/>
  <c r="AS112" i="123" s="1"/>
  <c r="AT112" i="123" s="1"/>
  <c r="AU112" i="123" s="1"/>
  <c r="AV112" i="123" s="1"/>
  <c r="AW112" i="123" s="1"/>
  <c r="S122" i="123"/>
  <c r="T122" i="123" s="1"/>
  <c r="U122" i="123" s="1"/>
  <c r="V122" i="123" s="1"/>
  <c r="W122" i="123" s="1"/>
  <c r="X122" i="123" s="1"/>
  <c r="Y122" i="123" s="1"/>
  <c r="Z122" i="123" s="1"/>
  <c r="AA122" i="123" s="1"/>
  <c r="AB122" i="123" s="1"/>
  <c r="AC122" i="123" s="1"/>
  <c r="AD122" i="123" s="1"/>
  <c r="AE122" i="123" s="1"/>
  <c r="AF122" i="123" s="1"/>
  <c r="AG122" i="123" s="1"/>
  <c r="AH122" i="123" s="1"/>
  <c r="AI122" i="123" s="1"/>
  <c r="AJ122" i="123" s="1"/>
  <c r="AK122" i="123" s="1"/>
  <c r="AL122" i="123" s="1"/>
  <c r="AM122" i="123" s="1"/>
  <c r="AN122" i="123" s="1"/>
  <c r="AO122" i="123" s="1"/>
  <c r="AP122" i="123" s="1"/>
  <c r="AQ122" i="123" s="1"/>
  <c r="AR122" i="123" s="1"/>
  <c r="AS122" i="123" s="1"/>
  <c r="AT122" i="123" s="1"/>
  <c r="AU122" i="123" s="1"/>
  <c r="AV122" i="123" s="1"/>
  <c r="AW122" i="123" s="1"/>
  <c r="S108" i="123"/>
  <c r="T108" i="123" s="1"/>
  <c r="U108" i="123" s="1"/>
  <c r="V108" i="123" s="1"/>
  <c r="W108" i="123" s="1"/>
  <c r="X108" i="123" s="1"/>
  <c r="Y108" i="123" s="1"/>
  <c r="Z108" i="123" s="1"/>
  <c r="AA108" i="123" s="1"/>
  <c r="AB108" i="123" s="1"/>
  <c r="AC108" i="123" s="1"/>
  <c r="AD108" i="123" s="1"/>
  <c r="AE108" i="123" s="1"/>
  <c r="AF108" i="123" s="1"/>
  <c r="AG108" i="123" s="1"/>
  <c r="AH108" i="123" s="1"/>
  <c r="AI108" i="123" s="1"/>
  <c r="AJ108" i="123" s="1"/>
  <c r="AK108" i="123" s="1"/>
  <c r="AL108" i="123" s="1"/>
  <c r="AM108" i="123" s="1"/>
  <c r="AN108" i="123" s="1"/>
  <c r="AO108" i="123" s="1"/>
  <c r="AP108" i="123" s="1"/>
  <c r="AQ108" i="123" s="1"/>
  <c r="AR108" i="123" s="1"/>
  <c r="AS108" i="123" s="1"/>
  <c r="AT108" i="123" s="1"/>
  <c r="AU108" i="123" s="1"/>
  <c r="AV108" i="123" s="1"/>
  <c r="AW108" i="123" s="1"/>
  <c r="S101" i="123"/>
  <c r="T101" i="123" s="1"/>
  <c r="U101" i="123" s="1"/>
  <c r="V101" i="123" s="1"/>
  <c r="W101" i="123" s="1"/>
  <c r="X101" i="123" s="1"/>
  <c r="Y101" i="123" s="1"/>
  <c r="Z101" i="123" s="1"/>
  <c r="AA101" i="123" s="1"/>
  <c r="AB101" i="123" s="1"/>
  <c r="AC101" i="123" s="1"/>
  <c r="AD101" i="123" s="1"/>
  <c r="AE101" i="123" s="1"/>
  <c r="AF101" i="123" s="1"/>
  <c r="AG101" i="123" s="1"/>
  <c r="AH101" i="123" s="1"/>
  <c r="AI101" i="123" s="1"/>
  <c r="AJ101" i="123" s="1"/>
  <c r="AK101" i="123" s="1"/>
  <c r="AL101" i="123" s="1"/>
  <c r="AM101" i="123" s="1"/>
  <c r="AN101" i="123" s="1"/>
  <c r="AO101" i="123" s="1"/>
  <c r="AP101" i="123" s="1"/>
  <c r="AQ101" i="123" s="1"/>
  <c r="AR101" i="123" s="1"/>
  <c r="AS101" i="123" s="1"/>
  <c r="AT101" i="123" s="1"/>
  <c r="AU101" i="123" s="1"/>
  <c r="AV101" i="123" s="1"/>
  <c r="AW101" i="123" s="1"/>
  <c r="S106" i="123"/>
  <c r="T106" i="123" s="1"/>
  <c r="U106" i="123" s="1"/>
  <c r="V106" i="123" s="1"/>
  <c r="W106" i="123" s="1"/>
  <c r="X106" i="123" s="1"/>
  <c r="Y106" i="123" s="1"/>
  <c r="Z106" i="123" s="1"/>
  <c r="AA106" i="123" s="1"/>
  <c r="AB106" i="123" s="1"/>
  <c r="AC106" i="123" s="1"/>
  <c r="AD106" i="123" s="1"/>
  <c r="AE106" i="123" s="1"/>
  <c r="AF106" i="123" s="1"/>
  <c r="AG106" i="123" s="1"/>
  <c r="AH106" i="123" s="1"/>
  <c r="AI106" i="123" s="1"/>
  <c r="AJ106" i="123" s="1"/>
  <c r="AK106" i="123" s="1"/>
  <c r="AL106" i="123" s="1"/>
  <c r="AM106" i="123" s="1"/>
  <c r="AN106" i="123" s="1"/>
  <c r="AO106" i="123" s="1"/>
  <c r="AP106" i="123" s="1"/>
  <c r="AQ106" i="123" s="1"/>
  <c r="AR106" i="123" s="1"/>
  <c r="AS106" i="123" s="1"/>
  <c r="AT106" i="123" s="1"/>
  <c r="AU106" i="123" s="1"/>
  <c r="AV106" i="123" s="1"/>
  <c r="AW106" i="123" s="1"/>
  <c r="S143" i="123"/>
  <c r="T143" i="123" s="1"/>
  <c r="U143" i="123" s="1"/>
  <c r="V143" i="123" s="1"/>
  <c r="W143" i="123" s="1"/>
  <c r="S109" i="123"/>
  <c r="T109" i="123" s="1"/>
  <c r="U109" i="123" s="1"/>
  <c r="V109" i="123" s="1"/>
  <c r="W109" i="123" s="1"/>
  <c r="X109" i="123" s="1"/>
  <c r="Y109" i="123" s="1"/>
  <c r="Z109" i="123" s="1"/>
  <c r="AA109" i="123" s="1"/>
  <c r="AB109" i="123" s="1"/>
  <c r="AC109" i="123" s="1"/>
  <c r="AD109" i="123" s="1"/>
  <c r="AE109" i="123" s="1"/>
  <c r="AF109" i="123" s="1"/>
  <c r="AG109" i="123" s="1"/>
  <c r="AH109" i="123" s="1"/>
  <c r="AI109" i="123" s="1"/>
  <c r="AJ109" i="123" s="1"/>
  <c r="AK109" i="123" s="1"/>
  <c r="AL109" i="123" s="1"/>
  <c r="AM109" i="123" s="1"/>
  <c r="AN109" i="123" s="1"/>
  <c r="AO109" i="123" s="1"/>
  <c r="AP109" i="123" s="1"/>
  <c r="AQ109" i="123" s="1"/>
  <c r="AR109" i="123" s="1"/>
  <c r="AS109" i="123" s="1"/>
  <c r="AT109" i="123" s="1"/>
  <c r="AU109" i="123" s="1"/>
  <c r="AV109" i="123" s="1"/>
  <c r="AW109" i="123" s="1"/>
  <c r="S100" i="123"/>
  <c r="T100" i="123"/>
  <c r="U100" i="123" s="1"/>
  <c r="V100" i="123" s="1"/>
  <c r="W100" i="123" s="1"/>
  <c r="X100" i="123" s="1"/>
  <c r="Y100" i="123" s="1"/>
  <c r="Z100" i="123" s="1"/>
  <c r="AA100" i="123" s="1"/>
  <c r="AB100" i="123" s="1"/>
  <c r="AC100" i="123" s="1"/>
  <c r="AD100" i="123" s="1"/>
  <c r="AE100" i="123" s="1"/>
  <c r="AF100" i="123" s="1"/>
  <c r="AG100" i="123" s="1"/>
  <c r="AH100" i="123" s="1"/>
  <c r="AI100" i="123" s="1"/>
  <c r="AJ100" i="123" s="1"/>
  <c r="AK100" i="123" s="1"/>
  <c r="AL100" i="123" s="1"/>
  <c r="AM100" i="123" s="1"/>
  <c r="AN100" i="123" s="1"/>
  <c r="AO100" i="123" s="1"/>
  <c r="AP100" i="123" s="1"/>
  <c r="AQ100" i="123" s="1"/>
  <c r="AR100" i="123" s="1"/>
  <c r="AS100" i="123" s="1"/>
  <c r="AT100" i="123" s="1"/>
  <c r="AU100" i="123" s="1"/>
  <c r="AV100" i="123" s="1"/>
  <c r="AW100" i="123" s="1"/>
  <c r="S119" i="123"/>
  <c r="T119" i="123" s="1"/>
  <c r="U119" i="123" s="1"/>
  <c r="V119" i="123" s="1"/>
  <c r="W119" i="123" s="1"/>
  <c r="X119" i="123" s="1"/>
  <c r="Y119" i="123" s="1"/>
  <c r="Z119" i="123" s="1"/>
  <c r="AA119" i="123" s="1"/>
  <c r="AB119" i="123" s="1"/>
  <c r="AC119" i="123" s="1"/>
  <c r="AD119" i="123" s="1"/>
  <c r="AE119" i="123" s="1"/>
  <c r="AF119" i="123" s="1"/>
  <c r="AG119" i="123" s="1"/>
  <c r="AH119" i="123" s="1"/>
  <c r="AI119" i="123" s="1"/>
  <c r="AJ119" i="123" s="1"/>
  <c r="AK119" i="123" s="1"/>
  <c r="AL119" i="123" s="1"/>
  <c r="AM119" i="123" s="1"/>
  <c r="AN119" i="123" s="1"/>
  <c r="AO119" i="123" s="1"/>
  <c r="AP119" i="123" s="1"/>
  <c r="AQ119" i="123" s="1"/>
  <c r="AR119" i="123" s="1"/>
  <c r="AS119" i="123" s="1"/>
  <c r="AT119" i="123" s="1"/>
  <c r="AU119" i="123" s="1"/>
  <c r="AV119" i="123" s="1"/>
  <c r="AW119" i="123" s="1"/>
  <c r="S120" i="123"/>
  <c r="T120" i="123" s="1"/>
  <c r="U120" i="123" s="1"/>
  <c r="V120" i="123" s="1"/>
  <c r="W120" i="123" s="1"/>
  <c r="X120" i="123" s="1"/>
  <c r="Y120" i="123" s="1"/>
  <c r="Z120" i="123" s="1"/>
  <c r="AA120" i="123" s="1"/>
  <c r="AB120" i="123" s="1"/>
  <c r="AC120" i="123" s="1"/>
  <c r="AD120" i="123" s="1"/>
  <c r="AE120" i="123" s="1"/>
  <c r="AF120" i="123" s="1"/>
  <c r="AG120" i="123" s="1"/>
  <c r="AH120" i="123" s="1"/>
  <c r="AI120" i="123" s="1"/>
  <c r="AJ120" i="123" s="1"/>
  <c r="AK120" i="123" s="1"/>
  <c r="AL120" i="123" s="1"/>
  <c r="AM120" i="123" s="1"/>
  <c r="AN120" i="123" s="1"/>
  <c r="AO120" i="123" s="1"/>
  <c r="AP120" i="123" s="1"/>
  <c r="AQ120" i="123" s="1"/>
  <c r="AR120" i="123" s="1"/>
  <c r="AS120" i="123" s="1"/>
  <c r="AT120" i="123" s="1"/>
  <c r="AU120" i="123" s="1"/>
  <c r="AV120" i="123" s="1"/>
  <c r="AW120" i="123" s="1"/>
  <c r="S130" i="123"/>
  <c r="T130" i="123" s="1"/>
  <c r="U130" i="123" s="1"/>
  <c r="V130" i="123" s="1"/>
  <c r="W130" i="123" s="1"/>
  <c r="X130" i="123" s="1"/>
  <c r="Y130" i="123" s="1"/>
  <c r="Z130" i="123" s="1"/>
  <c r="AA130" i="123" s="1"/>
  <c r="AB130" i="123" s="1"/>
  <c r="AC130" i="123" s="1"/>
  <c r="AD130" i="123" s="1"/>
  <c r="AE130" i="123" s="1"/>
  <c r="AF130" i="123" s="1"/>
  <c r="AG130" i="123" s="1"/>
  <c r="AH130" i="123" s="1"/>
  <c r="AI130" i="123" s="1"/>
  <c r="AJ130" i="123" s="1"/>
  <c r="AK130" i="123" s="1"/>
  <c r="AL130" i="123" s="1"/>
  <c r="AM130" i="123" s="1"/>
  <c r="AN130" i="123" s="1"/>
  <c r="AO130" i="123" s="1"/>
  <c r="AP130" i="123" s="1"/>
  <c r="AQ130" i="123" s="1"/>
  <c r="AR130" i="123" s="1"/>
  <c r="AS130" i="123" s="1"/>
  <c r="AT130" i="123" s="1"/>
  <c r="AU130" i="123" s="1"/>
  <c r="AV130" i="123" s="1"/>
  <c r="AW130" i="123" s="1"/>
  <c r="Q141" i="123"/>
  <c r="S128" i="123"/>
  <c r="T128" i="123" s="1"/>
  <c r="U128" i="123" s="1"/>
  <c r="V128" i="123" s="1"/>
  <c r="W128" i="123" s="1"/>
  <c r="X128" i="123" s="1"/>
  <c r="Y128" i="123" s="1"/>
  <c r="Z128" i="123" s="1"/>
  <c r="AA128" i="123" s="1"/>
  <c r="AB128" i="123" s="1"/>
  <c r="AC128" i="123" s="1"/>
  <c r="AD128" i="123" s="1"/>
  <c r="AE128" i="123" s="1"/>
  <c r="AF128" i="123" s="1"/>
  <c r="AG128" i="123" s="1"/>
  <c r="AH128" i="123" s="1"/>
  <c r="AI128" i="123" s="1"/>
  <c r="AJ128" i="123" s="1"/>
  <c r="AK128" i="123" s="1"/>
  <c r="AL128" i="123" s="1"/>
  <c r="AM128" i="123" s="1"/>
  <c r="AN128" i="123" s="1"/>
  <c r="AO128" i="123" s="1"/>
  <c r="AP128" i="123" s="1"/>
  <c r="AQ128" i="123" s="1"/>
  <c r="AR128" i="123" s="1"/>
  <c r="AS128" i="123" s="1"/>
  <c r="AT128" i="123" s="1"/>
  <c r="AU128" i="123" s="1"/>
  <c r="AV128" i="123" s="1"/>
  <c r="AW128" i="123" s="1"/>
  <c r="AD124" i="123"/>
  <c r="AE124" i="123" s="1"/>
  <c r="AF124" i="123" s="1"/>
  <c r="AG124" i="123" s="1"/>
  <c r="AH124" i="123" s="1"/>
  <c r="AI124" i="123" s="1"/>
  <c r="AJ124" i="123" s="1"/>
  <c r="AK124" i="123" s="1"/>
  <c r="AL124" i="123" s="1"/>
  <c r="AM124" i="123" s="1"/>
  <c r="AN124" i="123" s="1"/>
  <c r="AO124" i="123" s="1"/>
  <c r="AP124" i="123" s="1"/>
  <c r="AQ124" i="123" s="1"/>
  <c r="AR124" i="123" s="1"/>
  <c r="AS124" i="123" s="1"/>
  <c r="AT124" i="123" s="1"/>
  <c r="AU124" i="123" s="1"/>
  <c r="AV124" i="123" s="1"/>
  <c r="AW124" i="123" s="1"/>
  <c r="U127" i="123"/>
  <c r="V127" i="123" s="1"/>
  <c r="W127" i="123" s="1"/>
  <c r="X127" i="123" s="1"/>
  <c r="Y127" i="123" s="1"/>
  <c r="Z127" i="123" s="1"/>
  <c r="AA127" i="123" s="1"/>
  <c r="AB127" i="123" s="1"/>
  <c r="AC127" i="123" s="1"/>
  <c r="AD127" i="123" s="1"/>
  <c r="AE127" i="123" s="1"/>
  <c r="AF127" i="123" s="1"/>
  <c r="AG127" i="123" s="1"/>
  <c r="AH127" i="123" s="1"/>
  <c r="AI127" i="123" s="1"/>
  <c r="AJ127" i="123" s="1"/>
  <c r="AK127" i="123" s="1"/>
  <c r="AL127" i="123" s="1"/>
  <c r="AM127" i="123" s="1"/>
  <c r="AN127" i="123" s="1"/>
  <c r="AO127" i="123" s="1"/>
  <c r="AP127" i="123" s="1"/>
  <c r="AQ127" i="123" s="1"/>
  <c r="AR127" i="123" s="1"/>
  <c r="AS127" i="123" s="1"/>
  <c r="AT127" i="123" s="1"/>
  <c r="AU127" i="123" s="1"/>
  <c r="AV127" i="123" s="1"/>
  <c r="AW127" i="123" s="1"/>
  <c r="S129" i="123"/>
  <c r="T129" i="123" s="1"/>
  <c r="U129" i="123" s="1"/>
  <c r="V129" i="123" s="1"/>
  <c r="W129" i="123" s="1"/>
  <c r="X129" i="123" s="1"/>
  <c r="Y129" i="123" s="1"/>
  <c r="Z129" i="123" s="1"/>
  <c r="AA129" i="123" s="1"/>
  <c r="AB129" i="123" s="1"/>
  <c r="AC129" i="123" s="1"/>
  <c r="AD129" i="123" s="1"/>
  <c r="AE129" i="123" s="1"/>
  <c r="AF129" i="123" s="1"/>
  <c r="AG129" i="123" s="1"/>
  <c r="AH129" i="123" s="1"/>
  <c r="AI129" i="123" s="1"/>
  <c r="AJ129" i="123" s="1"/>
  <c r="AK129" i="123" s="1"/>
  <c r="AL129" i="123" s="1"/>
  <c r="AM129" i="123" s="1"/>
  <c r="AN129" i="123" s="1"/>
  <c r="AO129" i="123" s="1"/>
  <c r="AP129" i="123" s="1"/>
  <c r="AQ129" i="123" s="1"/>
  <c r="AR129" i="123" s="1"/>
  <c r="AS129" i="123" s="1"/>
  <c r="AT129" i="123" s="1"/>
  <c r="AU129" i="123" s="1"/>
  <c r="AV129" i="123" s="1"/>
  <c r="AW129" i="123" s="1"/>
  <c r="Q139" i="123"/>
  <c r="H160" i="123"/>
  <c r="Q142" i="123"/>
  <c r="I179" i="123"/>
  <c r="I198" i="123" s="1"/>
  <c r="I216" i="123" s="1"/>
  <c r="I233" i="123" s="1"/>
  <c r="Q162" i="123"/>
  <c r="H164" i="123"/>
  <c r="Q146" i="123"/>
  <c r="H176" i="123"/>
  <c r="Q159" i="123"/>
  <c r="S145" i="123"/>
  <c r="T145" i="123" s="1"/>
  <c r="U145" i="123" s="1"/>
  <c r="V145" i="123" s="1"/>
  <c r="W145" i="123" s="1"/>
  <c r="X145" i="123" s="1"/>
  <c r="Y145" i="123" s="1"/>
  <c r="Z145" i="123" s="1"/>
  <c r="AA145" i="123" s="1"/>
  <c r="AB145" i="123" s="1"/>
  <c r="AC145" i="123" s="1"/>
  <c r="AD145" i="123" s="1"/>
  <c r="AE145" i="123" s="1"/>
  <c r="AF145" i="123" s="1"/>
  <c r="AG145" i="123" s="1"/>
  <c r="AH145" i="123" s="1"/>
  <c r="AI145" i="123" s="1"/>
  <c r="AJ145" i="123" s="1"/>
  <c r="AK145" i="123" s="1"/>
  <c r="AL145" i="123" s="1"/>
  <c r="AM145" i="123" s="1"/>
  <c r="AN145" i="123" s="1"/>
  <c r="AO145" i="123" s="1"/>
  <c r="AP145" i="123" s="1"/>
  <c r="AQ145" i="123" s="1"/>
  <c r="AR145" i="123" s="1"/>
  <c r="AS145" i="123" s="1"/>
  <c r="AT145" i="123" s="1"/>
  <c r="AU145" i="123" s="1"/>
  <c r="AV145" i="123" s="1"/>
  <c r="AW145" i="123" s="1"/>
  <c r="S151" i="123"/>
  <c r="T151" i="123" s="1"/>
  <c r="U151" i="123" s="1"/>
  <c r="V151" i="123" s="1"/>
  <c r="W151" i="123" s="1"/>
  <c r="X151" i="123" s="1"/>
  <c r="Y151" i="123" s="1"/>
  <c r="Z151" i="123" s="1"/>
  <c r="AA151" i="123" s="1"/>
  <c r="AB151" i="123" s="1"/>
  <c r="AC151" i="123" s="1"/>
  <c r="AD151" i="123" s="1"/>
  <c r="AE151" i="123" s="1"/>
  <c r="AF151" i="123" s="1"/>
  <c r="AG151" i="123" s="1"/>
  <c r="AH151" i="123" s="1"/>
  <c r="AI151" i="123" s="1"/>
  <c r="AJ151" i="123" s="1"/>
  <c r="AK151" i="123" s="1"/>
  <c r="AL151" i="123" s="1"/>
  <c r="AM151" i="123" s="1"/>
  <c r="AN151" i="123" s="1"/>
  <c r="AO151" i="123" s="1"/>
  <c r="AP151" i="123" s="1"/>
  <c r="AQ151" i="123" s="1"/>
  <c r="AR151" i="123" s="1"/>
  <c r="AS151" i="123" s="1"/>
  <c r="AT151" i="123" s="1"/>
  <c r="AU151" i="123" s="1"/>
  <c r="AV151" i="123" s="1"/>
  <c r="AW151" i="123" s="1"/>
  <c r="T104" i="123"/>
  <c r="U104" i="123" s="1"/>
  <c r="V104" i="123" s="1"/>
  <c r="W104" i="123" s="1"/>
  <c r="X104" i="123" s="1"/>
  <c r="Y104" i="123" s="1"/>
  <c r="Z104" i="123" s="1"/>
  <c r="AA104" i="123" s="1"/>
  <c r="AB104" i="123" s="1"/>
  <c r="AC104" i="123" s="1"/>
  <c r="AD104" i="123" s="1"/>
  <c r="AE104" i="123" s="1"/>
  <c r="AF104" i="123" s="1"/>
  <c r="AG104" i="123" s="1"/>
  <c r="AH104" i="123" s="1"/>
  <c r="AI104" i="123" s="1"/>
  <c r="AJ104" i="123" s="1"/>
  <c r="AK104" i="123" s="1"/>
  <c r="AL104" i="123" s="1"/>
  <c r="AM104" i="123" s="1"/>
  <c r="AN104" i="123" s="1"/>
  <c r="AO104" i="123" s="1"/>
  <c r="AP104" i="123" s="1"/>
  <c r="AQ104" i="123" s="1"/>
  <c r="AR104" i="123" s="1"/>
  <c r="AS104" i="123" s="1"/>
  <c r="AT104" i="123" s="1"/>
  <c r="AU104" i="123" s="1"/>
  <c r="AV104" i="123" s="1"/>
  <c r="AW104" i="123" s="1"/>
  <c r="T107" i="123"/>
  <c r="U107" i="123" s="1"/>
  <c r="V107" i="123" s="1"/>
  <c r="W107" i="123" s="1"/>
  <c r="X107" i="123" s="1"/>
  <c r="Y107" i="123" s="1"/>
  <c r="Z107" i="123" s="1"/>
  <c r="AA107" i="123" s="1"/>
  <c r="AB107" i="123" s="1"/>
  <c r="AC107" i="123" s="1"/>
  <c r="AD107" i="123" s="1"/>
  <c r="AE107" i="123" s="1"/>
  <c r="AF107" i="123" s="1"/>
  <c r="AG107" i="123" s="1"/>
  <c r="AH107" i="123" s="1"/>
  <c r="AI107" i="123" s="1"/>
  <c r="AJ107" i="123" s="1"/>
  <c r="AK107" i="123" s="1"/>
  <c r="AL107" i="123" s="1"/>
  <c r="AM107" i="123" s="1"/>
  <c r="AN107" i="123" s="1"/>
  <c r="AO107" i="123" s="1"/>
  <c r="AP107" i="123" s="1"/>
  <c r="AQ107" i="123" s="1"/>
  <c r="AR107" i="123" s="1"/>
  <c r="AS107" i="123" s="1"/>
  <c r="AT107" i="123" s="1"/>
  <c r="AU107" i="123" s="1"/>
  <c r="AV107" i="123" s="1"/>
  <c r="AW107" i="123" s="1"/>
  <c r="T110" i="123"/>
  <c r="U110" i="123" s="1"/>
  <c r="V110" i="123" s="1"/>
  <c r="W110" i="123" s="1"/>
  <c r="X110" i="123" s="1"/>
  <c r="Y110" i="123" s="1"/>
  <c r="Z110" i="123" s="1"/>
  <c r="AA110" i="123" s="1"/>
  <c r="AB110" i="123" s="1"/>
  <c r="AC110" i="123" s="1"/>
  <c r="AD110" i="123" s="1"/>
  <c r="AE110" i="123" s="1"/>
  <c r="AF110" i="123" s="1"/>
  <c r="AG110" i="123" s="1"/>
  <c r="AH110" i="123" s="1"/>
  <c r="AI110" i="123" s="1"/>
  <c r="AJ110" i="123" s="1"/>
  <c r="AK110" i="123" s="1"/>
  <c r="AL110" i="123" s="1"/>
  <c r="AM110" i="123" s="1"/>
  <c r="AN110" i="123" s="1"/>
  <c r="AO110" i="123" s="1"/>
  <c r="AP110" i="123" s="1"/>
  <c r="AQ110" i="123" s="1"/>
  <c r="AR110" i="123" s="1"/>
  <c r="AS110" i="123" s="1"/>
  <c r="AT110" i="123" s="1"/>
  <c r="AU110" i="123" s="1"/>
  <c r="AV110" i="123" s="1"/>
  <c r="AW110" i="123" s="1"/>
  <c r="T118" i="123"/>
  <c r="U118" i="123" s="1"/>
  <c r="V118" i="123" s="1"/>
  <c r="W118" i="123" s="1"/>
  <c r="X118" i="123" s="1"/>
  <c r="Y118" i="123" s="1"/>
  <c r="Z118" i="123" s="1"/>
  <c r="AA118" i="123" s="1"/>
  <c r="AB118" i="123" s="1"/>
  <c r="AC118" i="123" s="1"/>
  <c r="AD118" i="123" s="1"/>
  <c r="AE118" i="123" s="1"/>
  <c r="AF118" i="123" s="1"/>
  <c r="AG118" i="123" s="1"/>
  <c r="AH118" i="123" s="1"/>
  <c r="AI118" i="123" s="1"/>
  <c r="AJ118" i="123" s="1"/>
  <c r="AK118" i="123" s="1"/>
  <c r="AL118" i="123" s="1"/>
  <c r="AM118" i="123" s="1"/>
  <c r="AN118" i="123" s="1"/>
  <c r="AO118" i="123" s="1"/>
  <c r="AP118" i="123" s="1"/>
  <c r="AQ118" i="123" s="1"/>
  <c r="AR118" i="123" s="1"/>
  <c r="AS118" i="123" s="1"/>
  <c r="AT118" i="123" s="1"/>
  <c r="AU118" i="123" s="1"/>
  <c r="AV118" i="123" s="1"/>
  <c r="AW118" i="123" s="1"/>
  <c r="T121" i="123"/>
  <c r="U121" i="123" s="1"/>
  <c r="V121" i="123" s="1"/>
  <c r="W121" i="123" s="1"/>
  <c r="X121" i="123" s="1"/>
  <c r="Y121" i="123" s="1"/>
  <c r="Z121" i="123" s="1"/>
  <c r="AA121" i="123" s="1"/>
  <c r="AB121" i="123" s="1"/>
  <c r="AC121" i="123" s="1"/>
  <c r="AD121" i="123" s="1"/>
  <c r="AE121" i="123" s="1"/>
  <c r="AF121" i="123" s="1"/>
  <c r="AG121" i="123" s="1"/>
  <c r="AH121" i="123" s="1"/>
  <c r="AI121" i="123" s="1"/>
  <c r="AJ121" i="123" s="1"/>
  <c r="AK121" i="123" s="1"/>
  <c r="AL121" i="123" s="1"/>
  <c r="AM121" i="123" s="1"/>
  <c r="AN121" i="123" s="1"/>
  <c r="AO121" i="123" s="1"/>
  <c r="AP121" i="123" s="1"/>
  <c r="AQ121" i="123" s="1"/>
  <c r="AR121" i="123" s="1"/>
  <c r="AS121" i="123" s="1"/>
  <c r="AT121" i="123" s="1"/>
  <c r="AU121" i="123" s="1"/>
  <c r="AV121" i="123" s="1"/>
  <c r="AW121" i="123" s="1"/>
  <c r="H183" i="123"/>
  <c r="Q183" i="123" s="1"/>
  <c r="Q166" i="123"/>
  <c r="S149" i="123"/>
  <c r="T149" i="123" s="1"/>
  <c r="U149" i="123" s="1"/>
  <c r="V149" i="123" s="1"/>
  <c r="W149" i="123" s="1"/>
  <c r="X149" i="123" s="1"/>
  <c r="Y149" i="123" s="1"/>
  <c r="Z149" i="123" s="1"/>
  <c r="AA149" i="123" s="1"/>
  <c r="AB149" i="123" s="1"/>
  <c r="AC149" i="123" s="1"/>
  <c r="AD149" i="123" s="1"/>
  <c r="AE149" i="123" s="1"/>
  <c r="AF149" i="123" s="1"/>
  <c r="AG149" i="123" s="1"/>
  <c r="AH149" i="123" s="1"/>
  <c r="AI149" i="123" s="1"/>
  <c r="AJ149" i="123" s="1"/>
  <c r="AK149" i="123" s="1"/>
  <c r="AL149" i="123" s="1"/>
  <c r="AM149" i="123" s="1"/>
  <c r="AN149" i="123" s="1"/>
  <c r="AO149" i="123" s="1"/>
  <c r="AP149" i="123" s="1"/>
  <c r="AQ149" i="123" s="1"/>
  <c r="AR149" i="123" s="1"/>
  <c r="AS149" i="123" s="1"/>
  <c r="AT149" i="123" s="1"/>
  <c r="AU149" i="123" s="1"/>
  <c r="AV149" i="123" s="1"/>
  <c r="AW149" i="123" s="1"/>
  <c r="S123" i="123"/>
  <c r="T123" i="123" s="1"/>
  <c r="U123" i="123" s="1"/>
  <c r="V123" i="123" s="1"/>
  <c r="W123" i="123" s="1"/>
  <c r="X123" i="123" s="1"/>
  <c r="Y123" i="123" s="1"/>
  <c r="Z123" i="123" s="1"/>
  <c r="AA123" i="123" s="1"/>
  <c r="AB123" i="123" s="1"/>
  <c r="AC123" i="123" s="1"/>
  <c r="AD123" i="123" s="1"/>
  <c r="AE123" i="123" s="1"/>
  <c r="AF123" i="123" s="1"/>
  <c r="AG123" i="123" s="1"/>
  <c r="AH123" i="123" s="1"/>
  <c r="AI123" i="123" s="1"/>
  <c r="AJ123" i="123" s="1"/>
  <c r="AK123" i="123" s="1"/>
  <c r="AL123" i="123" s="1"/>
  <c r="AM123" i="123" s="1"/>
  <c r="AN123" i="123" s="1"/>
  <c r="AO123" i="123" s="1"/>
  <c r="AP123" i="123" s="1"/>
  <c r="AQ123" i="123" s="1"/>
  <c r="AR123" i="123" s="1"/>
  <c r="AS123" i="123" s="1"/>
  <c r="AT123" i="123" s="1"/>
  <c r="AU123" i="123" s="1"/>
  <c r="AV123" i="123" s="1"/>
  <c r="AW123" i="123" s="1"/>
  <c r="S126" i="123"/>
  <c r="T126" i="123" s="1"/>
  <c r="U126" i="123" s="1"/>
  <c r="V126" i="123" s="1"/>
  <c r="W126" i="123" s="1"/>
  <c r="X126" i="123" s="1"/>
  <c r="Y126" i="123" s="1"/>
  <c r="Z126" i="123" s="1"/>
  <c r="AA126" i="123" s="1"/>
  <c r="AB126" i="123" s="1"/>
  <c r="AC126" i="123" s="1"/>
  <c r="AD126" i="123" s="1"/>
  <c r="AE126" i="123" s="1"/>
  <c r="AF126" i="123" s="1"/>
  <c r="AG126" i="123" s="1"/>
  <c r="AH126" i="123" s="1"/>
  <c r="AI126" i="123" s="1"/>
  <c r="AJ126" i="123" s="1"/>
  <c r="AK126" i="123" s="1"/>
  <c r="AL126" i="123" s="1"/>
  <c r="AM126" i="123" s="1"/>
  <c r="AN126" i="123" s="1"/>
  <c r="AO126" i="123" s="1"/>
  <c r="AP126" i="123" s="1"/>
  <c r="AQ126" i="123" s="1"/>
  <c r="AR126" i="123" s="1"/>
  <c r="AS126" i="123" s="1"/>
  <c r="AT126" i="123" s="1"/>
  <c r="AU126" i="123" s="1"/>
  <c r="AV126" i="123" s="1"/>
  <c r="AW126" i="123" s="1"/>
  <c r="I174" i="123"/>
  <c r="Q157" i="123"/>
  <c r="S131" i="123"/>
  <c r="T131" i="123" s="1"/>
  <c r="U131" i="123" s="1"/>
  <c r="V131" i="123" s="1"/>
  <c r="W131" i="123" s="1"/>
  <c r="X131" i="123" s="1"/>
  <c r="Y131" i="123" s="1"/>
  <c r="Z131" i="123" s="1"/>
  <c r="AA131" i="123" s="1"/>
  <c r="AB131" i="123" s="1"/>
  <c r="AC131" i="123" s="1"/>
  <c r="AD131" i="123" s="1"/>
  <c r="AE131" i="123" s="1"/>
  <c r="AF131" i="123" s="1"/>
  <c r="AG131" i="123" s="1"/>
  <c r="AH131" i="123" s="1"/>
  <c r="AI131" i="123" s="1"/>
  <c r="AJ131" i="123" s="1"/>
  <c r="AK131" i="123" s="1"/>
  <c r="AL131" i="123" s="1"/>
  <c r="AM131" i="123" s="1"/>
  <c r="AN131" i="123" s="1"/>
  <c r="AO131" i="123" s="1"/>
  <c r="AP131" i="123" s="1"/>
  <c r="AQ131" i="123" s="1"/>
  <c r="AR131" i="123" s="1"/>
  <c r="AS131" i="123" s="1"/>
  <c r="AT131" i="123" s="1"/>
  <c r="AU131" i="123" s="1"/>
  <c r="AV131" i="123" s="1"/>
  <c r="AW131" i="123" s="1"/>
  <c r="H185" i="123"/>
  <c r="Q185" i="123" s="1"/>
  <c r="Q168" i="123"/>
  <c r="H182" i="123"/>
  <c r="Q182" i="123" s="1"/>
  <c r="Q165" i="123"/>
  <c r="Q144" i="123"/>
  <c r="S163" i="123"/>
  <c r="T163" i="123" s="1"/>
  <c r="U163" i="123" s="1"/>
  <c r="V163" i="123" s="1"/>
  <c r="W163" i="123" s="1"/>
  <c r="X163" i="123" s="1"/>
  <c r="Y163" i="123" s="1"/>
  <c r="Z163" i="123" s="1"/>
  <c r="AA163" i="123" s="1"/>
  <c r="AB163" i="123" s="1"/>
  <c r="AC163" i="123" s="1"/>
  <c r="AD163" i="123" s="1"/>
  <c r="AE163" i="123" s="1"/>
  <c r="AF163" i="123" s="1"/>
  <c r="AG163" i="123" s="1"/>
  <c r="AH163" i="123" s="1"/>
  <c r="AI163" i="123" s="1"/>
  <c r="AJ163" i="123" s="1"/>
  <c r="AK163" i="123" s="1"/>
  <c r="AL163" i="123" s="1"/>
  <c r="AM163" i="123" s="1"/>
  <c r="AN163" i="123" s="1"/>
  <c r="AO163" i="123" s="1"/>
  <c r="AP163" i="123" s="1"/>
  <c r="AQ163" i="123" s="1"/>
  <c r="AR163" i="123" s="1"/>
  <c r="AS163" i="123" s="1"/>
  <c r="AT163" i="123" s="1"/>
  <c r="AU163" i="123" s="1"/>
  <c r="AV163" i="123" s="1"/>
  <c r="AW163" i="123" s="1"/>
  <c r="H216" i="123"/>
  <c r="I167" i="123"/>
  <c r="I184" i="123" s="1"/>
  <c r="Q184" i="123" s="1"/>
  <c r="S169" i="123"/>
  <c r="T169" i="123" s="1"/>
  <c r="U169" i="123" s="1"/>
  <c r="V169" i="123" s="1"/>
  <c r="W169" i="123" s="1"/>
  <c r="X169" i="123" s="1"/>
  <c r="Y169" i="123" s="1"/>
  <c r="Z169" i="123" s="1"/>
  <c r="AA169" i="123" s="1"/>
  <c r="AB169" i="123" s="1"/>
  <c r="AC169" i="123" s="1"/>
  <c r="AD169" i="123" s="1"/>
  <c r="AE169" i="123" s="1"/>
  <c r="AF169" i="123" s="1"/>
  <c r="AG169" i="123" s="1"/>
  <c r="AH169" i="123" s="1"/>
  <c r="AI169" i="123" s="1"/>
  <c r="AJ169" i="123" s="1"/>
  <c r="AK169" i="123" s="1"/>
  <c r="AL169" i="123" s="1"/>
  <c r="AM169" i="123" s="1"/>
  <c r="AN169" i="123" s="1"/>
  <c r="AO169" i="123" s="1"/>
  <c r="AP169" i="123" s="1"/>
  <c r="AQ169" i="123" s="1"/>
  <c r="AR169" i="123" s="1"/>
  <c r="AS169" i="123" s="1"/>
  <c r="AT169" i="123" s="1"/>
  <c r="AU169" i="123" s="1"/>
  <c r="AV169" i="123" s="1"/>
  <c r="AW169" i="123" s="1"/>
  <c r="T161" i="123"/>
  <c r="U161" i="123" s="1"/>
  <c r="V161" i="123" s="1"/>
  <c r="W161" i="123" s="1"/>
  <c r="X161" i="123" s="1"/>
  <c r="Y161" i="123" s="1"/>
  <c r="Z161" i="123" s="1"/>
  <c r="AA161" i="123" s="1"/>
  <c r="AB161" i="123" s="1"/>
  <c r="AC161" i="123" s="1"/>
  <c r="AD161" i="123" s="1"/>
  <c r="AE161" i="123" s="1"/>
  <c r="AF161" i="123" s="1"/>
  <c r="AG161" i="123" s="1"/>
  <c r="AH161" i="123" s="1"/>
  <c r="AI161" i="123" s="1"/>
  <c r="AJ161" i="123" s="1"/>
  <c r="AK161" i="123" s="1"/>
  <c r="AL161" i="123" s="1"/>
  <c r="AM161" i="123" s="1"/>
  <c r="AN161" i="123" s="1"/>
  <c r="AO161" i="123" s="1"/>
  <c r="AP161" i="123" s="1"/>
  <c r="AQ161" i="123" s="1"/>
  <c r="AR161" i="123" s="1"/>
  <c r="AS161" i="123" s="1"/>
  <c r="AT161" i="123" s="1"/>
  <c r="AU161" i="123" s="1"/>
  <c r="AV161" i="123" s="1"/>
  <c r="AW161" i="123" s="1"/>
  <c r="H211" i="123"/>
  <c r="Q147" i="123"/>
  <c r="Q150" i="123"/>
  <c r="S170" i="123"/>
  <c r="T170" i="123" s="1"/>
  <c r="U170" i="123" s="1"/>
  <c r="V170" i="123" s="1"/>
  <c r="W170" i="123" s="1"/>
  <c r="X170" i="123" s="1"/>
  <c r="Y170" i="123" s="1"/>
  <c r="Z170" i="123" s="1"/>
  <c r="AA170" i="123" s="1"/>
  <c r="AB170" i="123" s="1"/>
  <c r="AC170" i="123" s="1"/>
  <c r="AD170" i="123" s="1"/>
  <c r="AE170" i="123" s="1"/>
  <c r="AF170" i="123" s="1"/>
  <c r="AG170" i="123" s="1"/>
  <c r="AH170" i="123" s="1"/>
  <c r="AI170" i="123" s="1"/>
  <c r="AJ170" i="123" s="1"/>
  <c r="AK170" i="123" s="1"/>
  <c r="AL170" i="123" s="1"/>
  <c r="AM170" i="123" s="1"/>
  <c r="AN170" i="123" s="1"/>
  <c r="AO170" i="123" s="1"/>
  <c r="AP170" i="123" s="1"/>
  <c r="AQ170" i="123" s="1"/>
  <c r="AR170" i="123" s="1"/>
  <c r="AS170" i="123" s="1"/>
  <c r="AT170" i="123" s="1"/>
  <c r="AU170" i="123" s="1"/>
  <c r="AV170" i="123" s="1"/>
  <c r="AW170" i="123" s="1"/>
  <c r="S199" i="123"/>
  <c r="T199" i="123" s="1"/>
  <c r="U199" i="123" s="1"/>
  <c r="V199" i="123" s="1"/>
  <c r="W199" i="123" s="1"/>
  <c r="X199" i="123" s="1"/>
  <c r="Y199" i="123" s="1"/>
  <c r="Z199" i="123" s="1"/>
  <c r="AA199" i="123" s="1"/>
  <c r="AB199" i="123" s="1"/>
  <c r="AC199" i="123" s="1"/>
  <c r="AD199" i="123" s="1"/>
  <c r="AE199" i="123" s="1"/>
  <c r="AF199" i="123" s="1"/>
  <c r="AG199" i="123" s="1"/>
  <c r="AH199" i="123" s="1"/>
  <c r="AI199" i="123" s="1"/>
  <c r="AJ199" i="123" s="1"/>
  <c r="AK199" i="123" s="1"/>
  <c r="AL199" i="123" s="1"/>
  <c r="AM199" i="123" s="1"/>
  <c r="AN199" i="123" s="1"/>
  <c r="AO199" i="123" s="1"/>
  <c r="AP199" i="123" s="1"/>
  <c r="AQ199" i="123" s="1"/>
  <c r="AR199" i="123" s="1"/>
  <c r="AS199" i="123" s="1"/>
  <c r="AT199" i="123" s="1"/>
  <c r="AU199" i="123" s="1"/>
  <c r="AV199" i="123" s="1"/>
  <c r="AW199" i="123" s="1"/>
  <c r="S201" i="123"/>
  <c r="T201" i="123" s="1"/>
  <c r="U201" i="123" s="1"/>
  <c r="V201" i="123" s="1"/>
  <c r="W201" i="123" s="1"/>
  <c r="X201" i="123" s="1"/>
  <c r="Y201" i="123" s="1"/>
  <c r="Z201" i="123" s="1"/>
  <c r="AA201" i="123" s="1"/>
  <c r="AB201" i="123" s="1"/>
  <c r="AC201" i="123" s="1"/>
  <c r="AD201" i="123" s="1"/>
  <c r="AE201" i="123" s="1"/>
  <c r="AF201" i="123" s="1"/>
  <c r="AG201" i="123" s="1"/>
  <c r="AH201" i="123" s="1"/>
  <c r="AI201" i="123" s="1"/>
  <c r="AJ201" i="123" s="1"/>
  <c r="AK201" i="123" s="1"/>
  <c r="AL201" i="123" s="1"/>
  <c r="AM201" i="123" s="1"/>
  <c r="AN201" i="123" s="1"/>
  <c r="AO201" i="123" s="1"/>
  <c r="AP201" i="123" s="1"/>
  <c r="AQ201" i="123" s="1"/>
  <c r="AR201" i="123" s="1"/>
  <c r="AS201" i="123" s="1"/>
  <c r="AT201" i="123" s="1"/>
  <c r="AU201" i="123" s="1"/>
  <c r="AV201" i="123" s="1"/>
  <c r="AW201" i="123" s="1"/>
  <c r="S186" i="123"/>
  <c r="T186" i="123" s="1"/>
  <c r="U186" i="123" s="1"/>
  <c r="V186" i="123" s="1"/>
  <c r="W186" i="123" s="1"/>
  <c r="X186" i="123" s="1"/>
  <c r="Y186" i="123" s="1"/>
  <c r="Z186" i="123" s="1"/>
  <c r="AA186" i="123" s="1"/>
  <c r="AB186" i="123" s="1"/>
  <c r="AC186" i="123" s="1"/>
  <c r="AD186" i="123" s="1"/>
  <c r="AE186" i="123" s="1"/>
  <c r="AF186" i="123" s="1"/>
  <c r="AG186" i="123" s="1"/>
  <c r="AH186" i="123" s="1"/>
  <c r="AI186" i="123" s="1"/>
  <c r="AJ186" i="123" s="1"/>
  <c r="AK186" i="123" s="1"/>
  <c r="AL186" i="123" s="1"/>
  <c r="AM186" i="123" s="1"/>
  <c r="AN186" i="123" s="1"/>
  <c r="AO186" i="123" s="1"/>
  <c r="AP186" i="123" s="1"/>
  <c r="AQ186" i="123" s="1"/>
  <c r="AR186" i="123" s="1"/>
  <c r="AS186" i="123" s="1"/>
  <c r="AT186" i="123" s="1"/>
  <c r="AU186" i="123" s="1"/>
  <c r="AV186" i="123" s="1"/>
  <c r="AW186" i="123" s="1"/>
  <c r="S203" i="123"/>
  <c r="T203" i="123" s="1"/>
  <c r="U203" i="123" s="1"/>
  <c r="V203" i="123" s="1"/>
  <c r="W203" i="123" s="1"/>
  <c r="X203" i="123" s="1"/>
  <c r="Y203" i="123" s="1"/>
  <c r="Z203" i="123" s="1"/>
  <c r="AA203" i="123" s="1"/>
  <c r="AB203" i="123" s="1"/>
  <c r="AC203" i="123" s="1"/>
  <c r="AD203" i="123" s="1"/>
  <c r="AE203" i="123" s="1"/>
  <c r="AF203" i="123" s="1"/>
  <c r="AG203" i="123" s="1"/>
  <c r="AH203" i="123" s="1"/>
  <c r="AI203" i="123" s="1"/>
  <c r="AJ203" i="123" s="1"/>
  <c r="AK203" i="123" s="1"/>
  <c r="AL203" i="123" s="1"/>
  <c r="AM203" i="123" s="1"/>
  <c r="AN203" i="123" s="1"/>
  <c r="AO203" i="123" s="1"/>
  <c r="AP203" i="123" s="1"/>
  <c r="AQ203" i="123" s="1"/>
  <c r="AR203" i="123" s="1"/>
  <c r="AS203" i="123" s="1"/>
  <c r="AT203" i="123" s="1"/>
  <c r="AU203" i="123" s="1"/>
  <c r="AV203" i="123" s="1"/>
  <c r="AW203" i="123" s="1"/>
  <c r="S202" i="123"/>
  <c r="T202" i="123" s="1"/>
  <c r="U202" i="123" s="1"/>
  <c r="V202" i="123" s="1"/>
  <c r="W202" i="123" s="1"/>
  <c r="X202" i="123" s="1"/>
  <c r="Y202" i="123" s="1"/>
  <c r="Z202" i="123" s="1"/>
  <c r="AA202" i="123" s="1"/>
  <c r="AB202" i="123" s="1"/>
  <c r="AC202" i="123" s="1"/>
  <c r="AD202" i="123" s="1"/>
  <c r="AE202" i="123" s="1"/>
  <c r="AF202" i="123" s="1"/>
  <c r="AG202" i="123" s="1"/>
  <c r="AH202" i="123" s="1"/>
  <c r="AI202" i="123" s="1"/>
  <c r="AJ202" i="123" s="1"/>
  <c r="AK202" i="123" s="1"/>
  <c r="AL202" i="123" s="1"/>
  <c r="AM202" i="123" s="1"/>
  <c r="AN202" i="123" s="1"/>
  <c r="AO202" i="123" s="1"/>
  <c r="AP202" i="123" s="1"/>
  <c r="AQ202" i="123" s="1"/>
  <c r="AR202" i="123" s="1"/>
  <c r="AS202" i="123" s="1"/>
  <c r="AT202" i="123" s="1"/>
  <c r="AU202" i="123" s="1"/>
  <c r="AV202" i="123" s="1"/>
  <c r="AW202" i="123" s="1"/>
  <c r="T187" i="123"/>
  <c r="U187" i="123" s="1"/>
  <c r="V187" i="123" s="1"/>
  <c r="W187" i="123" s="1"/>
  <c r="X187" i="123" s="1"/>
  <c r="Y187" i="123" s="1"/>
  <c r="Z187" i="123" s="1"/>
  <c r="AA187" i="123" s="1"/>
  <c r="AB187" i="123" s="1"/>
  <c r="AC187" i="123" s="1"/>
  <c r="AD187" i="123" s="1"/>
  <c r="AE187" i="123" s="1"/>
  <c r="AF187" i="123" s="1"/>
  <c r="AG187" i="123" s="1"/>
  <c r="AH187" i="123" s="1"/>
  <c r="AI187" i="123" s="1"/>
  <c r="AJ187" i="123" s="1"/>
  <c r="AK187" i="123" s="1"/>
  <c r="AL187" i="123" s="1"/>
  <c r="AM187" i="123" s="1"/>
  <c r="AN187" i="123" s="1"/>
  <c r="AO187" i="123" s="1"/>
  <c r="AP187" i="123" s="1"/>
  <c r="AQ187" i="123" s="1"/>
  <c r="AR187" i="123" s="1"/>
  <c r="AS187" i="123" s="1"/>
  <c r="AT187" i="123" s="1"/>
  <c r="AU187" i="123" s="1"/>
  <c r="AV187" i="123" s="1"/>
  <c r="AW187" i="123" s="1"/>
  <c r="S217" i="123"/>
  <c r="T217" i="123" s="1"/>
  <c r="U217" i="123" s="1"/>
  <c r="V217" i="123" s="1"/>
  <c r="W217" i="123" s="1"/>
  <c r="X217" i="123" s="1"/>
  <c r="Y217" i="123" s="1"/>
  <c r="Z217" i="123" s="1"/>
  <c r="AA217" i="123" s="1"/>
  <c r="AB217" i="123" s="1"/>
  <c r="AC217" i="123" s="1"/>
  <c r="AD217" i="123" s="1"/>
  <c r="AE217" i="123" s="1"/>
  <c r="AF217" i="123" s="1"/>
  <c r="AG217" i="123" s="1"/>
  <c r="AH217" i="123" s="1"/>
  <c r="AI217" i="123" s="1"/>
  <c r="AJ217" i="123" s="1"/>
  <c r="AK217" i="123" s="1"/>
  <c r="AL217" i="123" s="1"/>
  <c r="AM217" i="123" s="1"/>
  <c r="AN217" i="123" s="1"/>
  <c r="AO217" i="123" s="1"/>
  <c r="AP217" i="123" s="1"/>
  <c r="AQ217" i="123" s="1"/>
  <c r="AR217" i="123" s="1"/>
  <c r="AS217" i="123" s="1"/>
  <c r="AT217" i="123" s="1"/>
  <c r="AU217" i="123" s="1"/>
  <c r="AV217" i="123" s="1"/>
  <c r="AW217" i="123" s="1"/>
  <c r="Q204" i="123"/>
  <c r="S178" i="123"/>
  <c r="T178" i="123" s="1"/>
  <c r="U178" i="123" s="1"/>
  <c r="V178" i="123" s="1"/>
  <c r="W178" i="123" s="1"/>
  <c r="X178" i="123" s="1"/>
  <c r="Y178" i="123" s="1"/>
  <c r="Z178" i="123" s="1"/>
  <c r="AA178" i="123" s="1"/>
  <c r="AB178" i="123" s="1"/>
  <c r="AC178" i="123" s="1"/>
  <c r="AD178" i="123" s="1"/>
  <c r="AE178" i="123" s="1"/>
  <c r="AF178" i="123" s="1"/>
  <c r="AG178" i="123" s="1"/>
  <c r="AH178" i="123" s="1"/>
  <c r="AI178" i="123" s="1"/>
  <c r="AJ178" i="123" s="1"/>
  <c r="AK178" i="123" s="1"/>
  <c r="AL178" i="123" s="1"/>
  <c r="AM178" i="123" s="1"/>
  <c r="AN178" i="123" s="1"/>
  <c r="AO178" i="123" s="1"/>
  <c r="AP178" i="123" s="1"/>
  <c r="AQ178" i="123" s="1"/>
  <c r="AR178" i="123" s="1"/>
  <c r="AS178" i="123" s="1"/>
  <c r="AT178" i="123" s="1"/>
  <c r="AU178" i="123" s="1"/>
  <c r="AV178" i="123" s="1"/>
  <c r="AW178" i="123" s="1"/>
  <c r="S180" i="123"/>
  <c r="T180" i="123" s="1"/>
  <c r="U180" i="123" s="1"/>
  <c r="V180" i="123" s="1"/>
  <c r="W180" i="123" s="1"/>
  <c r="X180" i="123" s="1"/>
  <c r="Y180" i="123" s="1"/>
  <c r="Z180" i="123" s="1"/>
  <c r="AA180" i="123" s="1"/>
  <c r="AB180" i="123" s="1"/>
  <c r="AC180" i="123" s="1"/>
  <c r="AD180" i="123" s="1"/>
  <c r="AE180" i="123" s="1"/>
  <c r="AF180" i="123" s="1"/>
  <c r="AG180" i="123" s="1"/>
  <c r="AH180" i="123" s="1"/>
  <c r="AI180" i="123" s="1"/>
  <c r="AJ180" i="123" s="1"/>
  <c r="AK180" i="123" s="1"/>
  <c r="AL180" i="123" s="1"/>
  <c r="AM180" i="123" s="1"/>
  <c r="AN180" i="123" s="1"/>
  <c r="AO180" i="123" s="1"/>
  <c r="AP180" i="123" s="1"/>
  <c r="AQ180" i="123" s="1"/>
  <c r="AR180" i="123" s="1"/>
  <c r="AS180" i="123" s="1"/>
  <c r="AT180" i="123" s="1"/>
  <c r="AU180" i="123" s="1"/>
  <c r="AV180" i="123" s="1"/>
  <c r="AW180" i="123" s="1"/>
  <c r="Q206" i="123"/>
  <c r="S215" i="123"/>
  <c r="T215" i="123" s="1"/>
  <c r="U215" i="123" s="1"/>
  <c r="V215" i="123" s="1"/>
  <c r="W215" i="123" s="1"/>
  <c r="X215" i="123" s="1"/>
  <c r="Y215" i="123" s="1"/>
  <c r="Z215" i="123" s="1"/>
  <c r="AA215" i="123" s="1"/>
  <c r="AB215" i="123" s="1"/>
  <c r="AC215" i="123" s="1"/>
  <c r="AD215" i="123" s="1"/>
  <c r="AE215" i="123" s="1"/>
  <c r="AF215" i="123" s="1"/>
  <c r="AG215" i="123" s="1"/>
  <c r="AH215" i="123" s="1"/>
  <c r="AI215" i="123" s="1"/>
  <c r="AJ215" i="123" s="1"/>
  <c r="AK215" i="123" s="1"/>
  <c r="AL215" i="123" s="1"/>
  <c r="AM215" i="123" s="1"/>
  <c r="AN215" i="123" s="1"/>
  <c r="AO215" i="123" s="1"/>
  <c r="AP215" i="123" s="1"/>
  <c r="AQ215" i="123" s="1"/>
  <c r="AR215" i="123" s="1"/>
  <c r="AS215" i="123" s="1"/>
  <c r="AT215" i="123" s="1"/>
  <c r="AU215" i="123" s="1"/>
  <c r="AV215" i="123" s="1"/>
  <c r="AW215" i="123" s="1"/>
  <c r="S219" i="123"/>
  <c r="T219" i="123" s="1"/>
  <c r="U219" i="123" s="1"/>
  <c r="V219" i="123" s="1"/>
  <c r="W219" i="123" s="1"/>
  <c r="X219" i="123" s="1"/>
  <c r="Y219" i="123" s="1"/>
  <c r="Z219" i="123" s="1"/>
  <c r="AA219" i="123" s="1"/>
  <c r="AB219" i="123" s="1"/>
  <c r="AC219" i="123" s="1"/>
  <c r="AD219" i="123" s="1"/>
  <c r="AE219" i="123" s="1"/>
  <c r="AF219" i="123" s="1"/>
  <c r="AG219" i="123" s="1"/>
  <c r="AH219" i="123" s="1"/>
  <c r="AI219" i="123" s="1"/>
  <c r="AJ219" i="123" s="1"/>
  <c r="AK219" i="123" s="1"/>
  <c r="AL219" i="123" s="1"/>
  <c r="AM219" i="123" s="1"/>
  <c r="AN219" i="123" s="1"/>
  <c r="AO219" i="123" s="1"/>
  <c r="AP219" i="123" s="1"/>
  <c r="AQ219" i="123" s="1"/>
  <c r="AR219" i="123" s="1"/>
  <c r="AS219" i="123" s="1"/>
  <c r="AT219" i="123" s="1"/>
  <c r="AU219" i="123" s="1"/>
  <c r="AV219" i="123" s="1"/>
  <c r="AW219" i="123" s="1"/>
  <c r="S220" i="123"/>
  <c r="T220" i="123" s="1"/>
  <c r="U220" i="123" s="1"/>
  <c r="V220" i="123" s="1"/>
  <c r="W220" i="123" s="1"/>
  <c r="X220" i="123" s="1"/>
  <c r="Y220" i="123" s="1"/>
  <c r="Z220" i="123" s="1"/>
  <c r="AA220" i="123" s="1"/>
  <c r="AB220" i="123" s="1"/>
  <c r="AC220" i="123" s="1"/>
  <c r="AD220" i="123" s="1"/>
  <c r="AE220" i="123" s="1"/>
  <c r="AF220" i="123" s="1"/>
  <c r="AG220" i="123" s="1"/>
  <c r="AH220" i="123" s="1"/>
  <c r="AI220" i="123" s="1"/>
  <c r="AJ220" i="123" s="1"/>
  <c r="AK220" i="123" s="1"/>
  <c r="AL220" i="123" s="1"/>
  <c r="AM220" i="123" s="1"/>
  <c r="AN220" i="123" s="1"/>
  <c r="AO220" i="123" s="1"/>
  <c r="AP220" i="123" s="1"/>
  <c r="AQ220" i="123" s="1"/>
  <c r="AR220" i="123" s="1"/>
  <c r="AS220" i="123" s="1"/>
  <c r="AT220" i="123" s="1"/>
  <c r="AU220" i="123" s="1"/>
  <c r="AV220" i="123" s="1"/>
  <c r="AW220" i="123" s="1"/>
  <c r="S222" i="123"/>
  <c r="T222" i="123" s="1"/>
  <c r="U222" i="123" s="1"/>
  <c r="V222" i="123" s="1"/>
  <c r="W222" i="123" s="1"/>
  <c r="X222" i="123" s="1"/>
  <c r="Y222" i="123" s="1"/>
  <c r="Z222" i="123" s="1"/>
  <c r="AA222" i="123" s="1"/>
  <c r="AB222" i="123" s="1"/>
  <c r="AC222" i="123" s="1"/>
  <c r="AD222" i="123" s="1"/>
  <c r="AE222" i="123" s="1"/>
  <c r="AF222" i="123" s="1"/>
  <c r="AG222" i="123" s="1"/>
  <c r="AH222" i="123" s="1"/>
  <c r="AI222" i="123" s="1"/>
  <c r="AJ222" i="123" s="1"/>
  <c r="AK222" i="123" s="1"/>
  <c r="AL222" i="123" s="1"/>
  <c r="AM222" i="123" s="1"/>
  <c r="AN222" i="123" s="1"/>
  <c r="AO222" i="123" s="1"/>
  <c r="AP222" i="123" s="1"/>
  <c r="AQ222" i="123" s="1"/>
  <c r="AR222" i="123" s="1"/>
  <c r="AS222" i="123" s="1"/>
  <c r="AT222" i="123" s="1"/>
  <c r="AU222" i="123" s="1"/>
  <c r="AV222" i="123" s="1"/>
  <c r="AW222" i="123" s="1"/>
  <c r="S223" i="123"/>
  <c r="T223" i="123" s="1"/>
  <c r="U223" i="123" s="1"/>
  <c r="V223" i="123" s="1"/>
  <c r="W223" i="123" s="1"/>
  <c r="X223" i="123" s="1"/>
  <c r="Y223" i="123" s="1"/>
  <c r="Z223" i="123" s="1"/>
  <c r="AA223" i="123" s="1"/>
  <c r="AB223" i="123" s="1"/>
  <c r="AC223" i="123" s="1"/>
  <c r="AD223" i="123" s="1"/>
  <c r="AE223" i="123" s="1"/>
  <c r="AF223" i="123" s="1"/>
  <c r="AG223" i="123" s="1"/>
  <c r="AH223" i="123" s="1"/>
  <c r="AI223" i="123" s="1"/>
  <c r="AJ223" i="123" s="1"/>
  <c r="AK223" i="123" s="1"/>
  <c r="AL223" i="123" s="1"/>
  <c r="AM223" i="123" s="1"/>
  <c r="AN223" i="123" s="1"/>
  <c r="AO223" i="123" s="1"/>
  <c r="AP223" i="123" s="1"/>
  <c r="AQ223" i="123" s="1"/>
  <c r="AR223" i="123" s="1"/>
  <c r="AS223" i="123" s="1"/>
  <c r="AT223" i="123" s="1"/>
  <c r="AU223" i="123" s="1"/>
  <c r="AV223" i="123" s="1"/>
  <c r="AW223" i="123" s="1"/>
  <c r="W221" i="123"/>
  <c r="X221" i="123" s="1"/>
  <c r="Y221" i="123" s="1"/>
  <c r="Z221" i="123" s="1"/>
  <c r="AA221" i="123" s="1"/>
  <c r="AB221" i="123" s="1"/>
  <c r="AC221" i="123" s="1"/>
  <c r="AD221" i="123" s="1"/>
  <c r="AE221" i="123" s="1"/>
  <c r="AF221" i="123" s="1"/>
  <c r="AG221" i="123" s="1"/>
  <c r="AH221" i="123" s="1"/>
  <c r="AI221" i="123" s="1"/>
  <c r="AJ221" i="123" s="1"/>
  <c r="AK221" i="123" s="1"/>
  <c r="AL221" i="123" s="1"/>
  <c r="AM221" i="123" s="1"/>
  <c r="AN221" i="123" s="1"/>
  <c r="AO221" i="123" s="1"/>
  <c r="AP221" i="123" s="1"/>
  <c r="AQ221" i="123" s="1"/>
  <c r="AR221" i="123" s="1"/>
  <c r="AS221" i="123" s="1"/>
  <c r="AT221" i="123" s="1"/>
  <c r="AU221" i="123" s="1"/>
  <c r="AV221" i="123" s="1"/>
  <c r="AW221" i="123" s="1"/>
  <c r="W224" i="123"/>
  <c r="X224" i="123" s="1"/>
  <c r="Y224" i="123" s="1"/>
  <c r="Z224" i="123" s="1"/>
  <c r="AA224" i="123" s="1"/>
  <c r="AB224" i="123" s="1"/>
  <c r="AC224" i="123" s="1"/>
  <c r="AD224" i="123" s="1"/>
  <c r="AE224" i="123" s="1"/>
  <c r="AF224" i="123" s="1"/>
  <c r="AG224" i="123" s="1"/>
  <c r="AH224" i="123" s="1"/>
  <c r="AI224" i="123" s="1"/>
  <c r="AJ224" i="123" s="1"/>
  <c r="AK224" i="123" s="1"/>
  <c r="AL224" i="123" s="1"/>
  <c r="AM224" i="123" s="1"/>
  <c r="AN224" i="123" s="1"/>
  <c r="AO224" i="123" s="1"/>
  <c r="AP224" i="123" s="1"/>
  <c r="AQ224" i="123" s="1"/>
  <c r="AR224" i="123" s="1"/>
  <c r="AS224" i="123" s="1"/>
  <c r="AT224" i="123" s="1"/>
  <c r="AU224" i="123" s="1"/>
  <c r="AV224" i="123" s="1"/>
  <c r="AW224" i="123" s="1"/>
  <c r="W232" i="123"/>
  <c r="X232" i="123" s="1"/>
  <c r="Y232" i="123" s="1"/>
  <c r="Z232" i="123" s="1"/>
  <c r="AA232" i="123" s="1"/>
  <c r="AB232" i="123" s="1"/>
  <c r="AC232" i="123" s="1"/>
  <c r="AD232" i="123" s="1"/>
  <c r="AE232" i="123" s="1"/>
  <c r="AF232" i="123" s="1"/>
  <c r="AG232" i="123" s="1"/>
  <c r="AH232" i="123" s="1"/>
  <c r="AI232" i="123" s="1"/>
  <c r="AJ232" i="123" s="1"/>
  <c r="AK232" i="123" s="1"/>
  <c r="AL232" i="123" s="1"/>
  <c r="AM232" i="123" s="1"/>
  <c r="AN232" i="123" s="1"/>
  <c r="AO232" i="123" s="1"/>
  <c r="AP232" i="123" s="1"/>
  <c r="AQ232" i="123" s="1"/>
  <c r="AR232" i="123" s="1"/>
  <c r="AS232" i="123" s="1"/>
  <c r="AT232" i="123" s="1"/>
  <c r="AU232" i="123" s="1"/>
  <c r="AV232" i="123" s="1"/>
  <c r="AW232" i="123" s="1"/>
  <c r="W234" i="123"/>
  <c r="X234" i="123" s="1"/>
  <c r="Y234" i="123" s="1"/>
  <c r="Z234" i="123" s="1"/>
  <c r="AA234" i="123" s="1"/>
  <c r="AB234" i="123" s="1"/>
  <c r="AC234" i="123" s="1"/>
  <c r="AD234" i="123" s="1"/>
  <c r="AE234" i="123" s="1"/>
  <c r="AF234" i="123" s="1"/>
  <c r="AG234" i="123" s="1"/>
  <c r="AH234" i="123" s="1"/>
  <c r="AI234" i="123" s="1"/>
  <c r="AJ234" i="123" s="1"/>
  <c r="AK234" i="123" s="1"/>
  <c r="AL234" i="123" s="1"/>
  <c r="AM234" i="123" s="1"/>
  <c r="AN234" i="123" s="1"/>
  <c r="AO234" i="123" s="1"/>
  <c r="AP234" i="123" s="1"/>
  <c r="AQ234" i="123" s="1"/>
  <c r="AR234" i="123" s="1"/>
  <c r="AS234" i="123" s="1"/>
  <c r="AT234" i="123" s="1"/>
  <c r="AU234" i="123" s="1"/>
  <c r="AV234" i="123" s="1"/>
  <c r="AW234" i="123" s="1"/>
  <c r="W236" i="123"/>
  <c r="X236" i="123" s="1"/>
  <c r="Y236" i="123" s="1"/>
  <c r="Z236" i="123" s="1"/>
  <c r="AA236" i="123" s="1"/>
  <c r="AB236" i="123" s="1"/>
  <c r="AC236" i="123" s="1"/>
  <c r="AD236" i="123" s="1"/>
  <c r="AE236" i="123" s="1"/>
  <c r="AF236" i="123" s="1"/>
  <c r="AG236" i="123" s="1"/>
  <c r="AH236" i="123" s="1"/>
  <c r="AI236" i="123" s="1"/>
  <c r="AJ236" i="123" s="1"/>
  <c r="AK236" i="123" s="1"/>
  <c r="AL236" i="123" s="1"/>
  <c r="AM236" i="123" s="1"/>
  <c r="AN236" i="123" s="1"/>
  <c r="AO236" i="123" s="1"/>
  <c r="AP236" i="123" s="1"/>
  <c r="AQ236" i="123" s="1"/>
  <c r="AR236" i="123" s="1"/>
  <c r="AS236" i="123" s="1"/>
  <c r="AT236" i="123" s="1"/>
  <c r="AU236" i="123" s="1"/>
  <c r="AV236" i="123" s="1"/>
  <c r="AW236" i="123" s="1"/>
  <c r="S238" i="123"/>
  <c r="T238" i="123" s="1"/>
  <c r="U238" i="123" s="1"/>
  <c r="V238" i="123" s="1"/>
  <c r="W238" i="123" s="1"/>
  <c r="X238" i="123" s="1"/>
  <c r="Y238" i="123" s="1"/>
  <c r="Z238" i="123" s="1"/>
  <c r="AA238" i="123" s="1"/>
  <c r="AB238" i="123" s="1"/>
  <c r="AC238" i="123" s="1"/>
  <c r="AD238" i="123" s="1"/>
  <c r="AE238" i="123" s="1"/>
  <c r="AF238" i="123" s="1"/>
  <c r="AG238" i="123" s="1"/>
  <c r="AH238" i="123" s="1"/>
  <c r="AI238" i="123" s="1"/>
  <c r="AJ238" i="123" s="1"/>
  <c r="AK238" i="123" s="1"/>
  <c r="AL238" i="123" s="1"/>
  <c r="AM238" i="123" s="1"/>
  <c r="AN238" i="123" s="1"/>
  <c r="AO238" i="123" s="1"/>
  <c r="AP238" i="123" s="1"/>
  <c r="AQ238" i="123" s="1"/>
  <c r="AR238" i="123" s="1"/>
  <c r="AS238" i="123" s="1"/>
  <c r="AT238" i="123" s="1"/>
  <c r="AU238" i="123" s="1"/>
  <c r="AV238" i="123" s="1"/>
  <c r="AW238" i="123" s="1"/>
  <c r="W239" i="123"/>
  <c r="X239" i="123" s="1"/>
  <c r="Y239" i="123" s="1"/>
  <c r="Z239" i="123" s="1"/>
  <c r="AA239" i="123" s="1"/>
  <c r="AB239" i="123" s="1"/>
  <c r="AC239" i="123" s="1"/>
  <c r="AD239" i="123" s="1"/>
  <c r="AE239" i="123" s="1"/>
  <c r="AF239" i="123" s="1"/>
  <c r="AG239" i="123" s="1"/>
  <c r="AH239" i="123" s="1"/>
  <c r="AI239" i="123" s="1"/>
  <c r="AJ239" i="123" s="1"/>
  <c r="AK239" i="123" s="1"/>
  <c r="AL239" i="123" s="1"/>
  <c r="AM239" i="123" s="1"/>
  <c r="AN239" i="123" s="1"/>
  <c r="AO239" i="123" s="1"/>
  <c r="AP239" i="123" s="1"/>
  <c r="AQ239" i="123" s="1"/>
  <c r="AR239" i="123" s="1"/>
  <c r="AS239" i="123" s="1"/>
  <c r="AT239" i="123" s="1"/>
  <c r="AU239" i="123" s="1"/>
  <c r="AV239" i="123" s="1"/>
  <c r="AW239" i="123" s="1"/>
  <c r="S241" i="123"/>
  <c r="T241" i="123" s="1"/>
  <c r="U241" i="123" s="1"/>
  <c r="V241" i="123" s="1"/>
  <c r="W241" i="123" s="1"/>
  <c r="X241" i="123" s="1"/>
  <c r="Y241" i="123" s="1"/>
  <c r="Z241" i="123" s="1"/>
  <c r="AA241" i="123" s="1"/>
  <c r="AB241" i="123" s="1"/>
  <c r="AC241" i="123" s="1"/>
  <c r="AD241" i="123" s="1"/>
  <c r="AE241" i="123" s="1"/>
  <c r="AF241" i="123" s="1"/>
  <c r="AG241" i="123" s="1"/>
  <c r="AH241" i="123" s="1"/>
  <c r="AI241" i="123" s="1"/>
  <c r="AJ241" i="123" s="1"/>
  <c r="AK241" i="123" s="1"/>
  <c r="AL241" i="123" s="1"/>
  <c r="AM241" i="123" s="1"/>
  <c r="AN241" i="123" s="1"/>
  <c r="AO241" i="123" s="1"/>
  <c r="AP241" i="123" s="1"/>
  <c r="AQ241" i="123" s="1"/>
  <c r="AR241" i="123" s="1"/>
  <c r="AS241" i="123" s="1"/>
  <c r="AT241" i="123" s="1"/>
  <c r="AU241" i="123" s="1"/>
  <c r="AV241" i="123" s="1"/>
  <c r="AW241" i="123" s="1"/>
  <c r="S237" i="123"/>
  <c r="T237" i="123" s="1"/>
  <c r="U237" i="123" s="1"/>
  <c r="V237" i="123" s="1"/>
  <c r="W237" i="123" s="1"/>
  <c r="X237" i="123" s="1"/>
  <c r="Y237" i="123" s="1"/>
  <c r="Z237" i="123" s="1"/>
  <c r="AA237" i="123" s="1"/>
  <c r="AB237" i="123" s="1"/>
  <c r="AC237" i="123" s="1"/>
  <c r="AD237" i="123" s="1"/>
  <c r="AE237" i="123" s="1"/>
  <c r="AF237" i="123" s="1"/>
  <c r="AG237" i="123" s="1"/>
  <c r="AH237" i="123" s="1"/>
  <c r="AI237" i="123" s="1"/>
  <c r="AJ237" i="123" s="1"/>
  <c r="AK237" i="123" s="1"/>
  <c r="AL237" i="123" s="1"/>
  <c r="AM237" i="123" s="1"/>
  <c r="AN237" i="123" s="1"/>
  <c r="AO237" i="123" s="1"/>
  <c r="AP237" i="123" s="1"/>
  <c r="AQ237" i="123" s="1"/>
  <c r="AR237" i="123" s="1"/>
  <c r="AS237" i="123" s="1"/>
  <c r="AT237" i="123" s="1"/>
  <c r="AU237" i="123" s="1"/>
  <c r="AV237" i="123" s="1"/>
  <c r="AW237" i="123" s="1"/>
  <c r="S240" i="123"/>
  <c r="T240" i="123" s="1"/>
  <c r="U240" i="123" s="1"/>
  <c r="V240" i="123" s="1"/>
  <c r="W240" i="123" s="1"/>
  <c r="X240" i="123" s="1"/>
  <c r="Y240" i="123" s="1"/>
  <c r="Z240" i="123" s="1"/>
  <c r="AA240" i="123" s="1"/>
  <c r="AB240" i="123" s="1"/>
  <c r="AC240" i="123" s="1"/>
  <c r="AD240" i="123" s="1"/>
  <c r="AE240" i="123" s="1"/>
  <c r="AF240" i="123" s="1"/>
  <c r="AG240" i="123" s="1"/>
  <c r="AH240" i="123" s="1"/>
  <c r="AI240" i="123" s="1"/>
  <c r="AJ240" i="123" s="1"/>
  <c r="AK240" i="123" s="1"/>
  <c r="AL240" i="123" s="1"/>
  <c r="AM240" i="123" s="1"/>
  <c r="AN240" i="123" s="1"/>
  <c r="AO240" i="123" s="1"/>
  <c r="AP240" i="123" s="1"/>
  <c r="AQ240" i="123" s="1"/>
  <c r="AR240" i="123" s="1"/>
  <c r="AS240" i="123" s="1"/>
  <c r="AT240" i="123" s="1"/>
  <c r="AU240" i="123" s="1"/>
  <c r="AV240" i="123" s="1"/>
  <c r="AW240" i="123" s="1"/>
  <c r="X9" i="99"/>
  <c r="X10" i="99" s="1"/>
  <c r="R13" i="124" l="1"/>
  <c r="R24" i="124" s="1"/>
  <c r="R33" i="124" s="1"/>
  <c r="D20" i="124"/>
  <c r="F17" i="124"/>
  <c r="D231" i="123"/>
  <c r="C230" i="123"/>
  <c r="D214" i="123"/>
  <c r="C213" i="123"/>
  <c r="D196" i="123"/>
  <c r="C195" i="123"/>
  <c r="D177" i="123"/>
  <c r="C176" i="123"/>
  <c r="D160" i="123"/>
  <c r="C159" i="123"/>
  <c r="D121" i="123"/>
  <c r="C120" i="123"/>
  <c r="D142" i="123"/>
  <c r="C141" i="123"/>
  <c r="C19" i="123"/>
  <c r="F19" i="123" s="1"/>
  <c r="D20" i="123"/>
  <c r="Q179" i="123"/>
  <c r="S179" i="123" s="1"/>
  <c r="T179" i="123" s="1"/>
  <c r="U179" i="123" s="1"/>
  <c r="V179" i="123" s="1"/>
  <c r="W179" i="123" s="1"/>
  <c r="X179" i="123" s="1"/>
  <c r="Y179" i="123" s="1"/>
  <c r="Z179" i="123" s="1"/>
  <c r="AA179" i="123" s="1"/>
  <c r="AB179" i="123" s="1"/>
  <c r="AC179" i="123" s="1"/>
  <c r="AD179" i="123" s="1"/>
  <c r="AE179" i="123" s="1"/>
  <c r="AF179" i="123" s="1"/>
  <c r="AG179" i="123" s="1"/>
  <c r="AH179" i="123" s="1"/>
  <c r="AI179" i="123" s="1"/>
  <c r="AJ179" i="123" s="1"/>
  <c r="AK179" i="123" s="1"/>
  <c r="AL179" i="123" s="1"/>
  <c r="AM179" i="123" s="1"/>
  <c r="AN179" i="123" s="1"/>
  <c r="AO179" i="123" s="1"/>
  <c r="AP179" i="123" s="1"/>
  <c r="AQ179" i="123" s="1"/>
  <c r="AR179" i="123" s="1"/>
  <c r="AS179" i="123" s="1"/>
  <c r="AT179" i="123" s="1"/>
  <c r="AU179" i="123" s="1"/>
  <c r="AV179" i="123" s="1"/>
  <c r="AW179" i="123" s="1"/>
  <c r="X143" i="123"/>
  <c r="Y143" i="123" s="1"/>
  <c r="Z143" i="123" s="1"/>
  <c r="AA143" i="123" s="1"/>
  <c r="AB143" i="123" s="1"/>
  <c r="AC143" i="123" s="1"/>
  <c r="AD143" i="123" s="1"/>
  <c r="AE143" i="123" s="1"/>
  <c r="AF143" i="123" s="1"/>
  <c r="AG143" i="123" s="1"/>
  <c r="AH143" i="123" s="1"/>
  <c r="AI143" i="123" s="1"/>
  <c r="AJ143" i="123" s="1"/>
  <c r="AK143" i="123" s="1"/>
  <c r="AL143" i="123" s="1"/>
  <c r="AM143" i="123" s="1"/>
  <c r="AN143" i="123" s="1"/>
  <c r="AO143" i="123" s="1"/>
  <c r="AP143" i="123" s="1"/>
  <c r="AQ143" i="123" s="1"/>
  <c r="AR143" i="123" s="1"/>
  <c r="AS143" i="123" s="1"/>
  <c r="AT143" i="123" s="1"/>
  <c r="AU143" i="123" s="1"/>
  <c r="AV143" i="123" s="1"/>
  <c r="AW143" i="123" s="1"/>
  <c r="Q167" i="123"/>
  <c r="S167" i="123" s="1"/>
  <c r="T167" i="123" s="1"/>
  <c r="U167" i="123" s="1"/>
  <c r="V167" i="123" s="1"/>
  <c r="W167" i="123" s="1"/>
  <c r="X167" i="123" s="1"/>
  <c r="Y167" i="123" s="1"/>
  <c r="Z167" i="123" s="1"/>
  <c r="AA167" i="123" s="1"/>
  <c r="AB167" i="123" s="1"/>
  <c r="AC167" i="123" s="1"/>
  <c r="AD167" i="123" s="1"/>
  <c r="AE167" i="123" s="1"/>
  <c r="AF167" i="123" s="1"/>
  <c r="AG167" i="123" s="1"/>
  <c r="AH167" i="123" s="1"/>
  <c r="AI167" i="123" s="1"/>
  <c r="AJ167" i="123" s="1"/>
  <c r="AK167" i="123" s="1"/>
  <c r="AL167" i="123" s="1"/>
  <c r="AM167" i="123" s="1"/>
  <c r="AN167" i="123" s="1"/>
  <c r="AO167" i="123" s="1"/>
  <c r="AP167" i="123" s="1"/>
  <c r="AQ167" i="123" s="1"/>
  <c r="AR167" i="123" s="1"/>
  <c r="AS167" i="123" s="1"/>
  <c r="AT167" i="123" s="1"/>
  <c r="AU167" i="123" s="1"/>
  <c r="AV167" i="123" s="1"/>
  <c r="AW167" i="123" s="1"/>
  <c r="S144" i="123"/>
  <c r="T144" i="123" s="1"/>
  <c r="U144" i="123" s="1"/>
  <c r="V144" i="123" s="1"/>
  <c r="W144" i="123" s="1"/>
  <c r="X144" i="123" s="1"/>
  <c r="Y144" i="123" s="1"/>
  <c r="Z144" i="123" s="1"/>
  <c r="AA144" i="123" s="1"/>
  <c r="AB144" i="123" s="1"/>
  <c r="AC144" i="123" s="1"/>
  <c r="AD144" i="123" s="1"/>
  <c r="AE144" i="123" s="1"/>
  <c r="AF144" i="123" s="1"/>
  <c r="AG144" i="123" s="1"/>
  <c r="AH144" i="123" s="1"/>
  <c r="AI144" i="123" s="1"/>
  <c r="AJ144" i="123" s="1"/>
  <c r="AK144" i="123" s="1"/>
  <c r="AL144" i="123" s="1"/>
  <c r="AM144" i="123" s="1"/>
  <c r="AN144" i="123" s="1"/>
  <c r="AO144" i="123" s="1"/>
  <c r="AP144" i="123" s="1"/>
  <c r="AQ144" i="123" s="1"/>
  <c r="AR144" i="123" s="1"/>
  <c r="AS144" i="123" s="1"/>
  <c r="AT144" i="123" s="1"/>
  <c r="AU144" i="123" s="1"/>
  <c r="AV144" i="123" s="1"/>
  <c r="AW144" i="123" s="1"/>
  <c r="S162" i="123"/>
  <c r="T162" i="123" s="1"/>
  <c r="U162" i="123" s="1"/>
  <c r="V162" i="123" s="1"/>
  <c r="W162" i="123" s="1"/>
  <c r="X162" i="123" s="1"/>
  <c r="Y162" i="123" s="1"/>
  <c r="Z162" i="123" s="1"/>
  <c r="AA162" i="123" s="1"/>
  <c r="AB162" i="123" s="1"/>
  <c r="AC162" i="123" s="1"/>
  <c r="AD162" i="123" s="1"/>
  <c r="AE162" i="123" s="1"/>
  <c r="AF162" i="123" s="1"/>
  <c r="AG162" i="123" s="1"/>
  <c r="AH162" i="123" s="1"/>
  <c r="AI162" i="123" s="1"/>
  <c r="AJ162" i="123" s="1"/>
  <c r="AK162" i="123" s="1"/>
  <c r="AL162" i="123" s="1"/>
  <c r="AM162" i="123" s="1"/>
  <c r="AN162" i="123" s="1"/>
  <c r="AO162" i="123" s="1"/>
  <c r="AP162" i="123" s="1"/>
  <c r="AQ162" i="123" s="1"/>
  <c r="AR162" i="123" s="1"/>
  <c r="AS162" i="123" s="1"/>
  <c r="AT162" i="123" s="1"/>
  <c r="AU162" i="123" s="1"/>
  <c r="AV162" i="123" s="1"/>
  <c r="AW162" i="123" s="1"/>
  <c r="S150" i="123"/>
  <c r="T150" i="123" s="1"/>
  <c r="U150" i="123" s="1"/>
  <c r="V150" i="123" s="1"/>
  <c r="W150" i="123" s="1"/>
  <c r="X150" i="123" s="1"/>
  <c r="Y150" i="123" s="1"/>
  <c r="Z150" i="123" s="1"/>
  <c r="AA150" i="123" s="1"/>
  <c r="AB150" i="123" s="1"/>
  <c r="AC150" i="123" s="1"/>
  <c r="AD150" i="123" s="1"/>
  <c r="AE150" i="123" s="1"/>
  <c r="AF150" i="123" s="1"/>
  <c r="AG150" i="123" s="1"/>
  <c r="AH150" i="123" s="1"/>
  <c r="AI150" i="123" s="1"/>
  <c r="AJ150" i="123" s="1"/>
  <c r="AK150" i="123" s="1"/>
  <c r="AL150" i="123" s="1"/>
  <c r="AM150" i="123" s="1"/>
  <c r="AN150" i="123" s="1"/>
  <c r="AO150" i="123" s="1"/>
  <c r="AP150" i="123" s="1"/>
  <c r="AQ150" i="123" s="1"/>
  <c r="AR150" i="123" s="1"/>
  <c r="AS150" i="123" s="1"/>
  <c r="AT150" i="123" s="1"/>
  <c r="AU150" i="123" s="1"/>
  <c r="AV150" i="123" s="1"/>
  <c r="AW150" i="123" s="1"/>
  <c r="S206" i="123"/>
  <c r="T206" i="123" s="1"/>
  <c r="U206" i="123" s="1"/>
  <c r="V206" i="123" s="1"/>
  <c r="W206" i="123" s="1"/>
  <c r="X206" i="123" s="1"/>
  <c r="Y206" i="123" s="1"/>
  <c r="Z206" i="123" s="1"/>
  <c r="AA206" i="123" s="1"/>
  <c r="AB206" i="123" s="1"/>
  <c r="AC206" i="123" s="1"/>
  <c r="AD206" i="123" s="1"/>
  <c r="AE206" i="123" s="1"/>
  <c r="AF206" i="123" s="1"/>
  <c r="AG206" i="123" s="1"/>
  <c r="AH206" i="123" s="1"/>
  <c r="AI206" i="123" s="1"/>
  <c r="AJ206" i="123" s="1"/>
  <c r="AK206" i="123" s="1"/>
  <c r="AL206" i="123" s="1"/>
  <c r="AM206" i="123" s="1"/>
  <c r="AN206" i="123" s="1"/>
  <c r="AO206" i="123" s="1"/>
  <c r="AP206" i="123" s="1"/>
  <c r="AQ206" i="123" s="1"/>
  <c r="AR206" i="123" s="1"/>
  <c r="AS206" i="123" s="1"/>
  <c r="AT206" i="123" s="1"/>
  <c r="AU206" i="123" s="1"/>
  <c r="AV206" i="123" s="1"/>
  <c r="AW206" i="123" s="1"/>
  <c r="S147" i="123"/>
  <c r="T147" i="123" s="1"/>
  <c r="U147" i="123" s="1"/>
  <c r="V147" i="123" s="1"/>
  <c r="W147" i="123" s="1"/>
  <c r="X147" i="123" s="1"/>
  <c r="Y147" i="123" s="1"/>
  <c r="Z147" i="123" s="1"/>
  <c r="AA147" i="123" s="1"/>
  <c r="AB147" i="123" s="1"/>
  <c r="AC147" i="123" s="1"/>
  <c r="AD147" i="123" s="1"/>
  <c r="AE147" i="123" s="1"/>
  <c r="AF147" i="123" s="1"/>
  <c r="AG147" i="123" s="1"/>
  <c r="AH147" i="123" s="1"/>
  <c r="AI147" i="123" s="1"/>
  <c r="AJ147" i="123" s="1"/>
  <c r="AK147" i="123" s="1"/>
  <c r="AL147" i="123" s="1"/>
  <c r="AM147" i="123" s="1"/>
  <c r="AN147" i="123" s="1"/>
  <c r="AO147" i="123" s="1"/>
  <c r="AP147" i="123" s="1"/>
  <c r="AQ147" i="123" s="1"/>
  <c r="AR147" i="123" s="1"/>
  <c r="AS147" i="123" s="1"/>
  <c r="AT147" i="123" s="1"/>
  <c r="AU147" i="123" s="1"/>
  <c r="AV147" i="123" s="1"/>
  <c r="AW147" i="123" s="1"/>
  <c r="S185" i="123"/>
  <c r="T185" i="123" s="1"/>
  <c r="U185" i="123" s="1"/>
  <c r="V185" i="123" s="1"/>
  <c r="W185" i="123" s="1"/>
  <c r="X185" i="123" s="1"/>
  <c r="Y185" i="123" s="1"/>
  <c r="Z185" i="123" s="1"/>
  <c r="AA185" i="123" s="1"/>
  <c r="AB185" i="123" s="1"/>
  <c r="AC185" i="123" s="1"/>
  <c r="AD185" i="123" s="1"/>
  <c r="AE185" i="123" s="1"/>
  <c r="AF185" i="123" s="1"/>
  <c r="AG185" i="123" s="1"/>
  <c r="AH185" i="123" s="1"/>
  <c r="AI185" i="123" s="1"/>
  <c r="AJ185" i="123" s="1"/>
  <c r="AK185" i="123" s="1"/>
  <c r="AL185" i="123" s="1"/>
  <c r="AM185" i="123" s="1"/>
  <c r="AN185" i="123" s="1"/>
  <c r="AO185" i="123" s="1"/>
  <c r="AP185" i="123" s="1"/>
  <c r="AQ185" i="123" s="1"/>
  <c r="AR185" i="123" s="1"/>
  <c r="AS185" i="123" s="1"/>
  <c r="AT185" i="123" s="1"/>
  <c r="AU185" i="123" s="1"/>
  <c r="AV185" i="123" s="1"/>
  <c r="AW185" i="123" s="1"/>
  <c r="I193" i="123"/>
  <c r="I18" i="123" s="1" a="1"/>
  <c r="I18" i="123" s="1"/>
  <c r="Q18" i="123" s="1"/>
  <c r="S18" i="123" s="1"/>
  <c r="Q174" i="123"/>
  <c r="H228" i="123"/>
  <c r="T204" i="123"/>
  <c r="U204" i="123" s="1"/>
  <c r="V204" i="123" s="1"/>
  <c r="W204" i="123" s="1"/>
  <c r="X204" i="123" s="1"/>
  <c r="Y204" i="123" s="1"/>
  <c r="Z204" i="123" s="1"/>
  <c r="AA204" i="123" s="1"/>
  <c r="AB204" i="123" s="1"/>
  <c r="AC204" i="123" s="1"/>
  <c r="AD204" i="123" s="1"/>
  <c r="AE204" i="123" s="1"/>
  <c r="AF204" i="123" s="1"/>
  <c r="AG204" i="123" s="1"/>
  <c r="AH204" i="123" s="1"/>
  <c r="AI204" i="123" s="1"/>
  <c r="AJ204" i="123" s="1"/>
  <c r="AK204" i="123" s="1"/>
  <c r="AL204" i="123" s="1"/>
  <c r="AM204" i="123" s="1"/>
  <c r="AN204" i="123" s="1"/>
  <c r="AO204" i="123" s="1"/>
  <c r="AP204" i="123" s="1"/>
  <c r="AQ204" i="123" s="1"/>
  <c r="AR204" i="123" s="1"/>
  <c r="AS204" i="123" s="1"/>
  <c r="AT204" i="123" s="1"/>
  <c r="AU204" i="123" s="1"/>
  <c r="AV204" i="123" s="1"/>
  <c r="AW204" i="123" s="1"/>
  <c r="S204" i="123"/>
  <c r="S168" i="123"/>
  <c r="T168" i="123" s="1"/>
  <c r="U168" i="123" s="1"/>
  <c r="V168" i="123" s="1"/>
  <c r="W168" i="123" s="1"/>
  <c r="X168" i="123" s="1"/>
  <c r="Y168" i="123" s="1"/>
  <c r="Z168" i="123" s="1"/>
  <c r="AA168" i="123" s="1"/>
  <c r="AB168" i="123" s="1"/>
  <c r="AC168" i="123" s="1"/>
  <c r="AD168" i="123" s="1"/>
  <c r="AE168" i="123" s="1"/>
  <c r="AF168" i="123" s="1"/>
  <c r="AG168" i="123" s="1"/>
  <c r="AH168" i="123" s="1"/>
  <c r="AI168" i="123" s="1"/>
  <c r="AJ168" i="123" s="1"/>
  <c r="AK168" i="123" s="1"/>
  <c r="AL168" i="123" s="1"/>
  <c r="AM168" i="123" s="1"/>
  <c r="AN168" i="123" s="1"/>
  <c r="AO168" i="123" s="1"/>
  <c r="AP168" i="123" s="1"/>
  <c r="AQ168" i="123" s="1"/>
  <c r="AR168" i="123" s="1"/>
  <c r="AS168" i="123" s="1"/>
  <c r="AT168" i="123" s="1"/>
  <c r="AU168" i="123" s="1"/>
  <c r="AV168" i="123" s="1"/>
  <c r="AW168" i="123" s="1"/>
  <c r="H181" i="123"/>
  <c r="Q164" i="123"/>
  <c r="S184" i="123"/>
  <c r="T184" i="123" s="1"/>
  <c r="U184" i="123" s="1"/>
  <c r="V184" i="123" s="1"/>
  <c r="W184" i="123" s="1"/>
  <c r="X184" i="123" s="1"/>
  <c r="Y184" i="123" s="1"/>
  <c r="Z184" i="123" s="1"/>
  <c r="AA184" i="123" s="1"/>
  <c r="AB184" i="123" s="1"/>
  <c r="AC184" i="123" s="1"/>
  <c r="AD184" i="123" s="1"/>
  <c r="AE184" i="123" s="1"/>
  <c r="AF184" i="123" s="1"/>
  <c r="AG184" i="123" s="1"/>
  <c r="AH184" i="123" s="1"/>
  <c r="AI184" i="123" s="1"/>
  <c r="AJ184" i="123" s="1"/>
  <c r="AK184" i="123" s="1"/>
  <c r="AL184" i="123" s="1"/>
  <c r="AM184" i="123" s="1"/>
  <c r="AN184" i="123" s="1"/>
  <c r="AO184" i="123" s="1"/>
  <c r="AP184" i="123" s="1"/>
  <c r="AQ184" i="123" s="1"/>
  <c r="AR184" i="123" s="1"/>
  <c r="AS184" i="123" s="1"/>
  <c r="AT184" i="123" s="1"/>
  <c r="AU184" i="123" s="1"/>
  <c r="AV184" i="123" s="1"/>
  <c r="AW184" i="123" s="1"/>
  <c r="S142" i="123"/>
  <c r="T142" i="123" s="1"/>
  <c r="U142" i="123" s="1"/>
  <c r="V142" i="123" s="1"/>
  <c r="W142" i="123" s="1"/>
  <c r="X142" i="123" s="1"/>
  <c r="Y142" i="123" s="1"/>
  <c r="Z142" i="123" s="1"/>
  <c r="AA142" i="123" s="1"/>
  <c r="AB142" i="123" s="1"/>
  <c r="AC142" i="123" s="1"/>
  <c r="AD142" i="123" s="1"/>
  <c r="AE142" i="123" s="1"/>
  <c r="AF142" i="123" s="1"/>
  <c r="AG142" i="123" s="1"/>
  <c r="AH142" i="123" s="1"/>
  <c r="AI142" i="123" s="1"/>
  <c r="AJ142" i="123" s="1"/>
  <c r="AK142" i="123" s="1"/>
  <c r="AL142" i="123" s="1"/>
  <c r="AM142" i="123" s="1"/>
  <c r="AN142" i="123" s="1"/>
  <c r="AO142" i="123" s="1"/>
  <c r="AP142" i="123" s="1"/>
  <c r="AQ142" i="123" s="1"/>
  <c r="AR142" i="123" s="1"/>
  <c r="AS142" i="123" s="1"/>
  <c r="AT142" i="123" s="1"/>
  <c r="AU142" i="123" s="1"/>
  <c r="AV142" i="123" s="1"/>
  <c r="AW142" i="123" s="1"/>
  <c r="S166" i="123"/>
  <c r="T166" i="123" s="1"/>
  <c r="U166" i="123" s="1"/>
  <c r="V166" i="123" s="1"/>
  <c r="W166" i="123" s="1"/>
  <c r="X166" i="123" s="1"/>
  <c r="Y166" i="123" s="1"/>
  <c r="Z166" i="123" s="1"/>
  <c r="AA166" i="123" s="1"/>
  <c r="AB166" i="123" s="1"/>
  <c r="AC166" i="123" s="1"/>
  <c r="AD166" i="123" s="1"/>
  <c r="AE166" i="123" s="1"/>
  <c r="AF166" i="123" s="1"/>
  <c r="AG166" i="123" s="1"/>
  <c r="AH166" i="123" s="1"/>
  <c r="AI166" i="123" s="1"/>
  <c r="AJ166" i="123" s="1"/>
  <c r="AK166" i="123" s="1"/>
  <c r="AL166" i="123" s="1"/>
  <c r="AM166" i="123" s="1"/>
  <c r="AN166" i="123" s="1"/>
  <c r="AO166" i="123" s="1"/>
  <c r="AP166" i="123" s="1"/>
  <c r="AQ166" i="123" s="1"/>
  <c r="AR166" i="123" s="1"/>
  <c r="AS166" i="123" s="1"/>
  <c r="AT166" i="123" s="1"/>
  <c r="AU166" i="123" s="1"/>
  <c r="AV166" i="123" s="1"/>
  <c r="AW166" i="123" s="1"/>
  <c r="Q160" i="123"/>
  <c r="H177" i="123"/>
  <c r="Q198" i="123"/>
  <c r="S183" i="123"/>
  <c r="T183" i="123" s="1"/>
  <c r="U183" i="123" s="1"/>
  <c r="V183" i="123" s="1"/>
  <c r="W183" i="123" s="1"/>
  <c r="X183" i="123" s="1"/>
  <c r="Y183" i="123" s="1"/>
  <c r="Z183" i="123" s="1"/>
  <c r="AA183" i="123" s="1"/>
  <c r="AB183" i="123" s="1"/>
  <c r="AC183" i="123" s="1"/>
  <c r="AD183" i="123" s="1"/>
  <c r="AE183" i="123" s="1"/>
  <c r="AF183" i="123" s="1"/>
  <c r="AG183" i="123" s="1"/>
  <c r="AH183" i="123" s="1"/>
  <c r="AI183" i="123" s="1"/>
  <c r="AJ183" i="123" s="1"/>
  <c r="AK183" i="123" s="1"/>
  <c r="AL183" i="123" s="1"/>
  <c r="AM183" i="123" s="1"/>
  <c r="AN183" i="123" s="1"/>
  <c r="AO183" i="123" s="1"/>
  <c r="AP183" i="123" s="1"/>
  <c r="AQ183" i="123" s="1"/>
  <c r="AR183" i="123" s="1"/>
  <c r="AS183" i="123" s="1"/>
  <c r="AT183" i="123" s="1"/>
  <c r="AU183" i="123" s="1"/>
  <c r="AV183" i="123" s="1"/>
  <c r="AW183" i="123" s="1"/>
  <c r="S139" i="123"/>
  <c r="T139" i="123" s="1"/>
  <c r="U139" i="123" s="1"/>
  <c r="V139" i="123" s="1"/>
  <c r="W139" i="123" s="1"/>
  <c r="X139" i="123" s="1"/>
  <c r="Y139" i="123" s="1"/>
  <c r="Z139" i="123" s="1"/>
  <c r="AA139" i="123" s="1"/>
  <c r="AB139" i="123" s="1"/>
  <c r="AC139" i="123" s="1"/>
  <c r="AD139" i="123" s="1"/>
  <c r="AE139" i="123" s="1"/>
  <c r="AF139" i="123" s="1"/>
  <c r="AG139" i="123" s="1"/>
  <c r="AH139" i="123" s="1"/>
  <c r="AI139" i="123" s="1"/>
  <c r="AJ139" i="123" s="1"/>
  <c r="AK139" i="123" s="1"/>
  <c r="AL139" i="123" s="1"/>
  <c r="AM139" i="123" s="1"/>
  <c r="AN139" i="123" s="1"/>
  <c r="AO139" i="123" s="1"/>
  <c r="AP139" i="123" s="1"/>
  <c r="AQ139" i="123" s="1"/>
  <c r="AR139" i="123" s="1"/>
  <c r="AS139" i="123" s="1"/>
  <c r="AT139" i="123" s="1"/>
  <c r="AU139" i="123" s="1"/>
  <c r="AV139" i="123" s="1"/>
  <c r="AW139" i="123" s="1"/>
  <c r="Q216" i="123"/>
  <c r="H233" i="123"/>
  <c r="Q233" i="123" s="1"/>
  <c r="S157" i="123"/>
  <c r="T157" i="123" s="1"/>
  <c r="U157" i="123" s="1"/>
  <c r="V157" i="123" s="1"/>
  <c r="W157" i="123" s="1"/>
  <c r="X157" i="123" s="1"/>
  <c r="Y157" i="123" s="1"/>
  <c r="Z157" i="123" s="1"/>
  <c r="AA157" i="123" s="1"/>
  <c r="AB157" i="123" s="1"/>
  <c r="AC157" i="123" s="1"/>
  <c r="AD157" i="123" s="1"/>
  <c r="AE157" i="123" s="1"/>
  <c r="AF157" i="123" s="1"/>
  <c r="AG157" i="123" s="1"/>
  <c r="AH157" i="123" s="1"/>
  <c r="AI157" i="123" s="1"/>
  <c r="AJ157" i="123" s="1"/>
  <c r="AK157" i="123" s="1"/>
  <c r="AL157" i="123" s="1"/>
  <c r="AM157" i="123" s="1"/>
  <c r="AN157" i="123" s="1"/>
  <c r="AO157" i="123" s="1"/>
  <c r="AP157" i="123" s="1"/>
  <c r="AQ157" i="123" s="1"/>
  <c r="AR157" i="123" s="1"/>
  <c r="AS157" i="123" s="1"/>
  <c r="AT157" i="123" s="1"/>
  <c r="AU157" i="123" s="1"/>
  <c r="AV157" i="123" s="1"/>
  <c r="AW157" i="123" s="1"/>
  <c r="S159" i="123"/>
  <c r="T159" i="123" s="1"/>
  <c r="U159" i="123" s="1"/>
  <c r="V159" i="123" s="1"/>
  <c r="W159" i="123" s="1"/>
  <c r="X159" i="123" s="1"/>
  <c r="Y159" i="123" s="1"/>
  <c r="Z159" i="123" s="1"/>
  <c r="AA159" i="123" s="1"/>
  <c r="AB159" i="123" s="1"/>
  <c r="AC159" i="123" s="1"/>
  <c r="AD159" i="123" s="1"/>
  <c r="AE159" i="123" s="1"/>
  <c r="AF159" i="123" s="1"/>
  <c r="AG159" i="123" s="1"/>
  <c r="AH159" i="123" s="1"/>
  <c r="AI159" i="123" s="1"/>
  <c r="AJ159" i="123" s="1"/>
  <c r="AK159" i="123" s="1"/>
  <c r="AL159" i="123" s="1"/>
  <c r="AM159" i="123" s="1"/>
  <c r="AN159" i="123" s="1"/>
  <c r="AO159" i="123" s="1"/>
  <c r="AP159" i="123" s="1"/>
  <c r="AQ159" i="123" s="1"/>
  <c r="AR159" i="123" s="1"/>
  <c r="AS159" i="123" s="1"/>
  <c r="AT159" i="123" s="1"/>
  <c r="AU159" i="123" s="1"/>
  <c r="AV159" i="123" s="1"/>
  <c r="AW159" i="123" s="1"/>
  <c r="S141" i="123"/>
  <c r="T141" i="123" s="1"/>
  <c r="U141" i="123" s="1"/>
  <c r="V141" i="123" s="1"/>
  <c r="W141" i="123" s="1"/>
  <c r="X141" i="123" s="1"/>
  <c r="Y141" i="123" s="1"/>
  <c r="Z141" i="123" s="1"/>
  <c r="AA141" i="123" s="1"/>
  <c r="AB141" i="123" s="1"/>
  <c r="AC141" i="123" s="1"/>
  <c r="AD141" i="123" s="1"/>
  <c r="AE141" i="123" s="1"/>
  <c r="AF141" i="123" s="1"/>
  <c r="AG141" i="123" s="1"/>
  <c r="AH141" i="123" s="1"/>
  <c r="AI141" i="123" s="1"/>
  <c r="AJ141" i="123" s="1"/>
  <c r="AK141" i="123" s="1"/>
  <c r="AL141" i="123" s="1"/>
  <c r="AM141" i="123" s="1"/>
  <c r="AN141" i="123" s="1"/>
  <c r="AO141" i="123" s="1"/>
  <c r="AP141" i="123" s="1"/>
  <c r="AQ141" i="123" s="1"/>
  <c r="AR141" i="123" s="1"/>
  <c r="AS141" i="123" s="1"/>
  <c r="AT141" i="123" s="1"/>
  <c r="AU141" i="123" s="1"/>
  <c r="AV141" i="123" s="1"/>
  <c r="AW141" i="123" s="1"/>
  <c r="Q176" i="123"/>
  <c r="H195" i="123"/>
  <c r="S165" i="123"/>
  <c r="T165" i="123" s="1"/>
  <c r="U165" i="123" s="1"/>
  <c r="V165" i="123" s="1"/>
  <c r="W165" i="123" s="1"/>
  <c r="X165" i="123" s="1"/>
  <c r="Y165" i="123" s="1"/>
  <c r="Z165" i="123" s="1"/>
  <c r="AA165" i="123" s="1"/>
  <c r="AB165" i="123" s="1"/>
  <c r="AC165" i="123" s="1"/>
  <c r="AD165" i="123" s="1"/>
  <c r="AE165" i="123" s="1"/>
  <c r="AF165" i="123" s="1"/>
  <c r="AG165" i="123" s="1"/>
  <c r="AH165" i="123" s="1"/>
  <c r="AI165" i="123" s="1"/>
  <c r="AJ165" i="123" s="1"/>
  <c r="AK165" i="123" s="1"/>
  <c r="AL165" i="123" s="1"/>
  <c r="AM165" i="123" s="1"/>
  <c r="AN165" i="123" s="1"/>
  <c r="AO165" i="123" s="1"/>
  <c r="AP165" i="123" s="1"/>
  <c r="AQ165" i="123" s="1"/>
  <c r="AR165" i="123" s="1"/>
  <c r="AS165" i="123" s="1"/>
  <c r="AT165" i="123" s="1"/>
  <c r="AU165" i="123" s="1"/>
  <c r="AV165" i="123" s="1"/>
  <c r="AW165" i="123" s="1"/>
  <c r="S182" i="123"/>
  <c r="T182" i="123" s="1"/>
  <c r="U182" i="123" s="1"/>
  <c r="V182" i="123" s="1"/>
  <c r="W182" i="123" s="1"/>
  <c r="X182" i="123" s="1"/>
  <c r="Y182" i="123" s="1"/>
  <c r="Z182" i="123" s="1"/>
  <c r="AA182" i="123" s="1"/>
  <c r="AB182" i="123" s="1"/>
  <c r="AC182" i="123" s="1"/>
  <c r="AD182" i="123" s="1"/>
  <c r="AE182" i="123" s="1"/>
  <c r="AF182" i="123" s="1"/>
  <c r="AG182" i="123" s="1"/>
  <c r="AH182" i="123" s="1"/>
  <c r="AI182" i="123" s="1"/>
  <c r="AJ182" i="123" s="1"/>
  <c r="AK182" i="123" s="1"/>
  <c r="AL182" i="123" s="1"/>
  <c r="AM182" i="123" s="1"/>
  <c r="AN182" i="123" s="1"/>
  <c r="AO182" i="123" s="1"/>
  <c r="AP182" i="123" s="1"/>
  <c r="AQ182" i="123" s="1"/>
  <c r="AR182" i="123" s="1"/>
  <c r="AS182" i="123" s="1"/>
  <c r="AT182" i="123" s="1"/>
  <c r="AU182" i="123" s="1"/>
  <c r="AV182" i="123" s="1"/>
  <c r="AW182" i="123" s="1"/>
  <c r="H175" i="123"/>
  <c r="Q158" i="123"/>
  <c r="S146" i="123"/>
  <c r="T146" i="123" s="1"/>
  <c r="U146" i="123" s="1"/>
  <c r="V146" i="123" s="1"/>
  <c r="W146" i="123" s="1"/>
  <c r="X146" i="123" s="1"/>
  <c r="Y146" i="123" s="1"/>
  <c r="Z146" i="123" s="1"/>
  <c r="AA146" i="123" s="1"/>
  <c r="AB146" i="123" s="1"/>
  <c r="AC146" i="123" s="1"/>
  <c r="AD146" i="123" s="1"/>
  <c r="AE146" i="123" s="1"/>
  <c r="AF146" i="123" s="1"/>
  <c r="AG146" i="123" s="1"/>
  <c r="AH146" i="123" s="1"/>
  <c r="AI146" i="123" s="1"/>
  <c r="AJ146" i="123" s="1"/>
  <c r="AK146" i="123" s="1"/>
  <c r="AL146" i="123" s="1"/>
  <c r="AM146" i="123" s="1"/>
  <c r="AN146" i="123" s="1"/>
  <c r="AO146" i="123" s="1"/>
  <c r="AP146" i="123" s="1"/>
  <c r="AQ146" i="123" s="1"/>
  <c r="AR146" i="123" s="1"/>
  <c r="AS146" i="123" s="1"/>
  <c r="AT146" i="123" s="1"/>
  <c r="AU146" i="123" s="1"/>
  <c r="AV146" i="123" s="1"/>
  <c r="AW146" i="123" s="1"/>
  <c r="S140" i="123"/>
  <c r="T140" i="123" s="1"/>
  <c r="U140" i="123" s="1"/>
  <c r="V140" i="123" s="1"/>
  <c r="W140" i="123" s="1"/>
  <c r="X140" i="123" s="1"/>
  <c r="Y140" i="123" s="1"/>
  <c r="Z140" i="123" s="1"/>
  <c r="AA140" i="123" s="1"/>
  <c r="AB140" i="123" s="1"/>
  <c r="AC140" i="123" s="1"/>
  <c r="AD140" i="123" s="1"/>
  <c r="AE140" i="123" s="1"/>
  <c r="AF140" i="123" s="1"/>
  <c r="AG140" i="123" s="1"/>
  <c r="AH140" i="123" s="1"/>
  <c r="AI140" i="123" s="1"/>
  <c r="AJ140" i="123" s="1"/>
  <c r="AK140" i="123" s="1"/>
  <c r="AL140" i="123" s="1"/>
  <c r="AM140" i="123" s="1"/>
  <c r="AN140" i="123" s="1"/>
  <c r="AO140" i="123" s="1"/>
  <c r="AP140" i="123" s="1"/>
  <c r="AQ140" i="123" s="1"/>
  <c r="AR140" i="123" s="1"/>
  <c r="AS140" i="123" s="1"/>
  <c r="AT140" i="123" s="1"/>
  <c r="AU140" i="123" s="1"/>
  <c r="AV140" i="123" s="1"/>
  <c r="AW140" i="123" s="1"/>
  <c r="T18" i="123" l="1"/>
  <c r="I9" i="78"/>
  <c r="L19" i="123" a="1"/>
  <c r="L19" i="123" s="1"/>
  <c r="M19" i="123" a="1"/>
  <c r="M19" i="123" s="1"/>
  <c r="N19" i="123" a="1"/>
  <c r="N19" i="123" s="1"/>
  <c r="O19" i="123" a="1"/>
  <c r="O19" i="123" s="1"/>
  <c r="P19" i="123" a="1"/>
  <c r="P19" i="123" s="1"/>
  <c r="I19" i="123" a="1"/>
  <c r="I19" i="123" s="1"/>
  <c r="J19" i="123" a="1"/>
  <c r="J19" i="123" s="1"/>
  <c r="K19" i="123" a="1"/>
  <c r="K19" i="123" s="1"/>
  <c r="D232" i="123"/>
  <c r="C231" i="123"/>
  <c r="D215" i="123"/>
  <c r="C214" i="123"/>
  <c r="D197" i="123"/>
  <c r="C196" i="123"/>
  <c r="D178" i="123"/>
  <c r="C177" i="123"/>
  <c r="C160" i="123"/>
  <c r="D161" i="123"/>
  <c r="D122" i="123"/>
  <c r="C121" i="123"/>
  <c r="D143" i="123"/>
  <c r="C142" i="123"/>
  <c r="C20" i="123"/>
  <c r="F20" i="123" s="1"/>
  <c r="D21" i="123"/>
  <c r="S160" i="123"/>
  <c r="T160" i="123" s="1"/>
  <c r="U160" i="123" s="1"/>
  <c r="V160" i="123" s="1"/>
  <c r="W160" i="123" s="1"/>
  <c r="X160" i="123" s="1"/>
  <c r="Y160" i="123" s="1"/>
  <c r="Z160" i="123" s="1"/>
  <c r="AA160" i="123" s="1"/>
  <c r="AB160" i="123" s="1"/>
  <c r="AC160" i="123" s="1"/>
  <c r="AD160" i="123" s="1"/>
  <c r="AE160" i="123" s="1"/>
  <c r="AF160" i="123" s="1"/>
  <c r="AG160" i="123" s="1"/>
  <c r="AH160" i="123" s="1"/>
  <c r="AI160" i="123" s="1"/>
  <c r="AJ160" i="123" s="1"/>
  <c r="AK160" i="123" s="1"/>
  <c r="AL160" i="123" s="1"/>
  <c r="AM160" i="123" s="1"/>
  <c r="AN160" i="123" s="1"/>
  <c r="AO160" i="123" s="1"/>
  <c r="AP160" i="123" s="1"/>
  <c r="AQ160" i="123" s="1"/>
  <c r="AR160" i="123" s="1"/>
  <c r="AS160" i="123" s="1"/>
  <c r="AT160" i="123" s="1"/>
  <c r="AU160" i="123" s="1"/>
  <c r="AV160" i="123" s="1"/>
  <c r="AW160" i="123" s="1"/>
  <c r="S158" i="123"/>
  <c r="T158" i="123" s="1"/>
  <c r="U158" i="123" s="1"/>
  <c r="V158" i="123" s="1"/>
  <c r="W158" i="123" s="1"/>
  <c r="X158" i="123" s="1"/>
  <c r="Y158" i="123" s="1"/>
  <c r="Z158" i="123" s="1"/>
  <c r="AA158" i="123" s="1"/>
  <c r="AB158" i="123" s="1"/>
  <c r="AC158" i="123" s="1"/>
  <c r="AD158" i="123" s="1"/>
  <c r="AE158" i="123" s="1"/>
  <c r="AF158" i="123" s="1"/>
  <c r="AG158" i="123" s="1"/>
  <c r="AH158" i="123" s="1"/>
  <c r="AI158" i="123" s="1"/>
  <c r="AJ158" i="123" s="1"/>
  <c r="AK158" i="123" s="1"/>
  <c r="AL158" i="123" s="1"/>
  <c r="AM158" i="123" s="1"/>
  <c r="AN158" i="123" s="1"/>
  <c r="AO158" i="123" s="1"/>
  <c r="AP158" i="123" s="1"/>
  <c r="AQ158" i="123" s="1"/>
  <c r="AR158" i="123" s="1"/>
  <c r="AS158" i="123" s="1"/>
  <c r="AT158" i="123" s="1"/>
  <c r="AU158" i="123" s="1"/>
  <c r="AV158" i="123" s="1"/>
  <c r="AW158" i="123" s="1"/>
  <c r="H194" i="123"/>
  <c r="H19" i="123" s="1" a="1"/>
  <c r="H19" i="123" s="1"/>
  <c r="Q175" i="123"/>
  <c r="S233" i="123"/>
  <c r="T233" i="123" s="1"/>
  <c r="U233" i="123" s="1"/>
  <c r="V233" i="123" s="1"/>
  <c r="W233" i="123" s="1"/>
  <c r="X233" i="123" s="1"/>
  <c r="Y233" i="123" s="1"/>
  <c r="Z233" i="123" s="1"/>
  <c r="AA233" i="123" s="1"/>
  <c r="AB233" i="123" s="1"/>
  <c r="AC233" i="123" s="1"/>
  <c r="AD233" i="123" s="1"/>
  <c r="AE233" i="123" s="1"/>
  <c r="AF233" i="123" s="1"/>
  <c r="AG233" i="123" s="1"/>
  <c r="AH233" i="123" s="1"/>
  <c r="AI233" i="123" s="1"/>
  <c r="AJ233" i="123" s="1"/>
  <c r="AK233" i="123" s="1"/>
  <c r="AL233" i="123" s="1"/>
  <c r="AM233" i="123" s="1"/>
  <c r="AN233" i="123" s="1"/>
  <c r="AO233" i="123" s="1"/>
  <c r="AP233" i="123" s="1"/>
  <c r="AQ233" i="123" s="1"/>
  <c r="AR233" i="123" s="1"/>
  <c r="AS233" i="123" s="1"/>
  <c r="AT233" i="123" s="1"/>
  <c r="AU233" i="123" s="1"/>
  <c r="AV233" i="123" s="1"/>
  <c r="AW233" i="123" s="1"/>
  <c r="H213" i="123"/>
  <c r="Q195" i="123"/>
  <c r="S216" i="123"/>
  <c r="T216" i="123" s="1"/>
  <c r="U216" i="123" s="1"/>
  <c r="V216" i="123" s="1"/>
  <c r="W216" i="123" s="1"/>
  <c r="X216" i="123" s="1"/>
  <c r="Y216" i="123" s="1"/>
  <c r="Z216" i="123" s="1"/>
  <c r="AA216" i="123" s="1"/>
  <c r="AB216" i="123" s="1"/>
  <c r="AC216" i="123" s="1"/>
  <c r="AD216" i="123" s="1"/>
  <c r="AE216" i="123" s="1"/>
  <c r="AF216" i="123" s="1"/>
  <c r="AG216" i="123" s="1"/>
  <c r="AH216" i="123" s="1"/>
  <c r="AI216" i="123" s="1"/>
  <c r="AJ216" i="123" s="1"/>
  <c r="AK216" i="123" s="1"/>
  <c r="AL216" i="123" s="1"/>
  <c r="AM216" i="123" s="1"/>
  <c r="AN216" i="123" s="1"/>
  <c r="AO216" i="123" s="1"/>
  <c r="AP216" i="123" s="1"/>
  <c r="AQ216" i="123" s="1"/>
  <c r="AR216" i="123" s="1"/>
  <c r="AS216" i="123" s="1"/>
  <c r="AT216" i="123" s="1"/>
  <c r="AU216" i="123" s="1"/>
  <c r="AV216" i="123" s="1"/>
  <c r="AW216" i="123" s="1"/>
  <c r="S176" i="123"/>
  <c r="T176" i="123" s="1"/>
  <c r="U176" i="123" s="1"/>
  <c r="V176" i="123" s="1"/>
  <c r="W176" i="123" s="1"/>
  <c r="X176" i="123" s="1"/>
  <c r="Y176" i="123" s="1"/>
  <c r="Z176" i="123" s="1"/>
  <c r="AA176" i="123" s="1"/>
  <c r="AB176" i="123" s="1"/>
  <c r="AC176" i="123" s="1"/>
  <c r="AD176" i="123" s="1"/>
  <c r="AE176" i="123" s="1"/>
  <c r="AF176" i="123" s="1"/>
  <c r="AG176" i="123" s="1"/>
  <c r="AH176" i="123" s="1"/>
  <c r="AI176" i="123" s="1"/>
  <c r="AJ176" i="123" s="1"/>
  <c r="AK176" i="123" s="1"/>
  <c r="AL176" i="123" s="1"/>
  <c r="AM176" i="123" s="1"/>
  <c r="AN176" i="123" s="1"/>
  <c r="AO176" i="123" s="1"/>
  <c r="AP176" i="123" s="1"/>
  <c r="AQ176" i="123" s="1"/>
  <c r="AR176" i="123" s="1"/>
  <c r="AS176" i="123" s="1"/>
  <c r="AT176" i="123" s="1"/>
  <c r="AU176" i="123" s="1"/>
  <c r="AV176" i="123" s="1"/>
  <c r="AW176" i="123" s="1"/>
  <c r="S198" i="123"/>
  <c r="T198" i="123" s="1"/>
  <c r="U198" i="123" s="1"/>
  <c r="V198" i="123" s="1"/>
  <c r="W198" i="123" s="1"/>
  <c r="X198" i="123" s="1"/>
  <c r="Y198" i="123" s="1"/>
  <c r="Z198" i="123" s="1"/>
  <c r="AA198" i="123" s="1"/>
  <c r="AB198" i="123" s="1"/>
  <c r="AC198" i="123" s="1"/>
  <c r="AD198" i="123" s="1"/>
  <c r="AE198" i="123" s="1"/>
  <c r="AF198" i="123" s="1"/>
  <c r="AG198" i="123" s="1"/>
  <c r="AH198" i="123" s="1"/>
  <c r="AI198" i="123" s="1"/>
  <c r="AJ198" i="123" s="1"/>
  <c r="AK198" i="123" s="1"/>
  <c r="AL198" i="123" s="1"/>
  <c r="AM198" i="123" s="1"/>
  <c r="AN198" i="123" s="1"/>
  <c r="AO198" i="123" s="1"/>
  <c r="AP198" i="123" s="1"/>
  <c r="AQ198" i="123" s="1"/>
  <c r="AR198" i="123" s="1"/>
  <c r="AS198" i="123" s="1"/>
  <c r="AT198" i="123" s="1"/>
  <c r="AU198" i="123" s="1"/>
  <c r="AV198" i="123" s="1"/>
  <c r="AW198" i="123" s="1"/>
  <c r="S164" i="123"/>
  <c r="T164" i="123" s="1"/>
  <c r="U164" i="123" s="1"/>
  <c r="V164" i="123" s="1"/>
  <c r="W164" i="123" s="1"/>
  <c r="X164" i="123" s="1"/>
  <c r="Y164" i="123" s="1"/>
  <c r="Z164" i="123" s="1"/>
  <c r="AA164" i="123" s="1"/>
  <c r="AB164" i="123" s="1"/>
  <c r="AC164" i="123" s="1"/>
  <c r="AD164" i="123" s="1"/>
  <c r="AE164" i="123" s="1"/>
  <c r="AF164" i="123" s="1"/>
  <c r="AG164" i="123" s="1"/>
  <c r="AH164" i="123" s="1"/>
  <c r="AI164" i="123" s="1"/>
  <c r="AJ164" i="123" s="1"/>
  <c r="AK164" i="123" s="1"/>
  <c r="AL164" i="123" s="1"/>
  <c r="AM164" i="123" s="1"/>
  <c r="AN164" i="123" s="1"/>
  <c r="AO164" i="123" s="1"/>
  <c r="AP164" i="123" s="1"/>
  <c r="AQ164" i="123" s="1"/>
  <c r="AR164" i="123" s="1"/>
  <c r="AS164" i="123" s="1"/>
  <c r="AT164" i="123" s="1"/>
  <c r="AU164" i="123" s="1"/>
  <c r="AV164" i="123" s="1"/>
  <c r="AW164" i="123" s="1"/>
  <c r="H196" i="123"/>
  <c r="Q177" i="123"/>
  <c r="H200" i="123"/>
  <c r="Q181" i="123"/>
  <c r="S174" i="123"/>
  <c r="T174" i="123" s="1"/>
  <c r="U174" i="123" s="1"/>
  <c r="V174" i="123" s="1"/>
  <c r="W174" i="123" s="1"/>
  <c r="X174" i="123" s="1"/>
  <c r="Y174" i="123" s="1"/>
  <c r="Z174" i="123" s="1"/>
  <c r="AA174" i="123" s="1"/>
  <c r="AB174" i="123" s="1"/>
  <c r="AC174" i="123" s="1"/>
  <c r="AD174" i="123" s="1"/>
  <c r="AE174" i="123" s="1"/>
  <c r="AF174" i="123" s="1"/>
  <c r="AG174" i="123" s="1"/>
  <c r="AH174" i="123" s="1"/>
  <c r="AI174" i="123" s="1"/>
  <c r="AJ174" i="123" s="1"/>
  <c r="AK174" i="123" s="1"/>
  <c r="AL174" i="123" s="1"/>
  <c r="AM174" i="123" s="1"/>
  <c r="AN174" i="123" s="1"/>
  <c r="AO174" i="123" s="1"/>
  <c r="AP174" i="123" s="1"/>
  <c r="AQ174" i="123" s="1"/>
  <c r="AR174" i="123" s="1"/>
  <c r="AS174" i="123" s="1"/>
  <c r="AT174" i="123" s="1"/>
  <c r="AU174" i="123" s="1"/>
  <c r="AV174" i="123" s="1"/>
  <c r="AW174" i="123" s="1"/>
  <c r="I211" i="123"/>
  <c r="Q193" i="123"/>
  <c r="U18" i="123" l="1"/>
  <c r="J9" i="78"/>
  <c r="Q19" i="123"/>
  <c r="S19" i="123" s="1"/>
  <c r="K20" i="123" a="1"/>
  <c r="K20" i="123" s="1"/>
  <c r="L20" i="123" a="1"/>
  <c r="L20" i="123" s="1"/>
  <c r="M20" i="123" a="1"/>
  <c r="M20" i="123" s="1"/>
  <c r="N20" i="123" a="1"/>
  <c r="N20" i="123" s="1"/>
  <c r="O20" i="123" a="1"/>
  <c r="O20" i="123" s="1"/>
  <c r="H20" i="123" a="1"/>
  <c r="H20" i="123" s="1"/>
  <c r="P20" i="123" a="1"/>
  <c r="P20" i="123" s="1"/>
  <c r="I20" i="123" a="1"/>
  <c r="I20" i="123" s="1"/>
  <c r="J20" i="123" a="1"/>
  <c r="J20" i="123" s="1"/>
  <c r="D233" i="123"/>
  <c r="C232" i="123"/>
  <c r="D216" i="123"/>
  <c r="C215" i="123"/>
  <c r="D198" i="123"/>
  <c r="C197" i="123"/>
  <c r="D179" i="123"/>
  <c r="C178" i="123"/>
  <c r="D162" i="123"/>
  <c r="C161" i="123"/>
  <c r="D123" i="123"/>
  <c r="C122" i="123"/>
  <c r="D144" i="123"/>
  <c r="C143" i="123"/>
  <c r="D22" i="123"/>
  <c r="C21" i="123"/>
  <c r="F21" i="123" s="1"/>
  <c r="H230" i="123"/>
  <c r="Q230" i="123" s="1"/>
  <c r="Q213" i="123"/>
  <c r="S195" i="123"/>
  <c r="T195" i="123" s="1"/>
  <c r="U195" i="123" s="1"/>
  <c r="V195" i="123" s="1"/>
  <c r="W195" i="123" s="1"/>
  <c r="X195" i="123" s="1"/>
  <c r="Y195" i="123" s="1"/>
  <c r="Z195" i="123" s="1"/>
  <c r="AA195" i="123" s="1"/>
  <c r="AB195" i="123" s="1"/>
  <c r="AC195" i="123" s="1"/>
  <c r="AD195" i="123" s="1"/>
  <c r="AE195" i="123" s="1"/>
  <c r="AF195" i="123" s="1"/>
  <c r="AG195" i="123" s="1"/>
  <c r="AH195" i="123" s="1"/>
  <c r="AI195" i="123" s="1"/>
  <c r="AJ195" i="123" s="1"/>
  <c r="AK195" i="123" s="1"/>
  <c r="AL195" i="123" s="1"/>
  <c r="AM195" i="123" s="1"/>
  <c r="AN195" i="123" s="1"/>
  <c r="AO195" i="123" s="1"/>
  <c r="AP195" i="123" s="1"/>
  <c r="AQ195" i="123" s="1"/>
  <c r="AR195" i="123" s="1"/>
  <c r="AS195" i="123" s="1"/>
  <c r="AT195" i="123" s="1"/>
  <c r="AU195" i="123" s="1"/>
  <c r="AV195" i="123" s="1"/>
  <c r="AW195" i="123" s="1"/>
  <c r="H212" i="123"/>
  <c r="Q194" i="123"/>
  <c r="S177" i="123"/>
  <c r="T177" i="123" s="1"/>
  <c r="U177" i="123" s="1"/>
  <c r="V177" i="123" s="1"/>
  <c r="W177" i="123" s="1"/>
  <c r="X177" i="123" s="1"/>
  <c r="Y177" i="123" s="1"/>
  <c r="Z177" i="123" s="1"/>
  <c r="AA177" i="123" s="1"/>
  <c r="AB177" i="123" s="1"/>
  <c r="AC177" i="123" s="1"/>
  <c r="AD177" i="123" s="1"/>
  <c r="AE177" i="123" s="1"/>
  <c r="AF177" i="123" s="1"/>
  <c r="AG177" i="123" s="1"/>
  <c r="AH177" i="123" s="1"/>
  <c r="AI177" i="123" s="1"/>
  <c r="AJ177" i="123" s="1"/>
  <c r="AK177" i="123" s="1"/>
  <c r="AL177" i="123" s="1"/>
  <c r="AM177" i="123" s="1"/>
  <c r="AN177" i="123" s="1"/>
  <c r="AO177" i="123" s="1"/>
  <c r="AP177" i="123" s="1"/>
  <c r="AQ177" i="123" s="1"/>
  <c r="AR177" i="123" s="1"/>
  <c r="AS177" i="123" s="1"/>
  <c r="AT177" i="123" s="1"/>
  <c r="AU177" i="123" s="1"/>
  <c r="AV177" i="123" s="1"/>
  <c r="AW177" i="123" s="1"/>
  <c r="S181" i="123"/>
  <c r="T181" i="123" s="1"/>
  <c r="U181" i="123" s="1"/>
  <c r="V181" i="123" s="1"/>
  <c r="W181" i="123" s="1"/>
  <c r="X181" i="123" s="1"/>
  <c r="Y181" i="123" s="1"/>
  <c r="Z181" i="123" s="1"/>
  <c r="AA181" i="123" s="1"/>
  <c r="AB181" i="123" s="1"/>
  <c r="AC181" i="123" s="1"/>
  <c r="AD181" i="123" s="1"/>
  <c r="AE181" i="123" s="1"/>
  <c r="AF181" i="123" s="1"/>
  <c r="AG181" i="123" s="1"/>
  <c r="AH181" i="123" s="1"/>
  <c r="AI181" i="123" s="1"/>
  <c r="AJ181" i="123" s="1"/>
  <c r="AK181" i="123" s="1"/>
  <c r="AL181" i="123" s="1"/>
  <c r="AM181" i="123" s="1"/>
  <c r="AN181" i="123" s="1"/>
  <c r="AO181" i="123" s="1"/>
  <c r="AP181" i="123" s="1"/>
  <c r="AQ181" i="123" s="1"/>
  <c r="AR181" i="123" s="1"/>
  <c r="AS181" i="123" s="1"/>
  <c r="AT181" i="123" s="1"/>
  <c r="AU181" i="123" s="1"/>
  <c r="AV181" i="123" s="1"/>
  <c r="AW181" i="123" s="1"/>
  <c r="H218" i="123"/>
  <c r="Q200" i="123"/>
  <c r="S193" i="123"/>
  <c r="T193" i="123" s="1"/>
  <c r="U193" i="123" s="1"/>
  <c r="V193" i="123" s="1"/>
  <c r="W193" i="123" s="1"/>
  <c r="X193" i="123" s="1"/>
  <c r="Y193" i="123" s="1"/>
  <c r="Z193" i="123" s="1"/>
  <c r="AA193" i="123" s="1"/>
  <c r="AB193" i="123" s="1"/>
  <c r="AC193" i="123" s="1"/>
  <c r="AD193" i="123" s="1"/>
  <c r="AE193" i="123" s="1"/>
  <c r="AF193" i="123" s="1"/>
  <c r="AG193" i="123" s="1"/>
  <c r="AH193" i="123" s="1"/>
  <c r="AI193" i="123" s="1"/>
  <c r="AJ193" i="123" s="1"/>
  <c r="AK193" i="123" s="1"/>
  <c r="AL193" i="123" s="1"/>
  <c r="AM193" i="123" s="1"/>
  <c r="AN193" i="123" s="1"/>
  <c r="AO193" i="123" s="1"/>
  <c r="AP193" i="123" s="1"/>
  <c r="AQ193" i="123" s="1"/>
  <c r="AR193" i="123" s="1"/>
  <c r="AS193" i="123" s="1"/>
  <c r="AT193" i="123" s="1"/>
  <c r="AU193" i="123" s="1"/>
  <c r="AV193" i="123" s="1"/>
  <c r="AW193" i="123" s="1"/>
  <c r="H214" i="123"/>
  <c r="Q196" i="123"/>
  <c r="I228" i="123"/>
  <c r="Q228" i="123" s="1"/>
  <c r="Q211" i="123"/>
  <c r="S175" i="123"/>
  <c r="T175" i="123" s="1"/>
  <c r="U175" i="123" s="1"/>
  <c r="V175" i="123" s="1"/>
  <c r="W175" i="123" s="1"/>
  <c r="X175" i="123" s="1"/>
  <c r="Y175" i="123" s="1"/>
  <c r="Z175" i="123" s="1"/>
  <c r="AA175" i="123" s="1"/>
  <c r="AB175" i="123" s="1"/>
  <c r="AC175" i="123" s="1"/>
  <c r="AD175" i="123" s="1"/>
  <c r="AE175" i="123" s="1"/>
  <c r="AF175" i="123" s="1"/>
  <c r="AG175" i="123" s="1"/>
  <c r="AH175" i="123" s="1"/>
  <c r="AI175" i="123" s="1"/>
  <c r="AJ175" i="123" s="1"/>
  <c r="AK175" i="123" s="1"/>
  <c r="AL175" i="123" s="1"/>
  <c r="AM175" i="123" s="1"/>
  <c r="AN175" i="123" s="1"/>
  <c r="AO175" i="123" s="1"/>
  <c r="AP175" i="123" s="1"/>
  <c r="AQ175" i="123" s="1"/>
  <c r="AR175" i="123" s="1"/>
  <c r="AS175" i="123" s="1"/>
  <c r="AT175" i="123" s="1"/>
  <c r="AU175" i="123" s="1"/>
  <c r="AV175" i="123" s="1"/>
  <c r="AW175" i="123" s="1"/>
  <c r="V18" i="123" l="1"/>
  <c r="K9" i="78"/>
  <c r="T19" i="123"/>
  <c r="I10" i="78"/>
  <c r="Q20" i="123"/>
  <c r="S20" i="123" s="1"/>
  <c r="N21" i="123" a="1"/>
  <c r="N21" i="123" s="1"/>
  <c r="O21" i="123" a="1"/>
  <c r="O21" i="123" s="1"/>
  <c r="P21" i="123" a="1"/>
  <c r="P21" i="123" s="1"/>
  <c r="I21" i="123" a="1"/>
  <c r="I21" i="123" s="1"/>
  <c r="H21" i="123" a="1"/>
  <c r="H21" i="123" s="1"/>
  <c r="J21" i="123" a="1"/>
  <c r="J21" i="123" s="1"/>
  <c r="K21" i="123" a="1"/>
  <c r="K21" i="123" s="1"/>
  <c r="L21" i="123" a="1"/>
  <c r="L21" i="123" s="1"/>
  <c r="M21" i="123" a="1"/>
  <c r="M21" i="123" s="1"/>
  <c r="D234" i="123"/>
  <c r="C233" i="123"/>
  <c r="D217" i="123"/>
  <c r="C216" i="123"/>
  <c r="D199" i="123"/>
  <c r="C198" i="123"/>
  <c r="D180" i="123"/>
  <c r="C179" i="123"/>
  <c r="D163" i="123"/>
  <c r="C162" i="123"/>
  <c r="D124" i="123"/>
  <c r="C123" i="123"/>
  <c r="D145" i="123"/>
  <c r="C144" i="123"/>
  <c r="D23" i="123"/>
  <c r="C22" i="123"/>
  <c r="F22" i="123" s="1"/>
  <c r="S196" i="123"/>
  <c r="T196" i="123" s="1"/>
  <c r="U196" i="123" s="1"/>
  <c r="V196" i="123" s="1"/>
  <c r="W196" i="123" s="1"/>
  <c r="X196" i="123" s="1"/>
  <c r="Y196" i="123" s="1"/>
  <c r="Z196" i="123" s="1"/>
  <c r="AA196" i="123" s="1"/>
  <c r="AB196" i="123" s="1"/>
  <c r="AC196" i="123" s="1"/>
  <c r="AD196" i="123" s="1"/>
  <c r="AE196" i="123" s="1"/>
  <c r="AF196" i="123" s="1"/>
  <c r="AG196" i="123" s="1"/>
  <c r="AH196" i="123" s="1"/>
  <c r="AI196" i="123" s="1"/>
  <c r="AJ196" i="123" s="1"/>
  <c r="AK196" i="123" s="1"/>
  <c r="AL196" i="123" s="1"/>
  <c r="AM196" i="123" s="1"/>
  <c r="AN196" i="123" s="1"/>
  <c r="AO196" i="123" s="1"/>
  <c r="AP196" i="123" s="1"/>
  <c r="AQ196" i="123" s="1"/>
  <c r="AR196" i="123" s="1"/>
  <c r="AS196" i="123" s="1"/>
  <c r="AT196" i="123" s="1"/>
  <c r="AU196" i="123" s="1"/>
  <c r="AV196" i="123" s="1"/>
  <c r="AW196" i="123" s="1"/>
  <c r="S200" i="123"/>
  <c r="T200" i="123" s="1"/>
  <c r="U200" i="123" s="1"/>
  <c r="V200" i="123" s="1"/>
  <c r="W200" i="123" s="1"/>
  <c r="X200" i="123" s="1"/>
  <c r="Y200" i="123" s="1"/>
  <c r="Z200" i="123" s="1"/>
  <c r="AA200" i="123" s="1"/>
  <c r="AB200" i="123" s="1"/>
  <c r="AC200" i="123" s="1"/>
  <c r="AD200" i="123" s="1"/>
  <c r="AE200" i="123" s="1"/>
  <c r="AF200" i="123" s="1"/>
  <c r="AG200" i="123" s="1"/>
  <c r="AH200" i="123" s="1"/>
  <c r="AI200" i="123" s="1"/>
  <c r="AJ200" i="123" s="1"/>
  <c r="AK200" i="123" s="1"/>
  <c r="AL200" i="123" s="1"/>
  <c r="AM200" i="123" s="1"/>
  <c r="AN200" i="123" s="1"/>
  <c r="AO200" i="123" s="1"/>
  <c r="AP200" i="123" s="1"/>
  <c r="AQ200" i="123" s="1"/>
  <c r="AR200" i="123" s="1"/>
  <c r="AS200" i="123" s="1"/>
  <c r="AT200" i="123" s="1"/>
  <c r="AU200" i="123" s="1"/>
  <c r="AV200" i="123" s="1"/>
  <c r="AW200" i="123" s="1"/>
  <c r="Q214" i="123"/>
  <c r="H231" i="123"/>
  <c r="Q231" i="123" s="1"/>
  <c r="T194" i="123"/>
  <c r="U194" i="123" s="1"/>
  <c r="V194" i="123" s="1"/>
  <c r="W194" i="123" s="1"/>
  <c r="X194" i="123" s="1"/>
  <c r="Y194" i="123" s="1"/>
  <c r="Z194" i="123" s="1"/>
  <c r="AA194" i="123" s="1"/>
  <c r="AB194" i="123" s="1"/>
  <c r="AC194" i="123" s="1"/>
  <c r="AD194" i="123" s="1"/>
  <c r="AE194" i="123" s="1"/>
  <c r="AF194" i="123" s="1"/>
  <c r="AG194" i="123" s="1"/>
  <c r="AH194" i="123" s="1"/>
  <c r="AI194" i="123" s="1"/>
  <c r="AJ194" i="123" s="1"/>
  <c r="AK194" i="123" s="1"/>
  <c r="AL194" i="123" s="1"/>
  <c r="AM194" i="123" s="1"/>
  <c r="AN194" i="123" s="1"/>
  <c r="AO194" i="123" s="1"/>
  <c r="AP194" i="123" s="1"/>
  <c r="AQ194" i="123" s="1"/>
  <c r="AR194" i="123" s="1"/>
  <c r="AS194" i="123" s="1"/>
  <c r="AT194" i="123" s="1"/>
  <c r="AU194" i="123" s="1"/>
  <c r="AV194" i="123" s="1"/>
  <c r="AW194" i="123" s="1"/>
  <c r="S194" i="123"/>
  <c r="H229" i="123"/>
  <c r="Q229" i="123" s="1"/>
  <c r="Q212" i="123"/>
  <c r="Q218" i="123"/>
  <c r="H235" i="123"/>
  <c r="Q235" i="123" s="1"/>
  <c r="S211" i="123"/>
  <c r="T211" i="123" s="1"/>
  <c r="U211" i="123" s="1"/>
  <c r="V211" i="123" s="1"/>
  <c r="W211" i="123" s="1"/>
  <c r="X211" i="123" s="1"/>
  <c r="Y211" i="123" s="1"/>
  <c r="Z211" i="123" s="1"/>
  <c r="AA211" i="123" s="1"/>
  <c r="AB211" i="123" s="1"/>
  <c r="AC211" i="123" s="1"/>
  <c r="AD211" i="123" s="1"/>
  <c r="AE211" i="123" s="1"/>
  <c r="AF211" i="123" s="1"/>
  <c r="AG211" i="123" s="1"/>
  <c r="AH211" i="123" s="1"/>
  <c r="AI211" i="123" s="1"/>
  <c r="AJ211" i="123" s="1"/>
  <c r="AK211" i="123" s="1"/>
  <c r="AL211" i="123" s="1"/>
  <c r="AM211" i="123" s="1"/>
  <c r="AN211" i="123" s="1"/>
  <c r="AO211" i="123" s="1"/>
  <c r="AP211" i="123" s="1"/>
  <c r="AQ211" i="123" s="1"/>
  <c r="AR211" i="123" s="1"/>
  <c r="AS211" i="123" s="1"/>
  <c r="AT211" i="123" s="1"/>
  <c r="AU211" i="123" s="1"/>
  <c r="AV211" i="123" s="1"/>
  <c r="AW211" i="123" s="1"/>
  <c r="S213" i="123"/>
  <c r="T213" i="123" s="1"/>
  <c r="U213" i="123" s="1"/>
  <c r="V213" i="123" s="1"/>
  <c r="W213" i="123" s="1"/>
  <c r="X213" i="123" s="1"/>
  <c r="Y213" i="123" s="1"/>
  <c r="Z213" i="123" s="1"/>
  <c r="AA213" i="123" s="1"/>
  <c r="AB213" i="123" s="1"/>
  <c r="AC213" i="123" s="1"/>
  <c r="AD213" i="123" s="1"/>
  <c r="AE213" i="123" s="1"/>
  <c r="AF213" i="123" s="1"/>
  <c r="AG213" i="123" s="1"/>
  <c r="AH213" i="123" s="1"/>
  <c r="AI213" i="123" s="1"/>
  <c r="AJ213" i="123" s="1"/>
  <c r="AK213" i="123" s="1"/>
  <c r="AL213" i="123" s="1"/>
  <c r="AM213" i="123" s="1"/>
  <c r="AN213" i="123" s="1"/>
  <c r="AO213" i="123" s="1"/>
  <c r="AP213" i="123" s="1"/>
  <c r="AQ213" i="123" s="1"/>
  <c r="AR213" i="123" s="1"/>
  <c r="AS213" i="123" s="1"/>
  <c r="AT213" i="123" s="1"/>
  <c r="AU213" i="123" s="1"/>
  <c r="AV213" i="123" s="1"/>
  <c r="AW213" i="123" s="1"/>
  <c r="S228" i="123"/>
  <c r="T228" i="123" s="1"/>
  <c r="U228" i="123" s="1"/>
  <c r="V228" i="123" s="1"/>
  <c r="W228" i="123" s="1"/>
  <c r="X228" i="123" s="1"/>
  <c r="Y228" i="123" s="1"/>
  <c r="Z228" i="123" s="1"/>
  <c r="AA228" i="123" s="1"/>
  <c r="AB228" i="123" s="1"/>
  <c r="AC228" i="123" s="1"/>
  <c r="AD228" i="123" s="1"/>
  <c r="AE228" i="123" s="1"/>
  <c r="AF228" i="123" s="1"/>
  <c r="AG228" i="123" s="1"/>
  <c r="AH228" i="123" s="1"/>
  <c r="AI228" i="123" s="1"/>
  <c r="AJ228" i="123" s="1"/>
  <c r="AK228" i="123" s="1"/>
  <c r="AL228" i="123" s="1"/>
  <c r="AM228" i="123" s="1"/>
  <c r="AN228" i="123" s="1"/>
  <c r="AO228" i="123" s="1"/>
  <c r="AP228" i="123" s="1"/>
  <c r="AQ228" i="123" s="1"/>
  <c r="AR228" i="123" s="1"/>
  <c r="AS228" i="123" s="1"/>
  <c r="AT228" i="123" s="1"/>
  <c r="AU228" i="123" s="1"/>
  <c r="AV228" i="123" s="1"/>
  <c r="AW228" i="123" s="1"/>
  <c r="S230" i="123"/>
  <c r="T230" i="123" s="1"/>
  <c r="U230" i="123" s="1"/>
  <c r="V230" i="123" s="1"/>
  <c r="W230" i="123" s="1"/>
  <c r="X230" i="123" s="1"/>
  <c r="Y230" i="123" s="1"/>
  <c r="Z230" i="123" s="1"/>
  <c r="AA230" i="123" s="1"/>
  <c r="AB230" i="123" s="1"/>
  <c r="AC230" i="123" s="1"/>
  <c r="AD230" i="123" s="1"/>
  <c r="AE230" i="123" s="1"/>
  <c r="AF230" i="123" s="1"/>
  <c r="AG230" i="123" s="1"/>
  <c r="AH230" i="123" s="1"/>
  <c r="AI230" i="123" s="1"/>
  <c r="AJ230" i="123" s="1"/>
  <c r="AK230" i="123" s="1"/>
  <c r="AL230" i="123" s="1"/>
  <c r="AM230" i="123" s="1"/>
  <c r="AN230" i="123" s="1"/>
  <c r="AO230" i="123" s="1"/>
  <c r="AP230" i="123" s="1"/>
  <c r="AQ230" i="123" s="1"/>
  <c r="AR230" i="123" s="1"/>
  <c r="AS230" i="123" s="1"/>
  <c r="AT230" i="123" s="1"/>
  <c r="AU230" i="123" s="1"/>
  <c r="AV230" i="123" s="1"/>
  <c r="AW230" i="123" s="1"/>
  <c r="U19" i="123" l="1"/>
  <c r="J10" i="78"/>
  <c r="W18" i="123"/>
  <c r="L9" i="78"/>
  <c r="T20" i="123"/>
  <c r="I11" i="78"/>
  <c r="Q21" i="123"/>
  <c r="S21" i="123" s="1"/>
  <c r="N22" i="123" a="1"/>
  <c r="N22" i="123" s="1"/>
  <c r="O22" i="123" a="1"/>
  <c r="O22" i="123" s="1"/>
  <c r="P22" i="123" a="1"/>
  <c r="P22" i="123" s="1"/>
  <c r="K22" i="123" a="1"/>
  <c r="K22" i="123" s="1"/>
  <c r="I22" i="123" a="1"/>
  <c r="I22" i="123" s="1"/>
  <c r="J22" i="123" a="1"/>
  <c r="J22" i="123" s="1"/>
  <c r="H22" i="123" a="1"/>
  <c r="H22" i="123" s="1"/>
  <c r="L22" i="123" a="1"/>
  <c r="L22" i="123" s="1"/>
  <c r="M22" i="123" a="1"/>
  <c r="M22" i="123" s="1"/>
  <c r="D235" i="123"/>
  <c r="C234" i="123"/>
  <c r="D218" i="123"/>
  <c r="C217" i="123"/>
  <c r="D200" i="123"/>
  <c r="C199" i="123"/>
  <c r="D181" i="123"/>
  <c r="C180" i="123"/>
  <c r="D164" i="123"/>
  <c r="C163" i="123"/>
  <c r="D125" i="123"/>
  <c r="C124" i="123"/>
  <c r="D146" i="123"/>
  <c r="C145" i="123"/>
  <c r="D24" i="123"/>
  <c r="C23" i="123"/>
  <c r="F23" i="123" s="1"/>
  <c r="S229" i="123"/>
  <c r="T229" i="123" s="1"/>
  <c r="U229" i="123" s="1"/>
  <c r="V229" i="123" s="1"/>
  <c r="W229" i="123" s="1"/>
  <c r="X229" i="123" s="1"/>
  <c r="Y229" i="123" s="1"/>
  <c r="Z229" i="123" s="1"/>
  <c r="AA229" i="123" s="1"/>
  <c r="AB229" i="123" s="1"/>
  <c r="AC229" i="123" s="1"/>
  <c r="AD229" i="123" s="1"/>
  <c r="AE229" i="123" s="1"/>
  <c r="AF229" i="123" s="1"/>
  <c r="AG229" i="123" s="1"/>
  <c r="AH229" i="123" s="1"/>
  <c r="AI229" i="123" s="1"/>
  <c r="AJ229" i="123" s="1"/>
  <c r="AK229" i="123" s="1"/>
  <c r="AL229" i="123" s="1"/>
  <c r="AM229" i="123" s="1"/>
  <c r="AN229" i="123" s="1"/>
  <c r="AO229" i="123" s="1"/>
  <c r="AP229" i="123" s="1"/>
  <c r="AQ229" i="123" s="1"/>
  <c r="AR229" i="123" s="1"/>
  <c r="AS229" i="123" s="1"/>
  <c r="AT229" i="123" s="1"/>
  <c r="AU229" i="123" s="1"/>
  <c r="AV229" i="123" s="1"/>
  <c r="AW229" i="123" s="1"/>
  <c r="S235" i="123"/>
  <c r="T235" i="123" s="1"/>
  <c r="U235" i="123" s="1"/>
  <c r="V235" i="123" s="1"/>
  <c r="W235" i="123" s="1"/>
  <c r="X235" i="123" s="1"/>
  <c r="Y235" i="123" s="1"/>
  <c r="Z235" i="123" s="1"/>
  <c r="AA235" i="123" s="1"/>
  <c r="AB235" i="123" s="1"/>
  <c r="AC235" i="123" s="1"/>
  <c r="AD235" i="123" s="1"/>
  <c r="AE235" i="123" s="1"/>
  <c r="AF235" i="123" s="1"/>
  <c r="AG235" i="123" s="1"/>
  <c r="AH235" i="123" s="1"/>
  <c r="AI235" i="123" s="1"/>
  <c r="AJ235" i="123" s="1"/>
  <c r="AK235" i="123" s="1"/>
  <c r="AL235" i="123" s="1"/>
  <c r="AM235" i="123" s="1"/>
  <c r="AN235" i="123" s="1"/>
  <c r="AO235" i="123" s="1"/>
  <c r="AP235" i="123" s="1"/>
  <c r="AQ235" i="123" s="1"/>
  <c r="AR235" i="123" s="1"/>
  <c r="AS235" i="123" s="1"/>
  <c r="AT235" i="123" s="1"/>
  <c r="AU235" i="123" s="1"/>
  <c r="AV235" i="123" s="1"/>
  <c r="AW235" i="123" s="1"/>
  <c r="S214" i="123"/>
  <c r="T214" i="123" s="1"/>
  <c r="U214" i="123" s="1"/>
  <c r="V214" i="123" s="1"/>
  <c r="W214" i="123" s="1"/>
  <c r="X214" i="123" s="1"/>
  <c r="Y214" i="123" s="1"/>
  <c r="Z214" i="123" s="1"/>
  <c r="AA214" i="123" s="1"/>
  <c r="AB214" i="123" s="1"/>
  <c r="AC214" i="123" s="1"/>
  <c r="AD214" i="123" s="1"/>
  <c r="AE214" i="123" s="1"/>
  <c r="AF214" i="123" s="1"/>
  <c r="AG214" i="123" s="1"/>
  <c r="AH214" i="123" s="1"/>
  <c r="AI214" i="123" s="1"/>
  <c r="AJ214" i="123" s="1"/>
  <c r="AK214" i="123" s="1"/>
  <c r="AL214" i="123" s="1"/>
  <c r="AM214" i="123" s="1"/>
  <c r="AN214" i="123" s="1"/>
  <c r="AO214" i="123" s="1"/>
  <c r="AP214" i="123" s="1"/>
  <c r="AQ214" i="123" s="1"/>
  <c r="AR214" i="123" s="1"/>
  <c r="AS214" i="123" s="1"/>
  <c r="AT214" i="123" s="1"/>
  <c r="AU214" i="123" s="1"/>
  <c r="AV214" i="123" s="1"/>
  <c r="AW214" i="123" s="1"/>
  <c r="S218" i="123"/>
  <c r="T218" i="123" s="1"/>
  <c r="U218" i="123" s="1"/>
  <c r="V218" i="123" s="1"/>
  <c r="W218" i="123" s="1"/>
  <c r="X218" i="123" s="1"/>
  <c r="Y218" i="123" s="1"/>
  <c r="Z218" i="123" s="1"/>
  <c r="AA218" i="123" s="1"/>
  <c r="AB218" i="123" s="1"/>
  <c r="AC218" i="123" s="1"/>
  <c r="AD218" i="123" s="1"/>
  <c r="AE218" i="123" s="1"/>
  <c r="AF218" i="123" s="1"/>
  <c r="AG218" i="123" s="1"/>
  <c r="AH218" i="123" s="1"/>
  <c r="AI218" i="123" s="1"/>
  <c r="AJ218" i="123" s="1"/>
  <c r="AK218" i="123" s="1"/>
  <c r="AL218" i="123" s="1"/>
  <c r="AM218" i="123" s="1"/>
  <c r="AN218" i="123" s="1"/>
  <c r="AO218" i="123" s="1"/>
  <c r="AP218" i="123" s="1"/>
  <c r="AQ218" i="123" s="1"/>
  <c r="AR218" i="123" s="1"/>
  <c r="AS218" i="123" s="1"/>
  <c r="AT218" i="123" s="1"/>
  <c r="AU218" i="123" s="1"/>
  <c r="AV218" i="123" s="1"/>
  <c r="AW218" i="123" s="1"/>
  <c r="S231" i="123"/>
  <c r="T231" i="123" s="1"/>
  <c r="U231" i="123" s="1"/>
  <c r="V231" i="123" s="1"/>
  <c r="W231" i="123" s="1"/>
  <c r="X231" i="123" s="1"/>
  <c r="Y231" i="123" s="1"/>
  <c r="Z231" i="123" s="1"/>
  <c r="AA231" i="123" s="1"/>
  <c r="AB231" i="123" s="1"/>
  <c r="AC231" i="123" s="1"/>
  <c r="AD231" i="123" s="1"/>
  <c r="AE231" i="123" s="1"/>
  <c r="AF231" i="123" s="1"/>
  <c r="AG231" i="123" s="1"/>
  <c r="AH231" i="123" s="1"/>
  <c r="AI231" i="123" s="1"/>
  <c r="AJ231" i="123" s="1"/>
  <c r="AK231" i="123" s="1"/>
  <c r="AL231" i="123" s="1"/>
  <c r="AM231" i="123" s="1"/>
  <c r="AN231" i="123" s="1"/>
  <c r="AO231" i="123" s="1"/>
  <c r="AP231" i="123" s="1"/>
  <c r="AQ231" i="123" s="1"/>
  <c r="AR231" i="123" s="1"/>
  <c r="AS231" i="123" s="1"/>
  <c r="AT231" i="123" s="1"/>
  <c r="AU231" i="123" s="1"/>
  <c r="AV231" i="123" s="1"/>
  <c r="AW231" i="123" s="1"/>
  <c r="S212" i="123"/>
  <c r="T212" i="123" s="1"/>
  <c r="U212" i="123" s="1"/>
  <c r="V212" i="123" s="1"/>
  <c r="W212" i="123" s="1"/>
  <c r="X212" i="123" s="1"/>
  <c r="Y212" i="123" s="1"/>
  <c r="Z212" i="123" s="1"/>
  <c r="AA212" i="123" s="1"/>
  <c r="AB212" i="123" s="1"/>
  <c r="AC212" i="123" s="1"/>
  <c r="AD212" i="123" s="1"/>
  <c r="AE212" i="123" s="1"/>
  <c r="AF212" i="123" s="1"/>
  <c r="AG212" i="123" s="1"/>
  <c r="AH212" i="123" s="1"/>
  <c r="AI212" i="123" s="1"/>
  <c r="AJ212" i="123" s="1"/>
  <c r="AK212" i="123" s="1"/>
  <c r="AL212" i="123" s="1"/>
  <c r="AM212" i="123" s="1"/>
  <c r="AN212" i="123" s="1"/>
  <c r="AO212" i="123" s="1"/>
  <c r="AP212" i="123" s="1"/>
  <c r="AQ212" i="123" s="1"/>
  <c r="AR212" i="123" s="1"/>
  <c r="AS212" i="123" s="1"/>
  <c r="AT212" i="123" s="1"/>
  <c r="AU212" i="123" s="1"/>
  <c r="AV212" i="123" s="1"/>
  <c r="AW212" i="123" s="1"/>
  <c r="T21" i="123" l="1"/>
  <c r="I12" i="78"/>
  <c r="U20" i="123"/>
  <c r="J11" i="78"/>
  <c r="X18" i="123"/>
  <c r="M9" i="78"/>
  <c r="V19" i="123"/>
  <c r="K10" i="78"/>
  <c r="Q22" i="123"/>
  <c r="S22" i="123" s="1"/>
  <c r="P23" i="123" a="1"/>
  <c r="P23" i="123" s="1"/>
  <c r="H23" i="123" a="1"/>
  <c r="H23" i="123" s="1"/>
  <c r="I23" i="123" a="1"/>
  <c r="I23" i="123" s="1"/>
  <c r="M23" i="123" a="1"/>
  <c r="M23" i="123" s="1"/>
  <c r="J23" i="123" a="1"/>
  <c r="J23" i="123" s="1"/>
  <c r="K23" i="123" a="1"/>
  <c r="K23" i="123" s="1"/>
  <c r="L23" i="123" a="1"/>
  <c r="L23" i="123" s="1"/>
  <c r="N23" i="123" a="1"/>
  <c r="N23" i="123" s="1"/>
  <c r="O23" i="123" a="1"/>
  <c r="O23" i="123" s="1"/>
  <c r="C235" i="123"/>
  <c r="D236" i="123"/>
  <c r="C218" i="123"/>
  <c r="D219" i="123"/>
  <c r="C200" i="123"/>
  <c r="D201" i="123"/>
  <c r="C181" i="123"/>
  <c r="D182" i="123"/>
  <c r="C164" i="123"/>
  <c r="D165" i="123"/>
  <c r="C125" i="123"/>
  <c r="D126" i="123"/>
  <c r="D147" i="123"/>
  <c r="C146" i="123"/>
  <c r="D25" i="123"/>
  <c r="C24" i="123"/>
  <c r="F24" i="123" s="1"/>
  <c r="Y18" i="123" l="1"/>
  <c r="N9" i="78"/>
  <c r="V20" i="123"/>
  <c r="K11" i="78"/>
  <c r="T22" i="123"/>
  <c r="I13" i="78"/>
  <c r="U21" i="123"/>
  <c r="J12" i="78"/>
  <c r="W19" i="123"/>
  <c r="L10" i="78"/>
  <c r="Q23" i="123"/>
  <c r="S23" i="123" s="1"/>
  <c r="J24" i="123" a="1"/>
  <c r="J24" i="123" s="1"/>
  <c r="K24" i="123" a="1"/>
  <c r="K24" i="123" s="1"/>
  <c r="O24" i="123" a="1"/>
  <c r="O24" i="123" s="1"/>
  <c r="L24" i="123" a="1"/>
  <c r="L24" i="123" s="1"/>
  <c r="M24" i="123" a="1"/>
  <c r="M24" i="123" s="1"/>
  <c r="N24" i="123" a="1"/>
  <c r="N24" i="123" s="1"/>
  <c r="P24" i="123" a="1"/>
  <c r="P24" i="123" s="1"/>
  <c r="H24" i="123" a="1"/>
  <c r="H24" i="123" s="1"/>
  <c r="I24" i="123" a="1"/>
  <c r="I24" i="123" s="1"/>
  <c r="D237" i="123"/>
  <c r="C236" i="123"/>
  <c r="D220" i="123"/>
  <c r="C219" i="123"/>
  <c r="D202" i="123"/>
  <c r="C201" i="123"/>
  <c r="D183" i="123"/>
  <c r="C182" i="123"/>
  <c r="D166" i="123"/>
  <c r="C165" i="123"/>
  <c r="D127" i="123"/>
  <c r="C126" i="123"/>
  <c r="D148" i="123"/>
  <c r="C147" i="123"/>
  <c r="D26" i="123"/>
  <c r="C25" i="123"/>
  <c r="F25" i="123" s="1"/>
  <c r="W20" i="123" l="1"/>
  <c r="L11" i="78"/>
  <c r="Z18" i="123"/>
  <c r="O9" i="78"/>
  <c r="X19" i="123"/>
  <c r="M10" i="78"/>
  <c r="V21" i="123"/>
  <c r="K12" i="78"/>
  <c r="T23" i="123"/>
  <c r="I14" i="78"/>
  <c r="U22" i="123"/>
  <c r="J13" i="78"/>
  <c r="Q24" i="123"/>
  <c r="S24" i="123" s="1"/>
  <c r="K25" i="123" a="1"/>
  <c r="K25" i="123" s="1"/>
  <c r="L25" i="123" a="1"/>
  <c r="L25" i="123" s="1"/>
  <c r="M25" i="123" a="1"/>
  <c r="M25" i="123" s="1"/>
  <c r="N25" i="123" a="1"/>
  <c r="N25" i="123" s="1"/>
  <c r="O25" i="123" a="1"/>
  <c r="O25" i="123" s="1"/>
  <c r="P25" i="123" a="1"/>
  <c r="P25" i="123" s="1"/>
  <c r="I25" i="123" a="1"/>
  <c r="I25" i="123" s="1"/>
  <c r="J25" i="123" a="1"/>
  <c r="J25" i="123" s="1"/>
  <c r="H25" i="123" a="1"/>
  <c r="H25" i="123" s="1"/>
  <c r="D238" i="123"/>
  <c r="C237" i="123"/>
  <c r="D221" i="123"/>
  <c r="C220" i="123"/>
  <c r="D203" i="123"/>
  <c r="C202" i="123"/>
  <c r="D184" i="123"/>
  <c r="C183" i="123"/>
  <c r="C166" i="123"/>
  <c r="D167" i="123"/>
  <c r="D128" i="123"/>
  <c r="C127" i="123"/>
  <c r="D149" i="123"/>
  <c r="C148" i="123"/>
  <c r="D27" i="123"/>
  <c r="C26" i="123"/>
  <c r="F26" i="123" s="1"/>
  <c r="T24" i="123" l="1"/>
  <c r="I15" i="78"/>
  <c r="V22" i="123"/>
  <c r="K13" i="78"/>
  <c r="U23" i="123"/>
  <c r="J14" i="78"/>
  <c r="X20" i="123"/>
  <c r="M11" i="78"/>
  <c r="AA18" i="123"/>
  <c r="P9" i="78"/>
  <c r="W21" i="123"/>
  <c r="L12" i="78"/>
  <c r="Y19" i="123"/>
  <c r="N10" i="78"/>
  <c r="Q25" i="123"/>
  <c r="S25" i="123" s="1"/>
  <c r="M26" i="123" a="1"/>
  <c r="M26" i="123" s="1"/>
  <c r="O26" i="123" a="1"/>
  <c r="O26" i="123" s="1"/>
  <c r="P26" i="123" a="1"/>
  <c r="P26" i="123" s="1"/>
  <c r="I26" i="123" a="1"/>
  <c r="I26" i="123" s="1"/>
  <c r="J26" i="123" a="1"/>
  <c r="J26" i="123" s="1"/>
  <c r="K26" i="123" a="1"/>
  <c r="K26" i="123" s="1"/>
  <c r="L26" i="123" a="1"/>
  <c r="L26" i="123" s="1"/>
  <c r="N26" i="123" a="1"/>
  <c r="N26" i="123" s="1"/>
  <c r="H26" i="123" a="1"/>
  <c r="H26" i="123" s="1"/>
  <c r="D239" i="123"/>
  <c r="C238" i="123"/>
  <c r="D222" i="123"/>
  <c r="C221" i="123"/>
  <c r="D204" i="123"/>
  <c r="C203" i="123"/>
  <c r="D185" i="123"/>
  <c r="C184" i="123"/>
  <c r="D168" i="123"/>
  <c r="C167" i="123"/>
  <c r="D129" i="123"/>
  <c r="C128" i="123"/>
  <c r="D150" i="123"/>
  <c r="C149" i="123"/>
  <c r="D28" i="123"/>
  <c r="C27" i="123"/>
  <c r="F27" i="123" s="1"/>
  <c r="X21" i="123" l="1"/>
  <c r="M12" i="78"/>
  <c r="U24" i="123"/>
  <c r="J15" i="78"/>
  <c r="AB18" i="123"/>
  <c r="Q9" i="78"/>
  <c r="Y20" i="123"/>
  <c r="N11" i="78"/>
  <c r="V23" i="123"/>
  <c r="K14" i="78"/>
  <c r="Z19" i="123"/>
  <c r="O10" i="78"/>
  <c r="W22" i="123"/>
  <c r="L13" i="78"/>
  <c r="T25" i="123"/>
  <c r="I16" i="78"/>
  <c r="Q26" i="123"/>
  <c r="S26" i="123" s="1"/>
  <c r="O27" i="123" a="1"/>
  <c r="O27" i="123" s="1"/>
  <c r="P27" i="123" a="1"/>
  <c r="P27" i="123" s="1"/>
  <c r="H27" i="123" a="1"/>
  <c r="H27" i="123" s="1"/>
  <c r="L27" i="123" a="1"/>
  <c r="L27" i="123" s="1"/>
  <c r="I27" i="123" a="1"/>
  <c r="I27" i="123" s="1"/>
  <c r="J27" i="123" a="1"/>
  <c r="J27" i="123" s="1"/>
  <c r="K27" i="123" a="1"/>
  <c r="K27" i="123" s="1"/>
  <c r="M27" i="123" a="1"/>
  <c r="M27" i="123" s="1"/>
  <c r="N27" i="123" a="1"/>
  <c r="N27" i="123" s="1"/>
  <c r="D240" i="123"/>
  <c r="C239" i="123"/>
  <c r="D223" i="123"/>
  <c r="C222" i="123"/>
  <c r="D205" i="123"/>
  <c r="C204" i="123"/>
  <c r="D186" i="123"/>
  <c r="C185" i="123"/>
  <c r="C168" i="123"/>
  <c r="D169" i="123"/>
  <c r="D130" i="123"/>
  <c r="C129" i="123"/>
  <c r="D151" i="123"/>
  <c r="C150" i="123"/>
  <c r="D29" i="123"/>
  <c r="C28" i="123"/>
  <c r="F28" i="123" s="1"/>
  <c r="L14" i="78" l="1"/>
  <c r="W23" i="123"/>
  <c r="T26" i="123"/>
  <c r="I17" i="78"/>
  <c r="Y21" i="123"/>
  <c r="N12" i="78"/>
  <c r="Z20" i="123"/>
  <c r="O11" i="78"/>
  <c r="U25" i="123"/>
  <c r="J16" i="78"/>
  <c r="AC18" i="123"/>
  <c r="R9" i="78"/>
  <c r="X22" i="123"/>
  <c r="M13" i="78"/>
  <c r="V24" i="123"/>
  <c r="K15" i="78"/>
  <c r="AA19" i="123"/>
  <c r="P10" i="78"/>
  <c r="Q27" i="123"/>
  <c r="S27" i="123" s="1"/>
  <c r="I28" i="123" a="1"/>
  <c r="I28" i="123" s="1"/>
  <c r="J28" i="123" a="1"/>
  <c r="J28" i="123" s="1"/>
  <c r="H28" i="123" a="1"/>
  <c r="H28" i="123" s="1"/>
  <c r="N28" i="123" a="1"/>
  <c r="N28" i="123" s="1"/>
  <c r="K28" i="123" a="1"/>
  <c r="K28" i="123" s="1"/>
  <c r="L28" i="123" a="1"/>
  <c r="L28" i="123" s="1"/>
  <c r="M28" i="123" a="1"/>
  <c r="M28" i="123" s="1"/>
  <c r="O28" i="123" a="1"/>
  <c r="O28" i="123" s="1"/>
  <c r="P28" i="123" a="1"/>
  <c r="P28" i="123" s="1"/>
  <c r="D241" i="123"/>
  <c r="C241" i="123" s="1"/>
  <c r="C240" i="123"/>
  <c r="D224" i="123"/>
  <c r="C224" i="123" s="1"/>
  <c r="C223" i="123"/>
  <c r="D206" i="123"/>
  <c r="C206" i="123" s="1"/>
  <c r="C205" i="123"/>
  <c r="D187" i="123"/>
  <c r="C187" i="123" s="1"/>
  <c r="C186" i="123"/>
  <c r="D170" i="123"/>
  <c r="C170" i="123" s="1"/>
  <c r="C169" i="123"/>
  <c r="D131" i="123"/>
  <c r="C131" i="123" s="1"/>
  <c r="C130" i="123"/>
  <c r="D152" i="123"/>
  <c r="C152" i="123" s="1"/>
  <c r="C151" i="123"/>
  <c r="D30" i="123"/>
  <c r="C29" i="123"/>
  <c r="F29" i="123" s="1"/>
  <c r="T27" i="123" l="1"/>
  <c r="I18" i="78"/>
  <c r="V25" i="123"/>
  <c r="K16" i="78"/>
  <c r="AB19" i="123"/>
  <c r="Q10" i="78"/>
  <c r="AA20" i="123"/>
  <c r="P11" i="78"/>
  <c r="W24" i="123"/>
  <c r="L15" i="78"/>
  <c r="Z21" i="123"/>
  <c r="O12" i="78"/>
  <c r="Y22" i="123"/>
  <c r="N13" i="78"/>
  <c r="U26" i="123"/>
  <c r="J17" i="78"/>
  <c r="X23" i="123"/>
  <c r="M14" i="78"/>
  <c r="AD18" i="123"/>
  <c r="S9" i="78"/>
  <c r="Q28" i="123"/>
  <c r="S28" i="123" s="1"/>
  <c r="K29" i="123" a="1"/>
  <c r="K29" i="123" s="1"/>
  <c r="L29" i="123" a="1"/>
  <c r="L29" i="123" s="1"/>
  <c r="P29" i="123" a="1"/>
  <c r="P29" i="123" s="1"/>
  <c r="M29" i="123" a="1"/>
  <c r="M29" i="123" s="1"/>
  <c r="H29" i="123" a="1"/>
  <c r="H29" i="123" s="1"/>
  <c r="N29" i="123" a="1"/>
  <c r="N29" i="123" s="1"/>
  <c r="O29" i="123" a="1"/>
  <c r="O29" i="123" s="1"/>
  <c r="I29" i="123" a="1"/>
  <c r="I29" i="123" s="1"/>
  <c r="J29" i="123" a="1"/>
  <c r="J29" i="123" s="1"/>
  <c r="D31" i="123"/>
  <c r="C31" i="123" s="1"/>
  <c r="F31" i="123" s="1"/>
  <c r="C30" i="123"/>
  <c r="F30" i="123" s="1"/>
  <c r="X24" i="123" l="1"/>
  <c r="M15" i="78"/>
  <c r="Y23" i="123"/>
  <c r="N14" i="78"/>
  <c r="AB20" i="123"/>
  <c r="Q11" i="78"/>
  <c r="V26" i="123"/>
  <c r="K17" i="78"/>
  <c r="AE18" i="123"/>
  <c r="T9" i="78"/>
  <c r="AC19" i="123"/>
  <c r="R10" i="78"/>
  <c r="Z22" i="123"/>
  <c r="O13" i="78"/>
  <c r="W25" i="123"/>
  <c r="L16" i="78"/>
  <c r="T28" i="123"/>
  <c r="I19" i="78"/>
  <c r="AA21" i="123"/>
  <c r="P12" i="78"/>
  <c r="U27" i="123"/>
  <c r="J18" i="78"/>
  <c r="Q29" i="123"/>
  <c r="S29" i="123" s="1"/>
  <c r="N31" i="123" a="1"/>
  <c r="N31" i="123" s="1"/>
  <c r="O31" i="123" a="1"/>
  <c r="O31" i="123" s="1"/>
  <c r="P31" i="123" a="1"/>
  <c r="P31" i="123" s="1"/>
  <c r="I31" i="123" a="1"/>
  <c r="I31" i="123" s="1"/>
  <c r="K31" i="123" a="1"/>
  <c r="K31" i="123" s="1"/>
  <c r="J31" i="123" a="1"/>
  <c r="J31" i="123" s="1"/>
  <c r="H31" i="123" a="1"/>
  <c r="H31" i="123" s="1"/>
  <c r="L31" i="123" a="1"/>
  <c r="L31" i="123" s="1"/>
  <c r="M31" i="123" a="1"/>
  <c r="M31" i="123" s="1"/>
  <c r="L30" i="123" a="1"/>
  <c r="L30" i="123" s="1"/>
  <c r="M30" i="123" a="1"/>
  <c r="M30" i="123" s="1"/>
  <c r="N30" i="123" a="1"/>
  <c r="N30" i="123" s="1"/>
  <c r="O30" i="123" a="1"/>
  <c r="O30" i="123" s="1"/>
  <c r="P30" i="123" a="1"/>
  <c r="P30" i="123" s="1"/>
  <c r="H30" i="123" a="1"/>
  <c r="H30" i="123" s="1"/>
  <c r="I30" i="123" a="1"/>
  <c r="I30" i="123" s="1"/>
  <c r="J30" i="123" a="1"/>
  <c r="J30" i="123" s="1"/>
  <c r="K30" i="123" a="1"/>
  <c r="K30" i="123" s="1"/>
  <c r="U28" i="123" l="1"/>
  <c r="J19" i="78"/>
  <c r="AB21" i="123"/>
  <c r="Q12" i="78"/>
  <c r="W26" i="123"/>
  <c r="L17" i="78"/>
  <c r="AC20" i="123"/>
  <c r="R11" i="78"/>
  <c r="X25" i="123"/>
  <c r="M16" i="78"/>
  <c r="Z23" i="123"/>
  <c r="O14" i="78"/>
  <c r="AF18" i="123"/>
  <c r="U9" i="78"/>
  <c r="AA22" i="123"/>
  <c r="P13" i="78"/>
  <c r="V27" i="123"/>
  <c r="K18" i="78"/>
  <c r="AD19" i="123"/>
  <c r="S10" i="78"/>
  <c r="T29" i="123"/>
  <c r="I20" i="78"/>
  <c r="Y24" i="123"/>
  <c r="N15" i="78"/>
  <c r="Q31" i="123"/>
  <c r="S31" i="123" s="1"/>
  <c r="Q30" i="123"/>
  <c r="S30" i="123" s="1"/>
  <c r="T31" i="123" l="1"/>
  <c r="I22" i="78"/>
  <c r="AE19" i="123"/>
  <c r="T10" i="78"/>
  <c r="T30" i="123"/>
  <c r="I21" i="78"/>
  <c r="W27" i="123"/>
  <c r="L18" i="78"/>
  <c r="Y25" i="123"/>
  <c r="N16" i="78"/>
  <c r="AD20" i="123"/>
  <c r="S11" i="78"/>
  <c r="AC21" i="123"/>
  <c r="R12" i="78"/>
  <c r="Z24" i="123"/>
  <c r="O15" i="78"/>
  <c r="AB22" i="123"/>
  <c r="Q13" i="78"/>
  <c r="X26" i="123"/>
  <c r="M17" i="78"/>
  <c r="AG18" i="123"/>
  <c r="V9" i="78"/>
  <c r="U29" i="123"/>
  <c r="J20" i="78"/>
  <c r="AA23" i="123"/>
  <c r="P14" i="78"/>
  <c r="V28" i="123"/>
  <c r="K19" i="78"/>
  <c r="Z25" i="123" l="1"/>
  <c r="O16" i="78"/>
  <c r="AC22" i="123"/>
  <c r="R13" i="78"/>
  <c r="X27" i="123"/>
  <c r="M18" i="78"/>
  <c r="U30" i="123"/>
  <c r="J21" i="78"/>
  <c r="W28" i="123"/>
  <c r="L19" i="78"/>
  <c r="AB23" i="123"/>
  <c r="Q14" i="78"/>
  <c r="AF19" i="123"/>
  <c r="U10" i="78"/>
  <c r="AA24" i="123"/>
  <c r="P15" i="78"/>
  <c r="AD21" i="123"/>
  <c r="S12" i="78"/>
  <c r="Y26" i="123"/>
  <c r="N17" i="78"/>
  <c r="V29" i="123"/>
  <c r="K20" i="78"/>
  <c r="AH18" i="123"/>
  <c r="W9" i="78"/>
  <c r="AE20" i="123"/>
  <c r="T11" i="78"/>
  <c r="U31" i="123"/>
  <c r="J22" i="78"/>
  <c r="V30" i="123" l="1"/>
  <c r="K21" i="78"/>
  <c r="AE21" i="123"/>
  <c r="T12" i="78"/>
  <c r="Z26" i="123"/>
  <c r="O17" i="78"/>
  <c r="V31" i="123"/>
  <c r="K22" i="78"/>
  <c r="AB24" i="123"/>
  <c r="Q15" i="78"/>
  <c r="AI18" i="123"/>
  <c r="X9" i="78"/>
  <c r="Y27" i="123"/>
  <c r="N18" i="78"/>
  <c r="AD22" i="123"/>
  <c r="S13" i="78"/>
  <c r="AC23" i="123"/>
  <c r="R14" i="78"/>
  <c r="X28" i="123"/>
  <c r="M19" i="78"/>
  <c r="AF20" i="123"/>
  <c r="U11" i="78"/>
  <c r="AG19" i="123"/>
  <c r="V10" i="78"/>
  <c r="W29" i="123"/>
  <c r="L20" i="78"/>
  <c r="AA25" i="123"/>
  <c r="P16" i="78"/>
  <c r="W31" i="123" l="1"/>
  <c r="L22" i="78"/>
  <c r="AE22" i="123"/>
  <c r="T13" i="78"/>
  <c r="AB25" i="123"/>
  <c r="Q16" i="78"/>
  <c r="AA26" i="123"/>
  <c r="P17" i="78"/>
  <c r="AD23" i="123"/>
  <c r="S14" i="78"/>
  <c r="Z27" i="123"/>
  <c r="O18" i="78"/>
  <c r="Y28" i="123"/>
  <c r="N19" i="78"/>
  <c r="AH19" i="123"/>
  <c r="W10" i="78"/>
  <c r="AF21" i="123"/>
  <c r="U12" i="78"/>
  <c r="AJ18" i="123"/>
  <c r="Y9" i="78"/>
  <c r="AC24" i="123"/>
  <c r="R15" i="78"/>
  <c r="X29" i="123"/>
  <c r="M20" i="78"/>
  <c r="AG20" i="123"/>
  <c r="V11" i="78"/>
  <c r="W30" i="123"/>
  <c r="L21" i="78"/>
  <c r="AB26" i="123" l="1"/>
  <c r="Q17" i="78"/>
  <c r="AA27" i="123"/>
  <c r="P18" i="78"/>
  <c r="AK18" i="123"/>
  <c r="Z9" i="78"/>
  <c r="AG21" i="123"/>
  <c r="V12" i="78"/>
  <c r="AH20" i="123"/>
  <c r="W11" i="78"/>
  <c r="AE23" i="123"/>
  <c r="T14" i="78"/>
  <c r="X30" i="123"/>
  <c r="M21" i="78"/>
  <c r="Z28" i="123"/>
  <c r="O19" i="78"/>
  <c r="AD24" i="123"/>
  <c r="S15" i="78"/>
  <c r="AI19" i="123"/>
  <c r="X10" i="78"/>
  <c r="Y29" i="123"/>
  <c r="N20" i="78"/>
  <c r="AC25" i="123"/>
  <c r="R16" i="78"/>
  <c r="AF22" i="123"/>
  <c r="U13" i="78"/>
  <c r="X31" i="123"/>
  <c r="M22" i="78"/>
  <c r="AI20" i="123" l="1"/>
  <c r="X11" i="78"/>
  <c r="AH21" i="123"/>
  <c r="W12" i="78"/>
  <c r="AJ19" i="123"/>
  <c r="Y10" i="78"/>
  <c r="AE24" i="123"/>
  <c r="T15" i="78"/>
  <c r="AL18" i="123"/>
  <c r="AA9" i="78"/>
  <c r="Z29" i="123"/>
  <c r="O20" i="78"/>
  <c r="Y31" i="123"/>
  <c r="N22" i="78"/>
  <c r="AB27" i="123"/>
  <c r="Q18" i="78"/>
  <c r="AF23" i="123"/>
  <c r="U14" i="78"/>
  <c r="AA28" i="123"/>
  <c r="P19" i="78"/>
  <c r="AD25" i="123"/>
  <c r="S16" i="78"/>
  <c r="AG22" i="123"/>
  <c r="V13" i="78"/>
  <c r="Y30" i="123"/>
  <c r="N21" i="78"/>
  <c r="AC26" i="123"/>
  <c r="R17" i="78"/>
  <c r="AM18" i="123" l="1"/>
  <c r="AB9" i="78"/>
  <c r="AF24" i="123"/>
  <c r="U15" i="78"/>
  <c r="AD26" i="123"/>
  <c r="S17" i="78"/>
  <c r="AE25" i="123"/>
  <c r="T16" i="78"/>
  <c r="AC27" i="123"/>
  <c r="R18" i="78"/>
  <c r="AK19" i="123"/>
  <c r="Z10" i="78"/>
  <c r="AG23" i="123"/>
  <c r="V14" i="78"/>
  <c r="AI21" i="123"/>
  <c r="X12" i="78"/>
  <c r="AA29" i="123"/>
  <c r="P20" i="78"/>
  <c r="Z30" i="123"/>
  <c r="O21" i="78"/>
  <c r="Z31" i="123"/>
  <c r="O22" i="78"/>
  <c r="AB28" i="123"/>
  <c r="Q19" i="78"/>
  <c r="AH22" i="123"/>
  <c r="W13" i="78"/>
  <c r="AJ20" i="123"/>
  <c r="Y11" i="78"/>
  <c r="AA31" i="123" l="1"/>
  <c r="P22" i="78"/>
  <c r="AF25" i="123"/>
  <c r="U16" i="78"/>
  <c r="AL19" i="123"/>
  <c r="AA10" i="78"/>
  <c r="AA30" i="123"/>
  <c r="P21" i="78"/>
  <c r="AE26" i="123"/>
  <c r="T17" i="78"/>
  <c r="AK20" i="123"/>
  <c r="Z11" i="78"/>
  <c r="AG24" i="123"/>
  <c r="V15" i="78"/>
  <c r="AB29" i="123"/>
  <c r="Q20" i="78"/>
  <c r="AJ21" i="123"/>
  <c r="Y12" i="78"/>
  <c r="AD27" i="123"/>
  <c r="S18" i="78"/>
  <c r="AI22" i="123"/>
  <c r="X13" i="78"/>
  <c r="AC28" i="123"/>
  <c r="R19" i="78"/>
  <c r="AH23" i="123"/>
  <c r="W14" i="78"/>
  <c r="AN18" i="123"/>
  <c r="AO18" i="123" s="1"/>
  <c r="AP18" i="123" s="1"/>
  <c r="AQ18" i="123" s="1"/>
  <c r="AR18" i="123" s="1"/>
  <c r="AC9" i="78"/>
  <c r="AL20" i="123" l="1"/>
  <c r="AA11" i="78"/>
  <c r="AB30" i="123"/>
  <c r="Q21" i="78"/>
  <c r="AF26" i="123"/>
  <c r="U17" i="78"/>
  <c r="AD28" i="123"/>
  <c r="S19" i="78"/>
  <c r="AM19" i="123"/>
  <c r="AB10" i="78"/>
  <c r="AE27" i="123"/>
  <c r="T18" i="78"/>
  <c r="AJ22" i="123"/>
  <c r="Y13" i="78"/>
  <c r="AG25" i="123"/>
  <c r="V16" i="78"/>
  <c r="AK21" i="123"/>
  <c r="Z12" i="78"/>
  <c r="AC29" i="123"/>
  <c r="R20" i="78"/>
  <c r="AS18" i="123"/>
  <c r="AT18" i="123" s="1"/>
  <c r="AU18" i="123" s="1"/>
  <c r="AV18" i="123" s="1"/>
  <c r="AW18" i="123" s="1"/>
  <c r="AE9" i="78" s="1"/>
  <c r="AD9" i="78"/>
  <c r="AI23" i="123"/>
  <c r="X14" i="78"/>
  <c r="AH24" i="123"/>
  <c r="W15" i="78"/>
  <c r="AB31" i="123"/>
  <c r="Q22" i="78"/>
  <c r="P25" i="125" l="1"/>
  <c r="J25" i="125" s="1"/>
  <c r="AF27" i="123"/>
  <c r="U18" i="78"/>
  <c r="AE28" i="123"/>
  <c r="T19" i="78"/>
  <c r="AJ23" i="123"/>
  <c r="Y14" i="78"/>
  <c r="AG26" i="123"/>
  <c r="V17" i="78"/>
  <c r="AN19" i="123"/>
  <c r="AO19" i="123" s="1"/>
  <c r="AP19" i="123" s="1"/>
  <c r="AQ19" i="123" s="1"/>
  <c r="AR19" i="123" s="1"/>
  <c r="AC10" i="78"/>
  <c r="AD29" i="123"/>
  <c r="S20" i="78"/>
  <c r="AC30" i="123"/>
  <c r="R21" i="78"/>
  <c r="AH25" i="123"/>
  <c r="W16" i="78"/>
  <c r="AL21" i="123"/>
  <c r="AA12" i="78"/>
  <c r="AC31" i="123"/>
  <c r="R22" i="78"/>
  <c r="AI24" i="123"/>
  <c r="X15" i="78"/>
  <c r="AK22" i="123"/>
  <c r="Z13" i="78"/>
  <c r="AM20" i="123"/>
  <c r="AB11" i="78"/>
  <c r="I9" i="125" l="1"/>
  <c r="H9" i="126" s="1"/>
  <c r="X9" i="126" s="1"/>
  <c r="O25" i="125"/>
  <c r="M25" i="125"/>
  <c r="K25" i="125"/>
  <c r="L25" i="125"/>
  <c r="H9" i="125"/>
  <c r="AS19" i="123"/>
  <c r="AT19" i="123" s="1"/>
  <c r="AU19" i="123" s="1"/>
  <c r="AV19" i="123" s="1"/>
  <c r="AW19" i="123" s="1"/>
  <c r="AE10" i="78" s="1"/>
  <c r="AD10" i="78"/>
  <c r="AH26" i="123"/>
  <c r="W17" i="78"/>
  <c r="AK23" i="123"/>
  <c r="Z14" i="78"/>
  <c r="AD31" i="123"/>
  <c r="S22" i="78"/>
  <c r="AJ24" i="123"/>
  <c r="Y15" i="78"/>
  <c r="AF28" i="123"/>
  <c r="U19" i="78"/>
  <c r="AE29" i="123"/>
  <c r="T20" i="78"/>
  <c r="AI25" i="123"/>
  <c r="X16" i="78"/>
  <c r="AL22" i="123"/>
  <c r="AA13" i="78"/>
  <c r="AM21" i="123"/>
  <c r="AB12" i="78"/>
  <c r="AN20" i="123"/>
  <c r="AO20" i="123" s="1"/>
  <c r="AP20" i="123" s="1"/>
  <c r="AQ20" i="123" s="1"/>
  <c r="AR20" i="123" s="1"/>
  <c r="AC11" i="78"/>
  <c r="AD30" i="123"/>
  <c r="S21" i="78"/>
  <c r="AG27" i="123"/>
  <c r="V18" i="78"/>
  <c r="P26" i="125" l="1"/>
  <c r="J26" i="125" s="1"/>
  <c r="AE31" i="123"/>
  <c r="T22" i="78"/>
  <c r="AS20" i="123"/>
  <c r="AT20" i="123" s="1"/>
  <c r="AU20" i="123" s="1"/>
  <c r="AV20" i="123" s="1"/>
  <c r="AW20" i="123" s="1"/>
  <c r="AE11" i="78" s="1"/>
  <c r="AD11" i="78"/>
  <c r="AL23" i="123"/>
  <c r="AA14" i="78"/>
  <c r="AE30" i="123"/>
  <c r="T21" i="78"/>
  <c r="AG28" i="123"/>
  <c r="V19" i="78"/>
  <c r="AN21" i="123"/>
  <c r="AO21" i="123" s="1"/>
  <c r="AP21" i="123" s="1"/>
  <c r="AQ21" i="123" s="1"/>
  <c r="AR21" i="123" s="1"/>
  <c r="AC12" i="78"/>
  <c r="AI26" i="123"/>
  <c r="X17" i="78"/>
  <c r="AK24" i="123"/>
  <c r="Z15" i="78"/>
  <c r="AM22" i="123"/>
  <c r="AB13" i="78"/>
  <c r="AJ25" i="123"/>
  <c r="Y16" i="78"/>
  <c r="AH27" i="123"/>
  <c r="W18" i="78"/>
  <c r="AF29" i="123"/>
  <c r="U20" i="78"/>
  <c r="P27" i="125" l="1"/>
  <c r="O27" i="125" s="1"/>
  <c r="M26" i="125"/>
  <c r="O26" i="125"/>
  <c r="I10" i="125"/>
  <c r="H10" i="126" s="1"/>
  <c r="Y10" i="126" s="1"/>
  <c r="L26" i="125"/>
  <c r="K26" i="125"/>
  <c r="H10" i="125"/>
  <c r="AG29" i="123"/>
  <c r="V20" i="78"/>
  <c r="AS21" i="123"/>
  <c r="AT21" i="123" s="1"/>
  <c r="AU21" i="123" s="1"/>
  <c r="AV21" i="123" s="1"/>
  <c r="AW21" i="123" s="1"/>
  <c r="AE12" i="78" s="1"/>
  <c r="P28" i="125" s="1"/>
  <c r="AD12" i="78"/>
  <c r="AI27" i="123"/>
  <c r="X18" i="78"/>
  <c r="AH28" i="123"/>
  <c r="W19" i="78"/>
  <c r="AK25" i="123"/>
  <c r="Z16" i="78"/>
  <c r="AF30" i="123"/>
  <c r="U21" i="78"/>
  <c r="AN22" i="123"/>
  <c r="AO22" i="123" s="1"/>
  <c r="AP22" i="123" s="1"/>
  <c r="AQ22" i="123" s="1"/>
  <c r="AR22" i="123" s="1"/>
  <c r="AC13" i="78"/>
  <c r="AM23" i="123"/>
  <c r="AB14" i="78"/>
  <c r="AL24" i="123"/>
  <c r="AA15" i="78"/>
  <c r="AJ26" i="123"/>
  <c r="Y17" i="78"/>
  <c r="AF31" i="123"/>
  <c r="U22" i="78"/>
  <c r="I11" i="125" l="1"/>
  <c r="H11" i="126" s="1"/>
  <c r="Z11" i="126" s="1"/>
  <c r="L27" i="125"/>
  <c r="K27" i="125"/>
  <c r="M27" i="125"/>
  <c r="H11" i="125"/>
  <c r="J27" i="125"/>
  <c r="J28" i="125"/>
  <c r="L28" i="125"/>
  <c r="H12" i="125"/>
  <c r="K28" i="125"/>
  <c r="I12" i="125"/>
  <c r="H12" i="126" s="1"/>
  <c r="AA12" i="126" s="1"/>
  <c r="M28" i="125"/>
  <c r="O28" i="125"/>
  <c r="AG30" i="123"/>
  <c r="V21" i="78"/>
  <c r="AG31" i="123"/>
  <c r="V22" i="78"/>
  <c r="AL25" i="123"/>
  <c r="AA16" i="78"/>
  <c r="AK26" i="123"/>
  <c r="Z17" i="78"/>
  <c r="AI28" i="123"/>
  <c r="X19" i="78"/>
  <c r="AM24" i="123"/>
  <c r="AB15" i="78"/>
  <c r="AJ27" i="123"/>
  <c r="Y18" i="78"/>
  <c r="AN23" i="123"/>
  <c r="AO23" i="123" s="1"/>
  <c r="AP23" i="123" s="1"/>
  <c r="AQ23" i="123" s="1"/>
  <c r="AR23" i="123" s="1"/>
  <c r="AC14" i="78"/>
  <c r="AS22" i="123"/>
  <c r="AT22" i="123" s="1"/>
  <c r="AU22" i="123" s="1"/>
  <c r="AV22" i="123" s="1"/>
  <c r="AW22" i="123" s="1"/>
  <c r="AE13" i="78" s="1"/>
  <c r="AD13" i="78"/>
  <c r="AH29" i="123"/>
  <c r="W20" i="78"/>
  <c r="J29" i="125" l="1"/>
  <c r="AN24" i="123"/>
  <c r="AO24" i="123" s="1"/>
  <c r="AP24" i="123" s="1"/>
  <c r="AQ24" i="123" s="1"/>
  <c r="AR24" i="123" s="1"/>
  <c r="AC15" i="78"/>
  <c r="AJ28" i="123"/>
  <c r="Y19" i="78"/>
  <c r="AI29" i="123"/>
  <c r="X20" i="78"/>
  <c r="AL26" i="123"/>
  <c r="AA17" i="78"/>
  <c r="AM25" i="123"/>
  <c r="AB16" i="78"/>
  <c r="AS23" i="123"/>
  <c r="AT23" i="123" s="1"/>
  <c r="AU23" i="123" s="1"/>
  <c r="AV23" i="123" s="1"/>
  <c r="AW23" i="123" s="1"/>
  <c r="AE14" i="78" s="1"/>
  <c r="P30" i="125" s="1"/>
  <c r="AD14" i="78"/>
  <c r="AH31" i="123"/>
  <c r="W22" i="78"/>
  <c r="AK27" i="123"/>
  <c r="Z18" i="78"/>
  <c r="AH30" i="123"/>
  <c r="W21" i="78"/>
  <c r="M29" i="125" l="1"/>
  <c r="K29" i="125"/>
  <c r="I13" i="125"/>
  <c r="H13" i="126" s="1"/>
  <c r="AB13" i="126" s="1"/>
  <c r="O29" i="125"/>
  <c r="L29" i="125"/>
  <c r="H13" i="125"/>
  <c r="J30" i="125"/>
  <c r="H14" i="125"/>
  <c r="I14" i="125"/>
  <c r="H14" i="126" s="1"/>
  <c r="AC14" i="126" s="1"/>
  <c r="K30" i="125"/>
  <c r="O30" i="125"/>
  <c r="M30" i="125"/>
  <c r="L30" i="125"/>
  <c r="AN25" i="123"/>
  <c r="AO25" i="123" s="1"/>
  <c r="AP25" i="123" s="1"/>
  <c r="AQ25" i="123" s="1"/>
  <c r="AR25" i="123" s="1"/>
  <c r="AC16" i="78"/>
  <c r="AM26" i="123"/>
  <c r="AB17" i="78"/>
  <c r="AI30" i="123"/>
  <c r="X21" i="78"/>
  <c r="AJ29" i="123"/>
  <c r="Y20" i="78"/>
  <c r="AK28" i="123"/>
  <c r="Z19" i="78"/>
  <c r="AL27" i="123"/>
  <c r="AA18" i="78"/>
  <c r="AI31" i="123"/>
  <c r="X22" i="78"/>
  <c r="AS24" i="123"/>
  <c r="AT24" i="123" s="1"/>
  <c r="AU24" i="123" s="1"/>
  <c r="AV24" i="123" s="1"/>
  <c r="AW24" i="123" s="1"/>
  <c r="AE15" i="78" s="1"/>
  <c r="P31" i="125" s="1"/>
  <c r="AD15" i="78"/>
  <c r="J31" i="125" l="1"/>
  <c r="I15" i="125"/>
  <c r="H15" i="126" s="1"/>
  <c r="AD15" i="126" s="1"/>
  <c r="H15" i="125"/>
  <c r="M31" i="125"/>
  <c r="O31" i="125"/>
  <c r="K31" i="125"/>
  <c r="L31" i="125"/>
  <c r="AM27" i="123"/>
  <c r="AB18" i="78"/>
  <c r="AL28" i="123"/>
  <c r="AA19" i="78"/>
  <c r="AK29" i="123"/>
  <c r="Z20" i="78"/>
  <c r="AJ30" i="123"/>
  <c r="Y21" i="78"/>
  <c r="AN26" i="123"/>
  <c r="AO26" i="123" s="1"/>
  <c r="AP26" i="123" s="1"/>
  <c r="AQ26" i="123" s="1"/>
  <c r="AR26" i="123" s="1"/>
  <c r="AC17" i="78"/>
  <c r="AJ31" i="123"/>
  <c r="Y22" i="78"/>
  <c r="AS25" i="123"/>
  <c r="AT25" i="123" s="1"/>
  <c r="AU25" i="123" s="1"/>
  <c r="AV25" i="123" s="1"/>
  <c r="AW25" i="123" s="1"/>
  <c r="AE16" i="78" s="1"/>
  <c r="AD16" i="78"/>
  <c r="P32" i="125" l="1"/>
  <c r="J32" i="125" s="1"/>
  <c r="AK30" i="123"/>
  <c r="Z21" i="78"/>
  <c r="AK31" i="123"/>
  <c r="Z22" i="78"/>
  <c r="AM28" i="123"/>
  <c r="AB19" i="78"/>
  <c r="AS26" i="123"/>
  <c r="AT26" i="123" s="1"/>
  <c r="AU26" i="123" s="1"/>
  <c r="AV26" i="123" s="1"/>
  <c r="AW26" i="123" s="1"/>
  <c r="AE17" i="78" s="1"/>
  <c r="P33" i="125" s="1"/>
  <c r="AD17" i="78"/>
  <c r="AL29" i="123"/>
  <c r="AA20" i="78"/>
  <c r="AN27" i="123"/>
  <c r="AO27" i="123" s="1"/>
  <c r="AP27" i="123" s="1"/>
  <c r="AQ27" i="123" s="1"/>
  <c r="AR27" i="123" s="1"/>
  <c r="AC18" i="78"/>
  <c r="I16" i="125" l="1"/>
  <c r="H16" i="126" s="1"/>
  <c r="AE16" i="126" s="1"/>
  <c r="L32" i="125"/>
  <c r="M32" i="125"/>
  <c r="K32" i="125"/>
  <c r="O32" i="125"/>
  <c r="H16" i="125"/>
  <c r="J33" i="125"/>
  <c r="H17" i="125"/>
  <c r="K33" i="125"/>
  <c r="I17" i="125"/>
  <c r="H17" i="126" s="1"/>
  <c r="AF17" i="126" s="1"/>
  <c r="L33" i="125"/>
  <c r="M33" i="125"/>
  <c r="O33" i="125"/>
  <c r="AM29" i="123"/>
  <c r="AB20" i="78"/>
  <c r="AS27" i="123"/>
  <c r="AT27" i="123" s="1"/>
  <c r="AU27" i="123" s="1"/>
  <c r="AV27" i="123" s="1"/>
  <c r="AW27" i="123" s="1"/>
  <c r="AE18" i="78" s="1"/>
  <c r="AD18" i="78"/>
  <c r="AL31" i="123"/>
  <c r="AA22" i="78"/>
  <c r="AN28" i="123"/>
  <c r="AO28" i="123" s="1"/>
  <c r="AP28" i="123" s="1"/>
  <c r="AQ28" i="123" s="1"/>
  <c r="AR28" i="123" s="1"/>
  <c r="AC19" i="78"/>
  <c r="AL30" i="123"/>
  <c r="AA21" i="78"/>
  <c r="P34" i="125" l="1"/>
  <c r="J34" i="125" s="1"/>
  <c r="AS28" i="123"/>
  <c r="AT28" i="123" s="1"/>
  <c r="AU28" i="123" s="1"/>
  <c r="AV28" i="123" s="1"/>
  <c r="AW28" i="123" s="1"/>
  <c r="AE19" i="78" s="1"/>
  <c r="P35" i="125" s="1"/>
  <c r="AD19" i="78"/>
  <c r="AM30" i="123"/>
  <c r="AB21" i="78"/>
  <c r="AM31" i="123"/>
  <c r="AB22" i="78"/>
  <c r="AN29" i="123"/>
  <c r="AO29" i="123" s="1"/>
  <c r="AP29" i="123" s="1"/>
  <c r="AQ29" i="123" s="1"/>
  <c r="AR29" i="123" s="1"/>
  <c r="AC20" i="78"/>
  <c r="O34" i="125" l="1"/>
  <c r="I18" i="125"/>
  <c r="H18" i="126" s="1"/>
  <c r="AG18" i="126" s="1"/>
  <c r="M34" i="125"/>
  <c r="H18" i="125"/>
  <c r="L34" i="125"/>
  <c r="K34" i="125"/>
  <c r="J35" i="125"/>
  <c r="H19" i="125"/>
  <c r="I19" i="125"/>
  <c r="H19" i="126" s="1"/>
  <c r="AH19" i="126" s="1"/>
  <c r="K35" i="125"/>
  <c r="M35" i="125"/>
  <c r="L35" i="125"/>
  <c r="O35" i="125"/>
  <c r="AS29" i="123"/>
  <c r="AT29" i="123" s="1"/>
  <c r="AU29" i="123" s="1"/>
  <c r="AV29" i="123" s="1"/>
  <c r="AW29" i="123" s="1"/>
  <c r="AE20" i="78" s="1"/>
  <c r="P36" i="125" s="1"/>
  <c r="AD20" i="78"/>
  <c r="AN30" i="123"/>
  <c r="AO30" i="123" s="1"/>
  <c r="AP30" i="123" s="1"/>
  <c r="AQ30" i="123" s="1"/>
  <c r="AR30" i="123" s="1"/>
  <c r="AC21" i="78"/>
  <c r="AN31" i="123"/>
  <c r="AO31" i="123" s="1"/>
  <c r="AP31" i="123" s="1"/>
  <c r="AQ31" i="123" s="1"/>
  <c r="AR31" i="123" s="1"/>
  <c r="AC22" i="78"/>
  <c r="O36" i="125" l="1"/>
  <c r="H20" i="125"/>
  <c r="I20" i="125"/>
  <c r="H20" i="126" s="1"/>
  <c r="AI20" i="126" s="1"/>
  <c r="K36" i="125"/>
  <c r="M36" i="125"/>
  <c r="L36" i="125"/>
  <c r="J36" i="125"/>
  <c r="AS30" i="123"/>
  <c r="AT30" i="123" s="1"/>
  <c r="AU30" i="123" s="1"/>
  <c r="AV30" i="123" s="1"/>
  <c r="AW30" i="123" s="1"/>
  <c r="AE21" i="78" s="1"/>
  <c r="AD21" i="78"/>
  <c r="AS31" i="123"/>
  <c r="AT31" i="123" s="1"/>
  <c r="AU31" i="123" s="1"/>
  <c r="AV31" i="123" s="1"/>
  <c r="AW31" i="123" s="1"/>
  <c r="AE22" i="78" s="1"/>
  <c r="P38" i="125" s="1"/>
  <c r="AD22" i="78"/>
  <c r="L37" i="125" l="1"/>
  <c r="J38" i="125"/>
  <c r="H22" i="125"/>
  <c r="O38" i="125"/>
  <c r="K38" i="125"/>
  <c r="L38" i="125"/>
  <c r="I22" i="125"/>
  <c r="H22" i="126" s="1"/>
  <c r="AK22" i="126" s="1"/>
  <c r="M38" i="125"/>
  <c r="O37" i="125"/>
  <c r="H21" i="125"/>
  <c r="I21" i="125"/>
  <c r="H21" i="126" s="1"/>
  <c r="AJ21" i="126" s="1"/>
  <c r="M37" i="125"/>
  <c r="J37" i="125"/>
  <c r="K37" i="125" l="1"/>
  <c r="AA19" i="99"/>
  <c r="AA18" i="99"/>
  <c r="AA3" i="99" l="1"/>
  <c r="Z3" i="99"/>
  <c r="E25" i="76"/>
  <c r="E24" i="76"/>
  <c r="E10" i="76"/>
  <c r="E11" i="76"/>
  <c r="E12" i="76"/>
  <c r="E13" i="76"/>
  <c r="E14" i="76"/>
  <c r="E15" i="76"/>
  <c r="E16" i="76"/>
  <c r="E17" i="76"/>
  <c r="E18" i="76"/>
  <c r="E19" i="76"/>
  <c r="E20" i="76"/>
  <c r="E21" i="76"/>
  <c r="E22" i="76"/>
  <c r="A2" i="78"/>
  <c r="A2" i="76"/>
  <c r="A3" i="99"/>
  <c r="V3" i="99"/>
  <c r="U3" i="99"/>
  <c r="T3" i="99"/>
  <c r="P20" i="99"/>
  <c r="O20" i="99"/>
  <c r="O21" i="99"/>
  <c r="P26" i="99"/>
  <c r="P27" i="99"/>
  <c r="B9" i="78"/>
  <c r="E9" i="78" s="1"/>
  <c r="C9" i="78"/>
  <c r="D9" i="78"/>
  <c r="B10" i="78"/>
  <c r="E10" i="78" s="1"/>
  <c r="C10" i="78"/>
  <c r="D10" i="78"/>
  <c r="B11" i="78"/>
  <c r="C11" i="78"/>
  <c r="D11" i="78"/>
  <c r="B12" i="78"/>
  <c r="C12" i="78"/>
  <c r="D12" i="78"/>
  <c r="B13" i="78"/>
  <c r="E13" i="78" s="1"/>
  <c r="C13" i="78"/>
  <c r="D13" i="78"/>
  <c r="B14" i="78"/>
  <c r="C14" i="78"/>
  <c r="D14" i="78"/>
  <c r="B15" i="78"/>
  <c r="C15" i="78"/>
  <c r="D15" i="78"/>
  <c r="B16" i="78"/>
  <c r="C16" i="78"/>
  <c r="D16" i="78"/>
  <c r="B17" i="78"/>
  <c r="C17" i="78"/>
  <c r="D17" i="78"/>
  <c r="B18" i="78"/>
  <c r="C18" i="78"/>
  <c r="D18" i="78"/>
  <c r="B19" i="78"/>
  <c r="C19" i="78"/>
  <c r="D19" i="78"/>
  <c r="B20" i="78"/>
  <c r="E20" i="78" s="1"/>
  <c r="C20" i="78"/>
  <c r="D20" i="78"/>
  <c r="B21" i="78"/>
  <c r="C21" i="78"/>
  <c r="D21" i="78"/>
  <c r="B22" i="78"/>
  <c r="E22" i="78" s="1"/>
  <c r="C22" i="78"/>
  <c r="D22" i="78"/>
  <c r="B15" i="99"/>
  <c r="B14" i="99"/>
  <c r="V4" i="99"/>
  <c r="P21" i="99"/>
  <c r="Q20" i="99"/>
  <c r="Q21" i="99"/>
  <c r="U4" i="99"/>
  <c r="S3" i="99"/>
  <c r="T4" i="99"/>
  <c r="Q26" i="99"/>
  <c r="W3" i="99"/>
  <c r="O26" i="99"/>
  <c r="R20" i="99"/>
  <c r="N20" i="99"/>
  <c r="W4" i="99"/>
  <c r="X3" i="99"/>
  <c r="R21" i="99"/>
  <c r="S20" i="99"/>
  <c r="M20" i="99"/>
  <c r="N21" i="99"/>
  <c r="O27" i="99"/>
  <c r="N26" i="99"/>
  <c r="R3" i="99"/>
  <c r="S4" i="99"/>
  <c r="Q27" i="99"/>
  <c r="R26" i="99"/>
  <c r="L20" i="99"/>
  <c r="M21" i="99"/>
  <c r="S21" i="99"/>
  <c r="T20" i="99"/>
  <c r="N27" i="99"/>
  <c r="M26" i="99"/>
  <c r="Q3" i="99"/>
  <c r="R4" i="99"/>
  <c r="S26" i="99"/>
  <c r="R27" i="99"/>
  <c r="Y3" i="99"/>
  <c r="X4" i="99"/>
  <c r="P3" i="99"/>
  <c r="Q4" i="99"/>
  <c r="M27" i="99"/>
  <c r="L26" i="99"/>
  <c r="Y4" i="99"/>
  <c r="T26" i="99"/>
  <c r="S27" i="99"/>
  <c r="K20" i="99"/>
  <c r="L21" i="99"/>
  <c r="T21" i="99"/>
  <c r="U20" i="99"/>
  <c r="U21" i="99"/>
  <c r="U26" i="99"/>
  <c r="U27" i="99"/>
  <c r="T27" i="99"/>
  <c r="O3" i="99"/>
  <c r="P4" i="99"/>
  <c r="L27" i="99"/>
  <c r="K26" i="99"/>
  <c r="K21" i="99"/>
  <c r="J20" i="99"/>
  <c r="N3" i="99"/>
  <c r="O4" i="99"/>
  <c r="K27" i="99"/>
  <c r="J26" i="99"/>
  <c r="J21" i="99"/>
  <c r="I20" i="99"/>
  <c r="M3" i="99"/>
  <c r="N4" i="99"/>
  <c r="I26" i="99"/>
  <c r="J27" i="99"/>
  <c r="I21" i="99"/>
  <c r="H20" i="99"/>
  <c r="H26" i="99"/>
  <c r="I27" i="99"/>
  <c r="H21" i="99"/>
  <c r="G20" i="99"/>
  <c r="M4" i="99"/>
  <c r="L3" i="99"/>
  <c r="G21" i="99"/>
  <c r="F20" i="99"/>
  <c r="K3" i="99"/>
  <c r="L4" i="99"/>
  <c r="G26" i="99"/>
  <c r="H27" i="99"/>
  <c r="J3" i="99"/>
  <c r="K4" i="99"/>
  <c r="G27" i="99"/>
  <c r="F26" i="99"/>
  <c r="F21" i="99"/>
  <c r="E20" i="99"/>
  <c r="E21" i="99"/>
  <c r="D20" i="99"/>
  <c r="I3" i="99"/>
  <c r="J4" i="99"/>
  <c r="F27" i="99"/>
  <c r="E26" i="99"/>
  <c r="E27" i="99"/>
  <c r="D26" i="99"/>
  <c r="D21" i="99"/>
  <c r="C20" i="99"/>
  <c r="H3" i="99"/>
  <c r="I4" i="99"/>
  <c r="C21" i="99"/>
  <c r="B20" i="99"/>
  <c r="B21" i="99"/>
  <c r="G3" i="99"/>
  <c r="H4" i="99"/>
  <c r="D27" i="99"/>
  <c r="C26" i="99"/>
  <c r="C27" i="99"/>
  <c r="B26" i="99"/>
  <c r="B27" i="99"/>
  <c r="F3" i="99"/>
  <c r="G4" i="99"/>
  <c r="E3" i="99"/>
  <c r="F4" i="99"/>
  <c r="D3" i="99"/>
  <c r="E4" i="99"/>
  <c r="C3" i="99"/>
  <c r="D4" i="99"/>
  <c r="B3" i="99"/>
  <c r="B4" i="99"/>
  <c r="C4" i="99"/>
  <c r="E11" i="78" l="1"/>
  <c r="E14" i="78"/>
  <c r="E15" i="78"/>
  <c r="E17" i="78"/>
  <c r="E21" i="78"/>
  <c r="E16" i="78"/>
  <c r="E12" i="78"/>
  <c r="A1" i="127" l="1"/>
  <c r="A1" i="1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Bruno</author>
  </authors>
  <commentList>
    <comment ref="H3" authorId="0" shapeId="0" xr:uid="{8B9C66CA-1C70-499C-8246-84CEC0BF5678}">
      <text>
        <r>
          <rPr>
            <b/>
            <sz val="9"/>
            <color indexed="81"/>
            <rFont val="Tahoma"/>
            <family val="2"/>
          </rPr>
          <t>Bruno:</t>
        </r>
        <r>
          <rPr>
            <sz val="9"/>
            <color indexed="81"/>
            <rFont val="Tahoma"/>
            <family val="2"/>
          </rPr>
          <t xml:space="preserve">
Need ramp rate constraints if using this option.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4D0D886B-E884-4089-8B39-E51BD7DA1F9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tc={D6BE2BCB-194A-4561-848C-3D641DA63CE9}</author>
    <author>tc={34470E80-6EFF-492B-B043-510D6355E5A1}</author>
    <author>tc={61B4C5D0-6230-4E3C-A6FF-96D7F134D6E4}</author>
    <author>Ken Noble</author>
    <author>tc={802292D2-A58E-4186-84FD-92D56B0D268C}</author>
  </authors>
  <commentList>
    <comment ref="K3" authorId="0" shapeId="0" xr:uid="{D6BE2BCB-194A-4561-848C-3D641DA63CE9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EPRI 2017 (diff between with FGD and without)</t>
      </text>
    </comment>
    <comment ref="M3" authorId="1" shapeId="0" xr:uid="{34470E80-6EFF-492B-B043-510D6355E5A1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Medupi cost from Eskom</t>
      </text>
    </comment>
    <comment ref="N3" authorId="2" shapeId="0" xr:uid="{61B4C5D0-6230-4E3C-A6FF-96D7F134D6E4}">
      <text>
        <t>[Threaded comment]
Your version of Excel allows you to read this threaded comment; however, any edits to it will get removed if the file is opened in a newer version of Excel. Learn more: https://go.microsoft.com/fwlink/?linkid=870924
Comment:
    -ve lead times means that capacity will show +ve the year NCAP is +ve</t>
      </text>
    </comment>
    <comment ref="G7" authorId="3" shapeId="0" xr:uid="{BBB15947-C54D-4BB9-8ABB-FB91F60F6312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  <comment ref="I9" authorId="4" shapeId="0" xr:uid="{802292D2-A58E-4186-84FD-92D56B0D268C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Kusile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9B9334FF-F3C8-4720-AFF7-9D6FF2F649B8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F70C97DE-E0DD-4EE5-84EE-4E4795B66AB4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tc={257C1785-4088-424C-8C77-42576C9EBD7A}</author>
    <author>tc={081A5CF9-2741-48FD-9B06-DBEB1445DC14}</author>
    <author>tc={6ADD44AC-8E57-49E9-B457-8A6775E0F685}</author>
  </authors>
  <commentList>
    <comment ref="R11" authorId="0" shapeId="0" xr:uid="{257C1785-4088-424C-8C77-42576C9EBD7A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Assumed units in Table 5 to the right are in 1000 ZAR not 1000000 ZAR (otherwise FGD would cost R17 trillion!)</t>
      </text>
    </comment>
    <comment ref="P13" authorId="1" shapeId="0" xr:uid="{081A5CF9-2741-48FD-9B06-DBEB1445DC14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 ratio as per cells D14/D15</t>
      </text>
    </comment>
    <comment ref="P14" authorId="2" shapeId="0" xr:uid="{6ADD44AC-8E57-49E9-B457-8A6775E0F685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 ratio as per cells D14/D15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tc={CAC039C3-45A0-4B24-8903-AB355E0E78BF}</author>
    <author>tc={A56F49DA-77CC-4F58-81C5-A287A6927C03}</author>
    <author>tc={39922491-4338-4961-9DD1-73A0A449A8E3}</author>
    <author>tc={08EC9000-65E3-4915-ADBE-69B3AE93E2CC}</author>
    <author>tc={B3F8E481-AAA2-4AAF-B09A-C6B3D1D8F054}</author>
    <author>tc={D7EE6B3F-A32E-4164-8C15-0454271B7E95}</author>
    <author>tc={E44EAD9C-85E6-4AB2-9A14-13EEF62E654A}</author>
    <author>tc={BDF00AA0-7C8B-4D54-B0DE-3A893B061826}</author>
  </authors>
  <commentList>
    <comment ref="G59" authorId="0" shapeId="0" xr:uid="{CAC039C3-45A0-4B24-8903-AB355E0E78BF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01" authorId="1" shapeId="0" xr:uid="{A56F49DA-77CC-4F58-81C5-A287A6927C03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41" authorId="2" shapeId="0" xr:uid="{39922491-4338-4961-9DD1-73A0A449A8E3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59" authorId="3" shapeId="0" xr:uid="{08EC9000-65E3-4915-ADBE-69B3AE93E2CC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76" authorId="4" shapeId="0" xr:uid="{B3F8E481-AAA2-4AAF-B09A-C6B3D1D8F054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95" authorId="5" shapeId="0" xr:uid="{D7EE6B3F-A32E-4164-8C15-0454271B7E95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213" authorId="6" shapeId="0" xr:uid="{E44EAD9C-85E6-4AB2-9A14-13EEF62E654A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230" authorId="7" shapeId="0" xr:uid="{BDF00AA0-7C8B-4D54-B0DE-3A893B061826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00000000-0006-0000-0C00-00000100000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D7" authorId="0" shapeId="0" xr:uid="{00000000-0006-0000-1D00-000001000000}">
      <text>
        <r>
          <rPr>
            <b/>
            <sz val="8"/>
            <color indexed="81"/>
            <rFont val="Tahoma"/>
            <family val="2"/>
          </rPr>
          <t>Ken Noble:</t>
        </r>
        <r>
          <rPr>
            <sz val="8"/>
            <color indexed="81"/>
            <rFont val="Tahoma"/>
            <family val="2"/>
          </rPr>
          <t xml:space="preserve">
Retain Units column as optional?  Hide the column?</t>
        </r>
      </text>
    </comment>
    <comment ref="V7" authorId="0" shapeId="0" xr:uid="{00000000-0006-0000-1D00-000002000000}">
      <text>
        <r>
          <rPr>
            <sz val="8"/>
            <color indexed="81"/>
            <rFont val="Tahoma"/>
            <family val="2"/>
          </rPr>
          <t>Parameter UC_CUMCOMNET is a TID parameter.</t>
        </r>
      </text>
    </comment>
    <comment ref="W7" authorId="0" shapeId="0" xr:uid="{00000000-0006-0000-1D00-000003000000}">
      <text>
        <r>
          <rPr>
            <sz val="8"/>
            <color indexed="81"/>
            <rFont val="Tahoma"/>
            <family val="2"/>
          </rPr>
          <t>Parameter UC_CUMACT is a TID parameter.</t>
        </r>
      </text>
    </comment>
    <comment ref="X7" authorId="0" shapeId="0" xr:uid="{00000000-0006-0000-1D00-000004000000}">
      <text>
        <r>
          <rPr>
            <sz val="8"/>
            <color indexed="81"/>
            <rFont val="Tahoma"/>
            <family val="2"/>
          </rPr>
          <t>Parameter UC_CUMFLO is a TID parameter.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<sst xmlns="http://schemas.openxmlformats.org/spreadsheetml/2006/main" count="1332" uniqueCount="401">
  <si>
    <t>Comment</t>
  </si>
  <si>
    <t>Set Memberships</t>
  </si>
  <si>
    <t>Parameter</t>
  </si>
  <si>
    <t>Arg1</t>
  </si>
  <si>
    <t>Arg2</t>
  </si>
  <si>
    <t>Arg3</t>
  </si>
  <si>
    <t>Arg4</t>
  </si>
  <si>
    <t>Arg5</t>
  </si>
  <si>
    <t>Arg6</t>
  </si>
  <si>
    <t>I/E Opt</t>
  </si>
  <si>
    <t>ANSWER-TS DATA</t>
  </si>
  <si>
    <t>ANSWER-TS TRADE</t>
  </si>
  <si>
    <t>ANSWER-TID TRADE</t>
  </si>
  <si>
    <t>Comp</t>
  </si>
  <si>
    <t>Name</t>
  </si>
  <si>
    <t>Description</t>
  </si>
  <si>
    <t>Region</t>
  </si>
  <si>
    <t>_GLOBAL</t>
  </si>
  <si>
    <t>Special region for data parameters with no REG arg</t>
  </si>
  <si>
    <t>ALL_REG</t>
  </si>
  <si>
    <t>Unit(s)</t>
  </si>
  <si>
    <t>Value</t>
  </si>
  <si>
    <t>I/E Opt
or Value</t>
  </si>
  <si>
    <t>ANSWER-TID DATA</t>
  </si>
  <si>
    <t>Region2</t>
  </si>
  <si>
    <t>* Pre-defined Commodity Groups (cell A10 should contain comma-delimited list of all Internal Regions)</t>
  </si>
  <si>
    <t>D</t>
  </si>
  <si>
    <t>ACTGRP</t>
  </si>
  <si>
    <t>Activity-related Group</t>
  </si>
  <si>
    <t>COM_GRP,COM_GRPDEF</t>
  </si>
  <si>
    <t>DEM</t>
  </si>
  <si>
    <t>Demand Commodity Type</t>
  </si>
  <si>
    <t>ENV</t>
  </si>
  <si>
    <t>Environmental Commodity Type</t>
  </si>
  <si>
    <t>FIN</t>
  </si>
  <si>
    <t>Financial Commodity Type</t>
  </si>
  <si>
    <t>MAT</t>
  </si>
  <si>
    <t>Material Commodity Type</t>
  </si>
  <si>
    <t>NRG</t>
  </si>
  <si>
    <t>Energy Commodity Type</t>
  </si>
  <si>
    <t>CommName</t>
  </si>
  <si>
    <t>CommDesc</t>
  </si>
  <si>
    <t>CommUnit</t>
  </si>
  <si>
    <t>Units</t>
  </si>
  <si>
    <t>TID</t>
  </si>
  <si>
    <t>TimeSlice</t>
  </si>
  <si>
    <t>ConstrName</t>
  </si>
  <si>
    <t>ConstrDesc</t>
  </si>
  <si>
    <t>UC_R_EACH</t>
  </si>
  <si>
    <t>UC_TS_EACH</t>
  </si>
  <si>
    <t>UC_CUMCOMNET</t>
  </si>
  <si>
    <t>2010-2030</t>
  </si>
  <si>
    <t>UC_CUMACT</t>
  </si>
  <si>
    <t>UC_MARK</t>
  </si>
  <si>
    <t>UC_CUMFLO</t>
  </si>
  <si>
    <t>UC_TSL</t>
  </si>
  <si>
    <t>ProcName</t>
  </si>
  <si>
    <t>ProcDesc</t>
  </si>
  <si>
    <t>UC__RHSRTS</t>
  </si>
  <si>
    <t>Limit</t>
  </si>
  <si>
    <t>UC__RHSR</t>
  </si>
  <si>
    <t>UC__RHSRT</t>
  </si>
  <si>
    <t>UC_CAP</t>
  </si>
  <si>
    <t>Side</t>
  </si>
  <si>
    <t>UC_T_EACH</t>
  </si>
  <si>
    <t>1 arg: BD (TID)</t>
  </si>
  <si>
    <t>1 arg: BD (TS)</t>
  </si>
  <si>
    <t>0 args (TID)</t>
  </si>
  <si>
    <t>0 args (TS)</t>
  </si>
  <si>
    <t>1 arg: TS (TID)</t>
  </si>
  <si>
    <t>2 args: TS,BD (TS)</t>
  </si>
  <si>
    <t>3 args: PRC,COM,BD (TS)</t>
  </si>
  <si>
    <t>UC_COMCON</t>
  </si>
  <si>
    <t>2 args: SIDE,PRC (TS)</t>
  </si>
  <si>
    <t>UC_ACT</t>
  </si>
  <si>
    <t>UC_FLO</t>
  </si>
  <si>
    <t>UC_IRE</t>
  </si>
  <si>
    <t>Imp/Exp</t>
  </si>
  <si>
    <t>UC_ATTR</t>
  </si>
  <si>
    <t>TSLevel</t>
  </si>
  <si>
    <t>CommIN</t>
  </si>
  <si>
    <t>CommOUT</t>
  </si>
  <si>
    <t>VarType,ParamName</t>
  </si>
  <si>
    <t>2 args: SIDE,TSLevel (TID)</t>
  </si>
  <si>
    <t>3 args: SIDE,COM,TS (TS)</t>
  </si>
  <si>
    <t>3 args: SIDE,PRC,TS (TS)</t>
  </si>
  <si>
    <t>4 args: SIDE,PRC,COM,TS (TS)</t>
  </si>
  <si>
    <t>5 args: SIDE,PRC,COM,TS, IE (TS)</t>
  </si>
  <si>
    <t>3 args: COM,Yr,Yr</t>
  </si>
  <si>
    <t>3 args: PRC,Yr,Yr</t>
  </si>
  <si>
    <t>4 args: PRC,COM,Yr,Yr</t>
  </si>
  <si>
    <t>3 args: Side,VarType,ParamName</t>
  </si>
  <si>
    <t>*</t>
  </si>
  <si>
    <t>ProcUnits</t>
  </si>
  <si>
    <t>Activity I/O</t>
  </si>
  <si>
    <t>IMPEXP</t>
  </si>
  <si>
    <t>* External Regions</t>
  </si>
  <si>
    <t>ALL_REG,REG_EXT</t>
  </si>
  <si>
    <t>MINRNW</t>
  </si>
  <si>
    <t>ANSWER-Commodities</t>
  </si>
  <si>
    <t>ANSWER-REGIONS</t>
  </si>
  <si>
    <t>_GLOBAL,IMPEXP,MINRNW</t>
  </si>
  <si>
    <t>* Internal Regions (insert below and adjust cell B1 accordingly)</t>
  </si>
  <si>
    <t>ANSWER-Constraints</t>
  </si>
  <si>
    <t>ANSWER-CommData</t>
  </si>
  <si>
    <t>ANSWER-Processes</t>
  </si>
  <si>
    <t>ANSWER-ConstrData</t>
  </si>
  <si>
    <t>ANSWER-ITEMS</t>
  </si>
  <si>
    <t>ANSWER-TS&amp;TID DATA</t>
  </si>
  <si>
    <t>ANSWER-TS&amp;TID TRADE</t>
  </si>
  <si>
    <t>ANSWER-ProcData</t>
  </si>
  <si>
    <t>* On TS&amp;TID TRADE sheet, a single region must be specified in column A (a comma-separated region-list is not allowed) and a single region must be specified in column B</t>
  </si>
  <si>
    <t>* On TID TRADE sheet, a single region must be specified in column A (a comma-separated region-list is not allowed) and a single region must be specified in column B</t>
  </si>
  <si>
    <t>* On TS TRADE sheet, a single region must be specified in column A (a comma-separated region-list is not allowed) and a single region must be specified in column B</t>
  </si>
  <si>
    <t>ANSv2-692-Home</t>
  </si>
  <si>
    <t>PJ</t>
  </si>
  <si>
    <t>COM,NRG,ANNUAL,FOSSIL</t>
  </si>
  <si>
    <t>PRC_CAPACT</t>
  </si>
  <si>
    <t>ACT_COST</t>
  </si>
  <si>
    <t>ANNUAL</t>
  </si>
  <si>
    <t>R/GJ</t>
  </si>
  <si>
    <t>ELCC</t>
  </si>
  <si>
    <t>REGION1</t>
  </si>
  <si>
    <t>TWh</t>
  </si>
  <si>
    <t>PRC,XTRACT,PRE,ANNUAL</t>
  </si>
  <si>
    <t>PJ,GW</t>
  </si>
  <si>
    <t>Existing Capacity</t>
  </si>
  <si>
    <t>Capacity to Activity</t>
  </si>
  <si>
    <t>Variable Cost</t>
  </si>
  <si>
    <t>PRC_RESID</t>
  </si>
  <si>
    <t>Fixed Cost</t>
  </si>
  <si>
    <t>NCAP_FOM</t>
  </si>
  <si>
    <t>GW</t>
  </si>
  <si>
    <t>Life</t>
  </si>
  <si>
    <t>KUSILE</t>
  </si>
  <si>
    <t>ETCLEKUSI-N</t>
  </si>
  <si>
    <t>MEDUPI</t>
  </si>
  <si>
    <t>ETCLEMEDU-N</t>
  </si>
  <si>
    <t>* New Power Plants - Grid</t>
  </si>
  <si>
    <t>TUTUKA</t>
  </si>
  <si>
    <t>ETCLETUTU-E</t>
  </si>
  <si>
    <t>MATLA</t>
  </si>
  <si>
    <t>ETCLEMATL-E</t>
  </si>
  <si>
    <t>MATIMBA</t>
  </si>
  <si>
    <t>ETCLEMATI-E</t>
  </si>
  <si>
    <t>MAJUBA WET</t>
  </si>
  <si>
    <t>ETCLEMAJW-E</t>
  </si>
  <si>
    <t>MAJUBA DRY</t>
  </si>
  <si>
    <t>ETCLEMAJD-E</t>
  </si>
  <si>
    <t>LETHABO</t>
  </si>
  <si>
    <t>ETCLELETH-E</t>
  </si>
  <si>
    <t>KRIEL</t>
  </si>
  <si>
    <t>ETCLEKRIE-E</t>
  </si>
  <si>
    <t>KENDAL</t>
  </si>
  <si>
    <t>ETCLEKEND-E</t>
  </si>
  <si>
    <t>HENDRINA</t>
  </si>
  <si>
    <t>ETCLEHEND-E</t>
  </si>
  <si>
    <t>DUVHA</t>
  </si>
  <si>
    <t>ETCLEDUVH-E</t>
  </si>
  <si>
    <t>ARNOT</t>
  </si>
  <si>
    <t>ETCLEARNO-E</t>
  </si>
  <si>
    <t>KOMATI</t>
  </si>
  <si>
    <t>ETCLEKOMA-E</t>
  </si>
  <si>
    <t>GROOTVLEI</t>
  </si>
  <si>
    <t>ETCLEGROO-E</t>
  </si>
  <si>
    <t>CAMDEN</t>
  </si>
  <si>
    <t>ETCLECAMD-E</t>
  </si>
  <si>
    <t>* Existing Power Plants pre 2012 - Grid</t>
  </si>
  <si>
    <t>PWRCLEMEDU</t>
  </si>
  <si>
    <t>PWRCLEKUSI</t>
  </si>
  <si>
    <t>* Commodities for new plants</t>
  </si>
  <si>
    <t>* commodities for existing plants</t>
  </si>
  <si>
    <t>PWRCLETUTU</t>
  </si>
  <si>
    <t>PWRCLEMATL</t>
  </si>
  <si>
    <t>PWRCLEMATI</t>
  </si>
  <si>
    <t>PWRCLEMAJU</t>
  </si>
  <si>
    <t>PWRCLELETH</t>
  </si>
  <si>
    <t>PWRCLEKRIE</t>
  </si>
  <si>
    <t>PWRCLEKOMA</t>
  </si>
  <si>
    <t>PWRCLEKEND</t>
  </si>
  <si>
    <t>PWRCLEHEND</t>
  </si>
  <si>
    <t>PWRCLEGROO</t>
  </si>
  <si>
    <t>PWRCLEDUVH</t>
  </si>
  <si>
    <t>PWRCLECAMD</t>
  </si>
  <si>
    <t>PWRCLEARNO</t>
  </si>
  <si>
    <t>DAYNITE</t>
  </si>
  <si>
    <t>PWRSOXS</t>
  </si>
  <si>
    <t>FLO_EMIS-I</t>
  </si>
  <si>
    <t>NCAP_TLIFE</t>
  </si>
  <si>
    <t>NCAP_COST</t>
  </si>
  <si>
    <t>NCAP_BND-FX</t>
  </si>
  <si>
    <t>NCAP_ILED</t>
  </si>
  <si>
    <t>Committed New Capacity</t>
  </si>
  <si>
    <t>Lead time</t>
  </si>
  <si>
    <t>Overnight Investment Cost</t>
  </si>
  <si>
    <t>Grootvlei</t>
  </si>
  <si>
    <t>Komati</t>
  </si>
  <si>
    <t>Majuba</t>
  </si>
  <si>
    <t>Hendrina</t>
  </si>
  <si>
    <t>Kriel</t>
  </si>
  <si>
    <t>Matla</t>
  </si>
  <si>
    <t>Arnot</t>
  </si>
  <si>
    <t>Tutuka</t>
  </si>
  <si>
    <t>Medupi</t>
  </si>
  <si>
    <t>Matimba</t>
  </si>
  <si>
    <t>Lethabo</t>
  </si>
  <si>
    <t>Kendal</t>
  </si>
  <si>
    <t>Duvha</t>
  </si>
  <si>
    <t>Camden</t>
  </si>
  <si>
    <t>Kusile</t>
  </si>
  <si>
    <t>Unit #</t>
  </si>
  <si>
    <t>Capacity</t>
  </si>
  <si>
    <t>Combined</t>
  </si>
  <si>
    <t>ZAR/USD Exchange Rate from IRP 2010:</t>
  </si>
  <si>
    <t>South Africa</t>
  </si>
  <si>
    <t>Country Name</t>
  </si>
  <si>
    <t>Real effective exchange rate index (2010 = 100)</t>
  </si>
  <si>
    <t>Multiplier</t>
  </si>
  <si>
    <t xml:space="preserve">Official Exchange Rate (LCU per US$, period average) </t>
  </si>
  <si>
    <t>United States</t>
  </si>
  <si>
    <t>GDP deflator (annual change %) for US from "The World Bank"</t>
  </si>
  <si>
    <t>or divide by</t>
  </si>
  <si>
    <t>multipy by</t>
  </si>
  <si>
    <t>Conversion factor</t>
  </si>
  <si>
    <t>Rands</t>
  </si>
  <si>
    <t>Year to Convert to</t>
  </si>
  <si>
    <t>Year to Convert from</t>
  </si>
  <si>
    <t>downloaded August 2016</t>
  </si>
  <si>
    <t>http://search.worldbank.org/data?qterm=gdp%20deflator%20%22south%20africa%22&amp;language=EN</t>
  </si>
  <si>
    <t>GDP deflator (annual change %) for South Africa from "The World Bank"</t>
  </si>
  <si>
    <t>http://beta2.statssa.gov.za/publications/P0141/CPIHistory.pdf</t>
  </si>
  <si>
    <t>Sheets to Import</t>
  </si>
  <si>
    <t>* Existing Power Plants</t>
  </si>
  <si>
    <t>Number of Units</t>
  </si>
  <si>
    <t>RCAP_BND-UP</t>
  </si>
  <si>
    <t>Endo retirement upper limit</t>
  </si>
  <si>
    <t>WEEKLY</t>
  </si>
  <si>
    <t>Coal Plants,CCGT Timeslice Resolution</t>
  </si>
  <si>
    <t>Can't change output level within daytype/season</t>
  </si>
  <si>
    <t>Can change output level diurnaly</t>
  </si>
  <si>
    <t>PRC_ACTFLO</t>
  </si>
  <si>
    <t>R/kW</t>
  </si>
  <si>
    <t>High</t>
  </si>
  <si>
    <t>Relationship between main activity flow and other flows (l/GJ)</t>
  </si>
  <si>
    <t>R/MWh</t>
  </si>
  <si>
    <t>TIMES scenario components:</t>
  </si>
  <si>
    <t>All zeros in top table -&gt; TCH_PWR</t>
  </si>
  <si>
    <t>All power plants techs and commodities</t>
  </si>
  <si>
    <t>Investment Cost</t>
  </si>
  <si>
    <t>Processes</t>
  </si>
  <si>
    <t>Scenarios - I do not know how much time we will have to run all these but this is the idea set</t>
  </si>
  <si>
    <t>Demand</t>
  </si>
  <si>
    <t>FGD</t>
  </si>
  <si>
    <t>Ref</t>
  </si>
  <si>
    <r>
      <t>Scenario A</t>
    </r>
    <r>
      <rPr>
        <sz val="11"/>
        <color rgb="FF000000"/>
        <rFont val="Calibri"/>
        <family val="2"/>
        <scheme val="minor"/>
      </rPr>
      <t> - Stick to current shutdown plan – base case</t>
    </r>
  </si>
  <si>
    <t>All plants from 2031 on?</t>
  </si>
  <si>
    <t>Ref case ref demand - line 101 on</t>
  </si>
  <si>
    <t>ref case high demand - line 101 on</t>
  </si>
  <si>
    <t>Reference demand</t>
  </si>
  <si>
    <t>high demand</t>
  </si>
  <si>
    <t>Variations</t>
  </si>
  <si>
    <t>Gradual</t>
  </si>
  <si>
    <t>2030 Cliff</t>
  </si>
  <si>
    <t>Last 3 years to 2030</t>
  </si>
  <si>
    <r>
      <t>Scenario B</t>
    </r>
    <r>
      <rPr>
        <sz val="11"/>
        <color rgb="FF000000"/>
        <rFont val="Calibri"/>
        <family val="2"/>
        <scheme val="minor"/>
      </rPr>
      <t> -Shutdown all stations by 2030 except for Majuba, Matimba, Lethabo, Medupi (assume we do FGD), Kusile  for these</t>
    </r>
  </si>
  <si>
    <t>All remaining plants from 2031 on</t>
  </si>
  <si>
    <t>Line 122</t>
  </si>
  <si>
    <t>Line 140</t>
  </si>
  <si>
    <t>Line 157</t>
  </si>
  <si>
    <r>
      <t>Scenario C</t>
    </r>
    <r>
      <rPr>
        <sz val="11"/>
        <color rgb="FF000000"/>
        <rFont val="Calibri"/>
        <family val="2"/>
        <scheme val="minor"/>
      </rPr>
      <t> -Shutdown everything by 2030 except Medupi and Kusile</t>
    </r>
  </si>
  <si>
    <t>Line 176</t>
  </si>
  <si>
    <t>Line 194</t>
  </si>
  <si>
    <t>Line 211</t>
  </si>
  <si>
    <t>Mandy original</t>
  </si>
  <si>
    <t>SATIM current retirement schedule</t>
  </si>
  <si>
    <t>Mandy's version with 2020</t>
  </si>
  <si>
    <t>Mandy's version</t>
  </si>
  <si>
    <t/>
  </si>
  <si>
    <t>SATIMGE version</t>
  </si>
  <si>
    <t>Mandy's LATEST version with 2020 in it - base scenario</t>
  </si>
  <si>
    <t>SC b</t>
  </si>
  <si>
    <t>SC c</t>
  </si>
  <si>
    <t>same</t>
  </si>
  <si>
    <t>early</t>
  </si>
  <si>
    <t>Scenario</t>
  </si>
  <si>
    <t>Combined String</t>
  </si>
  <si>
    <t>Selected Scenario</t>
  </si>
  <si>
    <t>Variation</t>
  </si>
  <si>
    <t>Scenario A</t>
  </si>
  <si>
    <t>Scenario B</t>
  </si>
  <si>
    <t>Scenario C</t>
  </si>
  <si>
    <t>Scenario B - last 3 years</t>
  </si>
  <si>
    <t>Scenario B - 2030 cliff</t>
  </si>
  <si>
    <t xml:space="preserve">Scenario A - </t>
  </si>
  <si>
    <t>Scenario B - gradual</t>
  </si>
  <si>
    <t>Scenario C - gradual</t>
  </si>
  <si>
    <t>Scenario C - 2030 cliff</t>
  </si>
  <si>
    <t>Scenario C - last 3 years</t>
  </si>
  <si>
    <t>gradual</t>
  </si>
  <si>
    <t>last 3 years</t>
  </si>
  <si>
    <t>ProcData</t>
  </si>
  <si>
    <t>PWRFGDARNO</t>
  </si>
  <si>
    <t>PWRFGDCAMD</t>
  </si>
  <si>
    <t>PWRFGDDUVH</t>
  </si>
  <si>
    <t>PWRFGDGROO</t>
  </si>
  <si>
    <t>PWRFGDHEND</t>
  </si>
  <si>
    <t>PWRFGDKEND</t>
  </si>
  <si>
    <t>PWRFGDKOMA</t>
  </si>
  <si>
    <t>PWRFGDKRIE</t>
  </si>
  <si>
    <t>PWRFGDLETH</t>
  </si>
  <si>
    <t>PWRFGDMATI</t>
  </si>
  <si>
    <t>PWRFGDMATL</t>
  </si>
  <si>
    <t>PWRFGDTUTU</t>
  </si>
  <si>
    <t>PWRFGDMEDU</t>
  </si>
  <si>
    <t>FGD DummyComm for ARNOT Power Plant</t>
  </si>
  <si>
    <t>FGD DummyComm for CAMDEN Power Plant</t>
  </si>
  <si>
    <t>FGD DummyComm for DUVHA Power Plant</t>
  </si>
  <si>
    <t>FGD DummyComm for GROOTVLEI Power Plant</t>
  </si>
  <si>
    <t>FGD DummyComm for HENDRINA Power Plant</t>
  </si>
  <si>
    <t>FGD DummyComm for KENDAL Power Plant</t>
  </si>
  <si>
    <t>FGD DummyComm for KOMATI Power Plant</t>
  </si>
  <si>
    <t>FGD DummyComm for KRIEL Power Plant</t>
  </si>
  <si>
    <t>FGD DummyComm for LETHABO Power Plant</t>
  </si>
  <si>
    <t>FGD DummyComm for MAJUBA DRY Power Plant</t>
  </si>
  <si>
    <t>FGD DummyComm for MATIMBA Power Plant</t>
  </si>
  <si>
    <t>FGD DummyComm for MATLA Power Plant</t>
  </si>
  <si>
    <t>FGD DummyComm for TUTUKA Power Plant</t>
  </si>
  <si>
    <t>FGD DummyComm for MEDUPI Power Plant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</si>
  <si>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</si>
  <si>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</si>
  <si>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</si>
  <si>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</si>
  <si>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</si>
  <si>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</si>
  <si>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</si>
  <si>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</si>
  <si>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</si>
  <si>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</si>
  <si>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</si>
  <si>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</si>
  <si>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</si>
  <si>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</si>
  <si>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FGDMEDU-N</t>
  </si>
  <si>
    <t>* FGD retrofits for Existing Power Plants pre 2012 - Grid</t>
  </si>
  <si>
    <t>* FGD retrofits for New Power Plants - Grid</t>
  </si>
  <si>
    <t>* FGD retrofits for Power Plants</t>
  </si>
  <si>
    <t>PWRFGDMAJD</t>
  </si>
  <si>
    <t>PWRFGDMAJW</t>
  </si>
  <si>
    <t>FGD DummyComm for MAJUBA WET Power Plant</t>
  </si>
  <si>
    <t>Check Life</t>
  </si>
  <si>
    <t>Variable Cost without FGD</t>
  </si>
  <si>
    <t>Variable Cost with FGD</t>
  </si>
  <si>
    <t>Fixed Cost without FGD</t>
  </si>
  <si>
    <t>Fixed Cost with FGD</t>
  </si>
  <si>
    <t>Difference</t>
  </si>
  <si>
    <t>Medupi check</t>
  </si>
  <si>
    <t>CF</t>
  </si>
  <si>
    <t>Total Cost</t>
  </si>
  <si>
    <t>R/kW-yr</t>
  </si>
  <si>
    <t>Output</t>
  </si>
  <si>
    <t>bR</t>
  </si>
  <si>
    <t>Total Fixed Annual Cost</t>
  </si>
  <si>
    <t>Total Variable Cost</t>
  </si>
  <si>
    <t>Targetting</t>
  </si>
  <si>
    <t>Model Costs</t>
  </si>
  <si>
    <t>Variable O&amp;M</t>
  </si>
  <si>
    <t>Fixed O&amp;M</t>
  </si>
  <si>
    <t>2017 Rands</t>
  </si>
  <si>
    <t>2020 Rands</t>
  </si>
  <si>
    <t>Overnight Cost</t>
  </si>
  <si>
    <t>2015 Rands</t>
  </si>
  <si>
    <t>Has retrofit</t>
  </si>
  <si>
    <t>check</t>
  </si>
  <si>
    <t>Andre de Ruyter affidavit 2023</t>
  </si>
  <si>
    <t>PDF available from DailyMaverick</t>
  </si>
  <si>
    <t>Data from Eskom 2018 Feasibility study on Medupi FGD</t>
  </si>
  <si>
    <t>https://www.dailymaverick.co.za/article/2023-02-26-25-years-in-the-making-the-real-reasons-we-have-rolling-blackouts-according-to-de-ruyter/</t>
  </si>
  <si>
    <t>Eskom (2018) Medupi Flue Gas Desulphurisation: Technology Selection Study Report</t>
  </si>
  <si>
    <t>https://cer.org.za/wp-content/uploads/2021/12/App-B-474-10175-Medupi-FGD-Technology-Study-Report-Rev-2-0-FINAL.pdf</t>
  </si>
  <si>
    <t>Cost of compliance with MES (bR):</t>
  </si>
  <si>
    <t>Fleet capacity affected (GW):</t>
  </si>
  <si>
    <t>(Duvha, Lethabo, Matla, Tutuka, Kendal, Majuba, Matimba, Medupi, Kriel)</t>
  </si>
  <si>
    <t>Cost data assumed in 2017 Rands</t>
  </si>
  <si>
    <t>2023 ZAR</t>
  </si>
  <si>
    <t>2015 ZAR</t>
  </si>
  <si>
    <t>Adjusted for CPI</t>
  </si>
  <si>
    <t>Option1</t>
  </si>
  <si>
    <t>Option2</t>
  </si>
  <si>
    <t>Option3</t>
  </si>
  <si>
    <t>WetFGD</t>
  </si>
  <si>
    <t>WetFGDmod</t>
  </si>
  <si>
    <t>DryFGD</t>
  </si>
  <si>
    <t>CAPEX</t>
  </si>
  <si>
    <t>ZAR</t>
  </si>
  <si>
    <t>OPEX</t>
  </si>
  <si>
    <t>ZAR/yr</t>
  </si>
  <si>
    <t>F-OPEX</t>
  </si>
  <si>
    <t>V-OPEX</t>
  </si>
  <si>
    <t>v1-original</t>
  </si>
  <si>
    <t>v2-inflated</t>
  </si>
  <si>
    <r>
      <t>Scenario B</t>
    </r>
    <r>
      <rPr>
        <sz val="11"/>
        <color rgb="FF000000"/>
        <rFont val="Calibri"/>
        <family val="2"/>
        <scheme val="minor"/>
      </rPr>
      <t> -Shutdown all stations by 2030 except for Kendal, Majuba, Matimba, Lethabo, Medupi (assume we do FGD), Kusile  for these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</si>
</sst>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3" formatCode="_-* #,##0.00_-;\-* #,##0.00_-;_-* &quot;-&quot;??_-;_-@_-"/>
    <numFmt numFmtId="164" formatCode="_(* #,##0.00_);_(* \(#,##0.00\);_(* &quot;-&quot;??_);_(@_)"/>
    <numFmt numFmtId="165" formatCode="0.0"/>
    <numFmt numFmtId="166" formatCode="0.000"/>
    <numFmt numFmtId="167" formatCode="0.0000"/>
    <numFmt numFmtId="168" formatCode="[$£-809]#,##0.000;[Red]&quot;-&quot;[$£-809]#,##0.000"/>
    <numFmt numFmtId="169" formatCode="#,##0.0000"/>
    <numFmt numFmtId="170" formatCode="#,##0.0"/>
  </numFmts>
  <fonts count="4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8"/>
      <color indexed="2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rgb="FF800080"/>
      <name val="Arial"/>
      <family val="2"/>
    </font>
    <font>
      <sz val="8"/>
      <color indexed="81"/>
      <name val="Tahoma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b/>
      <sz val="8"/>
      <color rgb="FF800080"/>
      <name val="Arial"/>
      <family val="2"/>
    </font>
    <font>
      <sz val="8"/>
      <color rgb="FF800080"/>
      <name val="Arial"/>
      <family val="2"/>
    </font>
    <font>
      <sz val="8"/>
      <color rgb="FF000000"/>
      <name val="Arial"/>
      <family val="2"/>
    </font>
    <font>
      <b/>
      <sz val="8"/>
      <color indexed="81"/>
      <name val="Tahoma"/>
      <family val="2"/>
    </font>
    <font>
      <b/>
      <sz val="9"/>
      <color indexed="20"/>
      <name val="Arial"/>
      <family val="2"/>
    </font>
    <font>
      <sz val="8"/>
      <color rgb="FFFF0000"/>
      <name val="Arial"/>
      <family val="2"/>
    </font>
    <font>
      <sz val="10"/>
      <color rgb="FF800080"/>
      <name val="Arial"/>
      <family val="2"/>
    </font>
    <font>
      <b/>
      <sz val="9"/>
      <color rgb="FF800080"/>
      <name val="Arial"/>
      <family val="2"/>
    </font>
    <font>
      <u/>
      <sz val="10"/>
      <color indexed="12"/>
      <name val="Arial"/>
      <family val="2"/>
    </font>
    <font>
      <b/>
      <sz val="11"/>
      <color rgb="FFFA7D00"/>
      <name val="Calibri"/>
      <family val="2"/>
      <scheme val="minor"/>
    </font>
    <font>
      <sz val="11"/>
      <color theme="1"/>
      <name val="Arial"/>
      <family val="2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2"/>
      <color theme="1"/>
      <name val="Arial"/>
      <family val="2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9"/>
      <name val="Times New Roman"/>
      <family val="1"/>
    </font>
    <font>
      <sz val="9"/>
      <color indexed="63"/>
      <name val="Times New Roman"/>
      <family val="1"/>
    </font>
    <font>
      <b/>
      <sz val="13"/>
      <color theme="3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Helvetica"/>
      <family val="2"/>
    </font>
    <font>
      <sz val="12"/>
      <name val="Arial"/>
      <family val="2"/>
    </font>
    <font>
      <sz val="11"/>
      <color rgb="FF006100"/>
      <name val="Calibri"/>
      <family val="2"/>
      <scheme val="minor"/>
    </font>
    <font>
      <u/>
      <sz val="10"/>
      <color theme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/>
      <right/>
      <top/>
      <bottom style="thick">
        <color theme="4" tint="0.499984740745262"/>
      </bottom>
      <diagonal/>
    </border>
  </borders>
  <cellStyleXfs count="40">
    <xf numFmtId="0" fontId="0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4" fillId="0" borderId="0"/>
    <xf numFmtId="0" fontId="24" fillId="0" borderId="0" applyNumberFormat="0" applyFill="0" applyBorder="0" applyAlignment="0" applyProtection="0">
      <alignment vertical="top"/>
      <protection locked="0"/>
    </xf>
    <xf numFmtId="0" fontId="3" fillId="0" borderId="0"/>
    <xf numFmtId="9" fontId="3" fillId="0" borderId="0" applyFont="0" applyFill="0" applyBorder="0" applyAlignment="0" applyProtection="0"/>
    <xf numFmtId="0" fontId="26" fillId="0" borderId="0"/>
    <xf numFmtId="43" fontId="26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7" fillId="5" borderId="0" applyNumberFormat="0" applyBorder="0" applyAlignment="0" applyProtection="0"/>
    <xf numFmtId="0" fontId="28" fillId="6" borderId="12" applyNumberFormat="0" applyAlignment="0" applyProtection="0"/>
    <xf numFmtId="168" fontId="11" fillId="0" borderId="0"/>
    <xf numFmtId="0" fontId="31" fillId="0" borderId="0"/>
    <xf numFmtId="0" fontId="33" fillId="0" borderId="0"/>
    <xf numFmtId="0" fontId="2" fillId="0" borderId="0"/>
    <xf numFmtId="0" fontId="34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164" fontId="35" fillId="0" borderId="0" applyFont="0" applyFill="0" applyBorder="0" applyAlignment="0" applyProtection="0"/>
    <xf numFmtId="0" fontId="36" fillId="0" borderId="0" applyNumberForma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5" fillId="4" borderId="12" applyNumberFormat="0" applyAlignment="0" applyProtection="0"/>
    <xf numFmtId="0" fontId="28" fillId="6" borderId="12" applyNumberFormat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39" fillId="0" borderId="15" applyNumberFormat="0" applyFill="0" applyAlignment="0" applyProtection="0"/>
    <xf numFmtId="0" fontId="1" fillId="0" borderId="0"/>
    <xf numFmtId="0" fontId="45" fillId="16" borderId="0" applyNumberFormat="0" applyBorder="0" applyAlignment="0" applyProtection="0"/>
    <xf numFmtId="0" fontId="46" fillId="0" borderId="0" applyNumberFormat="0" applyFill="0" applyBorder="0" applyAlignment="0" applyProtection="0"/>
  </cellStyleXfs>
  <cellXfs count="123">
    <xf numFmtId="0" fontId="0" fillId="0" borderId="0" xfId="0"/>
    <xf numFmtId="0" fontId="5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0" borderId="0" xfId="0" applyFont="1"/>
    <xf numFmtId="0" fontId="8" fillId="0" borderId="0" xfId="0" applyFont="1"/>
    <xf numFmtId="0" fontId="9" fillId="0" borderId="0" xfId="0" applyFont="1"/>
    <xf numFmtId="0" fontId="6" fillId="0" borderId="0" xfId="0" applyFont="1"/>
    <xf numFmtId="0" fontId="7" fillId="0" borderId="0" xfId="0" applyFont="1" applyAlignment="1">
      <alignment horizontal="center" wrapText="1"/>
    </xf>
    <xf numFmtId="0" fontId="5" fillId="0" borderId="0" xfId="1" applyFont="1"/>
    <xf numFmtId="0" fontId="11" fillId="0" borderId="0" xfId="1"/>
    <xf numFmtId="0" fontId="8" fillId="0" borderId="0" xfId="1" applyFont="1"/>
    <xf numFmtId="0" fontId="14" fillId="0" borderId="0" xfId="1" applyFont="1"/>
    <xf numFmtId="0" fontId="7" fillId="0" borderId="0" xfId="1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9" fillId="0" borderId="0" xfId="1" applyFont="1"/>
    <xf numFmtId="0" fontId="16" fillId="0" borderId="0" xfId="1" applyFont="1"/>
    <xf numFmtId="0" fontId="17" fillId="0" borderId="0" xfId="1" applyFont="1"/>
    <xf numFmtId="49" fontId="16" fillId="0" borderId="0" xfId="0" applyNumberFormat="1" applyFont="1" applyAlignment="1">
      <alignment horizontal="left"/>
    </xf>
    <xf numFmtId="0" fontId="18" fillId="0" borderId="0" xfId="1" applyFont="1"/>
    <xf numFmtId="0" fontId="12" fillId="0" borderId="0" xfId="1" applyFont="1" applyAlignment="1">
      <alignment horizontal="center"/>
    </xf>
    <xf numFmtId="0" fontId="8" fillId="0" borderId="0" xfId="1" applyFont="1" applyAlignment="1">
      <alignment horizontal="center"/>
    </xf>
    <xf numFmtId="0" fontId="8" fillId="0" borderId="0" xfId="1" applyFont="1" applyAlignment="1">
      <alignment horizontal="center" wrapText="1"/>
    </xf>
    <xf numFmtId="0" fontId="14" fillId="0" borderId="0" xfId="0" applyFont="1"/>
    <xf numFmtId="0" fontId="17" fillId="3" borderId="0" xfId="0" applyFont="1" applyFill="1"/>
    <xf numFmtId="0" fontId="17" fillId="3" borderId="0" xfId="1" applyFont="1" applyFill="1"/>
    <xf numFmtId="0" fontId="8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20" fillId="0" borderId="0" xfId="3" applyFont="1"/>
    <xf numFmtId="0" fontId="11" fillId="0" borderId="0" xfId="3"/>
    <xf numFmtId="0" fontId="8" fillId="0" borderId="0" xfId="2" applyFont="1"/>
    <xf numFmtId="0" fontId="23" fillId="0" borderId="0" xfId="2" applyFont="1"/>
    <xf numFmtId="0" fontId="8" fillId="0" borderId="0" xfId="3" applyFont="1"/>
    <xf numFmtId="0" fontId="23" fillId="0" borderId="0" xfId="3" applyFont="1"/>
    <xf numFmtId="0" fontId="23" fillId="0" borderId="0" xfId="1" applyFont="1"/>
    <xf numFmtId="0" fontId="8" fillId="0" borderId="0" xfId="2" applyFont="1" applyAlignment="1">
      <alignment horizontal="right"/>
    </xf>
    <xf numFmtId="0" fontId="8" fillId="0" borderId="0" xfId="2" applyFont="1" applyAlignment="1">
      <alignment horizontal="center"/>
    </xf>
    <xf numFmtId="2" fontId="8" fillId="0" borderId="0" xfId="2" applyNumberFormat="1" applyFont="1"/>
    <xf numFmtId="167" fontId="8" fillId="0" borderId="0" xfId="2" applyNumberFormat="1" applyFont="1"/>
    <xf numFmtId="166" fontId="8" fillId="0" borderId="0" xfId="2" applyNumberFormat="1" applyFont="1"/>
    <xf numFmtId="0" fontId="8" fillId="0" borderId="0" xfId="2" applyFont="1" applyAlignment="1">
      <alignment horizontal="left"/>
    </xf>
    <xf numFmtId="0" fontId="28" fillId="6" borderId="12" xfId="19"/>
    <xf numFmtId="0" fontId="11" fillId="0" borderId="0" xfId="2"/>
    <xf numFmtId="0" fontId="17" fillId="0" borderId="0" xfId="2" applyFont="1"/>
    <xf numFmtId="0" fontId="7" fillId="0" borderId="0" xfId="2" applyFont="1"/>
    <xf numFmtId="0" fontId="22" fillId="0" borderId="0" xfId="1" applyFont="1"/>
    <xf numFmtId="166" fontId="8" fillId="0" borderId="0" xfId="2" applyNumberFormat="1" applyFont="1" applyAlignment="1">
      <alignment horizontal="center"/>
    </xf>
    <xf numFmtId="0" fontId="17" fillId="0" borderId="0" xfId="2" applyFont="1" applyAlignment="1">
      <alignment horizontal="center"/>
    </xf>
    <xf numFmtId="0" fontId="7" fillId="0" borderId="0" xfId="2" applyFont="1" applyAlignment="1">
      <alignment horizontal="center" wrapText="1"/>
    </xf>
    <xf numFmtId="0" fontId="18" fillId="0" borderId="0" xfId="2" applyFont="1"/>
    <xf numFmtId="0" fontId="17" fillId="0" borderId="0" xfId="2" applyFont="1" applyAlignment="1">
      <alignment wrapText="1"/>
    </xf>
    <xf numFmtId="0" fontId="16" fillId="0" borderId="0" xfId="2" applyFont="1" applyAlignment="1">
      <alignment horizontal="center"/>
    </xf>
    <xf numFmtId="0" fontId="8" fillId="0" borderId="0" xfId="2" applyFont="1" applyAlignment="1">
      <alignment wrapText="1"/>
    </xf>
    <xf numFmtId="0" fontId="31" fillId="0" borderId="0" xfId="21"/>
    <xf numFmtId="0" fontId="32" fillId="0" borderId="0" xfId="21" applyFont="1"/>
    <xf numFmtId="0" fontId="11" fillId="8" borderId="13" xfId="3" applyFill="1" applyBorder="1"/>
    <xf numFmtId="4" fontId="37" fillId="0" borderId="14" xfId="32" applyNumberFormat="1" applyFont="1" applyBorder="1" applyAlignment="1">
      <alignment horizontal="right" vertical="center" wrapText="1"/>
    </xf>
    <xf numFmtId="49" fontId="37" fillId="0" borderId="14" xfId="32" applyNumberFormat="1" applyFont="1" applyBorder="1" applyAlignment="1">
      <alignment horizontal="left" vertical="center" wrapText="1"/>
    </xf>
    <xf numFmtId="0" fontId="38" fillId="9" borderId="14" xfId="32" applyFont="1" applyFill="1" applyBorder="1" applyAlignment="1">
      <alignment horizontal="center" vertical="center" wrapText="1"/>
    </xf>
    <xf numFmtId="0" fontId="37" fillId="0" borderId="0" xfId="3" applyFont="1" applyAlignment="1">
      <alignment horizontal="left" vertical="center"/>
    </xf>
    <xf numFmtId="4" fontId="37" fillId="0" borderId="0" xfId="3" applyNumberFormat="1" applyFont="1" applyAlignment="1">
      <alignment horizontal="left" vertical="center"/>
    </xf>
    <xf numFmtId="0" fontId="37" fillId="0" borderId="0" xfId="3" applyFont="1" applyAlignment="1">
      <alignment horizontal="left" vertical="center" wrapText="1"/>
    </xf>
    <xf numFmtId="169" fontId="37" fillId="0" borderId="0" xfId="3" applyNumberFormat="1" applyFont="1" applyAlignment="1">
      <alignment horizontal="left" vertical="center"/>
    </xf>
    <xf numFmtId="166" fontId="25" fillId="4" borderId="12" xfId="33" applyNumberFormat="1"/>
    <xf numFmtId="0" fontId="25" fillId="4" borderId="12" xfId="33"/>
    <xf numFmtId="0" fontId="28" fillId="3" borderId="12" xfId="34" applyFill="1"/>
    <xf numFmtId="0" fontId="28" fillId="10" borderId="12" xfId="34" applyFill="1"/>
    <xf numFmtId="0" fontId="24" fillId="0" borderId="0" xfId="35" applyAlignment="1" applyProtection="1"/>
    <xf numFmtId="4" fontId="27" fillId="5" borderId="10" xfId="18" applyNumberFormat="1" applyBorder="1" applyAlignment="1">
      <alignment horizontal="left" vertical="center"/>
    </xf>
    <xf numFmtId="4" fontId="37" fillId="11" borderId="10" xfId="3" applyNumberFormat="1" applyFont="1" applyFill="1" applyBorder="1" applyAlignment="1">
      <alignment horizontal="left" vertical="center"/>
    </xf>
    <xf numFmtId="4" fontId="37" fillId="11" borderId="9" xfId="3" applyNumberFormat="1" applyFont="1" applyFill="1" applyBorder="1" applyAlignment="1">
      <alignment horizontal="left" vertical="center"/>
    </xf>
    <xf numFmtId="0" fontId="37" fillId="11" borderId="11" xfId="3" applyFont="1" applyFill="1" applyBorder="1" applyAlignment="1">
      <alignment horizontal="left" vertical="center" wrapText="1"/>
    </xf>
    <xf numFmtId="4" fontId="27" fillId="5" borderId="0" xfId="18" applyNumberFormat="1" applyAlignment="1">
      <alignment horizontal="left" vertical="center"/>
    </xf>
    <xf numFmtId="0" fontId="37" fillId="0" borderId="12" xfId="34" applyFont="1" applyFill="1" applyAlignment="1">
      <alignment horizontal="center" vertical="center"/>
    </xf>
    <xf numFmtId="4" fontId="27" fillId="5" borderId="14" xfId="18" applyNumberFormat="1" applyBorder="1" applyAlignment="1">
      <alignment horizontal="right" vertical="center" wrapText="1"/>
    </xf>
    <xf numFmtId="0" fontId="27" fillId="5" borderId="14" xfId="18" applyBorder="1" applyAlignment="1">
      <alignment horizontal="center" vertical="center" wrapText="1"/>
    </xf>
    <xf numFmtId="0" fontId="11" fillId="0" borderId="0" xfId="0" applyFont="1"/>
    <xf numFmtId="0" fontId="39" fillId="0" borderId="15" xfId="36"/>
    <xf numFmtId="0" fontId="28" fillId="6" borderId="12" xfId="19" applyAlignment="1">
      <alignment horizontal="center"/>
    </xf>
    <xf numFmtId="167" fontId="11" fillId="0" borderId="0" xfId="3" applyNumberFormat="1"/>
    <xf numFmtId="166" fontId="11" fillId="0" borderId="0" xfId="3" applyNumberFormat="1"/>
    <xf numFmtId="165" fontId="8" fillId="0" borderId="0" xfId="2" applyNumberFormat="1" applyFont="1"/>
    <xf numFmtId="9" fontId="0" fillId="0" borderId="0" xfId="0" applyNumberFormat="1"/>
    <xf numFmtId="2" fontId="0" fillId="0" borderId="0" xfId="0" applyNumberFormat="1"/>
    <xf numFmtId="0" fontId="40" fillId="0" borderId="0" xfId="21" applyFont="1" applyAlignment="1">
      <alignment wrapText="1"/>
    </xf>
    <xf numFmtId="0" fontId="31" fillId="11" borderId="0" xfId="21" applyFill="1" applyAlignment="1">
      <alignment wrapText="1"/>
    </xf>
    <xf numFmtId="0" fontId="31" fillId="0" borderId="0" xfId="21" applyAlignment="1">
      <alignment wrapText="1"/>
    </xf>
    <xf numFmtId="0" fontId="31" fillId="12" borderId="0" xfId="21" applyFill="1"/>
    <xf numFmtId="0" fontId="31" fillId="7" borderId="0" xfId="21" applyFill="1" applyAlignment="1">
      <alignment wrapText="1"/>
    </xf>
    <xf numFmtId="0" fontId="42" fillId="0" borderId="0" xfId="21" applyFont="1"/>
    <xf numFmtId="17" fontId="42" fillId="0" borderId="0" xfId="21" applyNumberFormat="1" applyFont="1"/>
    <xf numFmtId="0" fontId="43" fillId="0" borderId="0" xfId="21" applyFont="1"/>
    <xf numFmtId="0" fontId="44" fillId="0" borderId="0" xfId="2" applyFont="1"/>
    <xf numFmtId="0" fontId="40" fillId="0" borderId="0" xfId="21" applyFont="1"/>
    <xf numFmtId="0" fontId="44" fillId="11" borderId="0" xfId="2" applyFont="1" applyFill="1"/>
    <xf numFmtId="0" fontId="44" fillId="3" borderId="0" xfId="2" applyFont="1" applyFill="1"/>
    <xf numFmtId="0" fontId="44" fillId="0" borderId="0" xfId="21" applyFont="1"/>
    <xf numFmtId="0" fontId="31" fillId="13" borderId="0" xfId="21" applyFill="1"/>
    <xf numFmtId="0" fontId="31" fillId="14" borderId="0" xfId="21" applyFill="1"/>
    <xf numFmtId="0" fontId="31" fillId="3" borderId="0" xfId="21" applyFill="1"/>
    <xf numFmtId="0" fontId="44" fillId="15" borderId="0" xfId="2" applyFont="1" applyFill="1"/>
    <xf numFmtId="166" fontId="21" fillId="0" borderId="0" xfId="2" applyNumberFormat="1" applyFont="1"/>
    <xf numFmtId="0" fontId="45" fillId="16" borderId="0" xfId="38"/>
    <xf numFmtId="0" fontId="21" fillId="0" borderId="0" xfId="2" applyFont="1"/>
    <xf numFmtId="17" fontId="0" fillId="0" borderId="0" xfId="0" applyNumberFormat="1"/>
    <xf numFmtId="0" fontId="0" fillId="3" borderId="0" xfId="0" applyFill="1"/>
    <xf numFmtId="0" fontId="46" fillId="0" borderId="0" xfId="39"/>
    <xf numFmtId="1" fontId="0" fillId="0" borderId="0" xfId="0" applyNumberFormat="1"/>
    <xf numFmtId="166" fontId="0" fillId="0" borderId="0" xfId="0" applyNumberFormat="1"/>
    <xf numFmtId="3" fontId="0" fillId="0" borderId="0" xfId="0" applyNumberFormat="1"/>
    <xf numFmtId="0" fontId="0" fillId="17" borderId="0" xfId="0" applyFill="1"/>
    <xf numFmtId="170" fontId="0" fillId="0" borderId="0" xfId="0" applyNumberFormat="1"/>
    <xf numFmtId="165" fontId="0" fillId="0" borderId="0" xfId="0" applyNumberFormat="1"/>
    <xf numFmtId="166" fontId="0" fillId="18" borderId="0" xfId="0" applyNumberFormat="1" applyFill="1"/>
  </cellXfs>
  <cellStyles count="40">
    <cellStyle name="Bad" xfId="18" builtinId="27"/>
    <cellStyle name="Calculation 2" xfId="33" xr:uid="{B4B279B1-BC4C-4578-ACFD-2D3522108CF6}"/>
    <cellStyle name="Comma 2" xfId="7" xr:uid="{00000000-0005-0000-0000-000000000000}"/>
    <cellStyle name="Comma 2 2" xfId="15" xr:uid="{2D29F2AE-A72A-4F35-A2CA-2C4A01C4F113}"/>
    <cellStyle name="Comma 2 2 2" xfId="31" xr:uid="{3D2FAF94-37BE-4C39-AC8F-2F375325F51D}"/>
    <cellStyle name="Comma 2 3" xfId="6" xr:uid="{00000000-0005-0000-0000-000001000000}"/>
    <cellStyle name="Comma 2 4" xfId="30" xr:uid="{0630AC0A-37C6-471B-A3BC-E76D60FB2B40}"/>
    <cellStyle name="Comma 3" xfId="16" xr:uid="{C170A3C1-B68E-4AAE-92F6-CE979AB71698}"/>
    <cellStyle name="Comma 3 2" xfId="28" xr:uid="{F356AEEA-FCE9-451F-AF3B-32F5693388AF}"/>
    <cellStyle name="Good" xfId="38" builtinId="26"/>
    <cellStyle name="Heading 2" xfId="36" builtinId="17"/>
    <cellStyle name="Hyperlink" xfId="39" builtinId="8"/>
    <cellStyle name="Hyperlink 2" xfId="11" xr:uid="{00000000-0005-0000-0000-000003000000}"/>
    <cellStyle name="Hyperlink 2 2" xfId="29" xr:uid="{90BC6485-F45B-42F0-B39C-66A2F907FAC8}"/>
    <cellStyle name="Hyperlink 2 2 2" xfId="35" xr:uid="{2A100852-8D24-4FD7-A1F9-DC5F4F62F85C}"/>
    <cellStyle name="Input" xfId="19" builtinId="20"/>
    <cellStyle name="Input 2" xfId="34" xr:uid="{EF0A91A4-9A39-44CB-94D1-B114505B1DE5}"/>
    <cellStyle name="Normal" xfId="0" builtinId="0"/>
    <cellStyle name="Normal 10 4" xfId="10" xr:uid="{00000000-0005-0000-0000-000005000000}"/>
    <cellStyle name="Normal 12" xfId="22" xr:uid="{460C1291-C1C3-41A1-B0EA-130445C22A6A}"/>
    <cellStyle name="Normal 13" xfId="2" xr:uid="{00000000-0005-0000-0000-000006000000}"/>
    <cellStyle name="Normal 2" xfId="1" xr:uid="{00000000-0005-0000-0000-000007000000}"/>
    <cellStyle name="Normal 2 2" xfId="4" xr:uid="{00000000-0005-0000-0000-000008000000}"/>
    <cellStyle name="Normal 2 2 2" xfId="3" xr:uid="{00000000-0005-0000-0000-000009000000}"/>
    <cellStyle name="Normal 2 2 2 2" xfId="9" xr:uid="{00000000-0005-0000-0000-00000A000000}"/>
    <cellStyle name="Normal 2 2 3" xfId="20" xr:uid="{4DDA2815-89F9-4790-BF2B-C11F32499156}"/>
    <cellStyle name="Normal 2 3" xfId="14" xr:uid="{4AB230A0-E2D6-4984-83A4-4F34927A69CA}"/>
    <cellStyle name="Normal 2 3 2" xfId="32" xr:uid="{B56E12CC-6B4A-4A2B-9976-F2227F3C9D9F}"/>
    <cellStyle name="Normal 3" xfId="5" xr:uid="{00000000-0005-0000-0000-00000B000000}"/>
    <cellStyle name="Normal 3 2" xfId="21" xr:uid="{F1E66136-6D93-46C0-8FCF-8054B08EF18E}"/>
    <cellStyle name="Normal 4" xfId="12" xr:uid="{0BAD2C5B-36F5-4320-A9B9-F030A7823A07}"/>
    <cellStyle name="Normal 4 3" xfId="27" xr:uid="{16BCBF55-3599-48AE-AF18-E9AA19168515}"/>
    <cellStyle name="Normal 4 3 2" xfId="37" xr:uid="{8E677415-F2AE-445D-80F8-923F6F6D80B9}"/>
    <cellStyle name="Normal 5" xfId="24" xr:uid="{E86FCE4D-E8BD-408C-9B91-ED1609778DAD}"/>
    <cellStyle name="Normal 6" xfId="23" xr:uid="{96D31F59-9CBC-4F48-8E3C-934D53E8A773}"/>
    <cellStyle name="Normal 7" xfId="25" xr:uid="{F72C3799-2FCE-40EB-9CDA-C1206D98C783}"/>
    <cellStyle name="Percent 2" xfId="13" xr:uid="{6FC4F8D8-ECD7-4A9E-B183-CAC9CE80278F}"/>
    <cellStyle name="Percent 2 2" xfId="17" xr:uid="{FFCF24A5-FA7A-4E91-8E3F-2BDE50B65C19}"/>
    <cellStyle name="Percent 2 3" xfId="26" xr:uid="{056A7CF9-08F3-46C7-9A85-3C2C5EFDAC60}"/>
    <cellStyle name="Percent 3" xfId="8" xr:uid="{00000000-0005-0000-0000-000010000000}"/>
  </cellStyles>
  <dxfs count="3"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"/>
      <tableStyleElement type="headerRow" dxfId="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8.xml"/><Relationship Id="rId38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7.xml"/><Relationship Id="rId37" Type="http://schemas.openxmlformats.org/officeDocument/2006/relationships/sheetMetadata" Target="metadata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externalLink" Target="externalLinks/externalLink5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scenarios'!$E$99:$F$99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scenarios'!$R$99:$AW$99</c:f>
              <c:numCache>
                <c:formatCode>General</c:formatCode>
                <c:ptCount val="32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1.1107500000000001</c:v>
                </c:pt>
                <c:pt idx="7">
                  <c:v>0.74050000000000016</c:v>
                </c:pt>
                <c:pt idx="8">
                  <c:v>0.37025000000000013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2D-48E9-94F2-F0CA23CF01D3}"/>
            </c:ext>
          </c:extLst>
        </c:ser>
        <c:ser>
          <c:idx val="1"/>
          <c:order val="1"/>
          <c:tx>
            <c:strRef>
              <c:f>'retirement scenarios'!$E$100:$F$100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scenarios'!$R$100:$AW$100</c:f>
              <c:numCache>
                <c:formatCode>General</c:formatCode>
                <c:ptCount val="32"/>
                <c:pt idx="0">
                  <c:v>0.56999999999999995</c:v>
                </c:pt>
                <c:pt idx="1">
                  <c:v>0.56999999999999995</c:v>
                </c:pt>
                <c:pt idx="2">
                  <c:v>0.19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2D-48E9-94F2-F0CA23CF01D3}"/>
            </c:ext>
          </c:extLst>
        </c:ser>
        <c:ser>
          <c:idx val="2"/>
          <c:order val="2"/>
          <c:tx>
            <c:strRef>
              <c:f>'retirement scenarios'!$E$101:$F$101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scenarios'!$R$101:$AW$101</c:f>
              <c:numCache>
                <c:formatCode>General</c:formatCode>
                <c:ptCount val="32"/>
                <c:pt idx="0">
                  <c:v>0.41</c:v>
                </c:pt>
                <c:pt idx="1">
                  <c:v>0.20499999999999999</c:v>
                </c:pt>
                <c:pt idx="2">
                  <c:v>0.10249999999999999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2D-48E9-94F2-F0CA23CF01D3}"/>
            </c:ext>
          </c:extLst>
        </c:ser>
        <c:ser>
          <c:idx val="3"/>
          <c:order val="3"/>
          <c:tx>
            <c:strRef>
              <c:f>'retirement scenarios'!$E$102:$F$102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scenarios'!$R$102:$AW$102</c:f>
              <c:numCache>
                <c:formatCode>General</c:formatCode>
                <c:ptCount val="32"/>
                <c:pt idx="0">
                  <c:v>2.2320000000000002</c:v>
                </c:pt>
                <c:pt idx="1">
                  <c:v>2.2320000000000002</c:v>
                </c:pt>
                <c:pt idx="2">
                  <c:v>1.86</c:v>
                </c:pt>
                <c:pt idx="3">
                  <c:v>1.86</c:v>
                </c:pt>
                <c:pt idx="4">
                  <c:v>1.86</c:v>
                </c:pt>
                <c:pt idx="5">
                  <c:v>1.86</c:v>
                </c:pt>
                <c:pt idx="6">
                  <c:v>1.86</c:v>
                </c:pt>
                <c:pt idx="7">
                  <c:v>1.1160000000000001</c:v>
                </c:pt>
                <c:pt idx="8">
                  <c:v>0.74399999999999999</c:v>
                </c:pt>
                <c:pt idx="9">
                  <c:v>0.74399999999999999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2D-48E9-94F2-F0CA23CF01D3}"/>
            </c:ext>
          </c:extLst>
        </c:ser>
        <c:ser>
          <c:idx val="4"/>
          <c:order val="4"/>
          <c:tx>
            <c:strRef>
              <c:f>'retirement scenarios'!$E$103:$F$103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scenarios'!$R$103:$AW$103</c:f>
              <c:numCache>
                <c:formatCode>General</c:formatCode>
                <c:ptCount val="32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1.9166666666666665</c:v>
                </c:pt>
                <c:pt idx="13">
                  <c:v>1.4374999999999998</c:v>
                </c:pt>
                <c:pt idx="14">
                  <c:v>0.47916666666666641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2D-48E9-94F2-F0CA23CF01D3}"/>
            </c:ext>
          </c:extLst>
        </c:ser>
        <c:ser>
          <c:idx val="5"/>
          <c:order val="5"/>
          <c:tx>
            <c:strRef>
              <c:f>'retirement scenarios'!$E$104:$F$104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scenarios'!$R$104:$AW$104</c:f>
              <c:numCache>
                <c:formatCode>General</c:formatCode>
                <c:ptCount val="32"/>
                <c:pt idx="0">
                  <c:v>1.2929999999999999</c:v>
                </c:pt>
                <c:pt idx="1">
                  <c:v>1.2929999999999999</c:v>
                </c:pt>
                <c:pt idx="2">
                  <c:v>1.1082857142857143</c:v>
                </c:pt>
                <c:pt idx="3">
                  <c:v>0.73885714285714288</c:v>
                </c:pt>
                <c:pt idx="4">
                  <c:v>0.36942857142857149</c:v>
                </c:pt>
                <c:pt idx="5">
                  <c:v>0.36942857142857149</c:v>
                </c:pt>
                <c:pt idx="6">
                  <c:v>0.1847142857142858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2D-48E9-94F2-F0CA23CF01D3}"/>
            </c:ext>
          </c:extLst>
        </c:ser>
        <c:ser>
          <c:idx val="6"/>
          <c:order val="6"/>
          <c:tx>
            <c:strRef>
              <c:f>'retirement scenarios'!$E$105:$F$105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scenarios'!$R$105:$AW$105</c:f>
              <c:numCache>
                <c:formatCode>General</c:formatCode>
                <c:ptCount val="32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  <c:pt idx="17">
                  <c:v>3.84</c:v>
                </c:pt>
                <c:pt idx="18">
                  <c:v>3.84</c:v>
                </c:pt>
                <c:pt idx="19">
                  <c:v>3.84</c:v>
                </c:pt>
                <c:pt idx="20">
                  <c:v>3.1999999999999997</c:v>
                </c:pt>
                <c:pt idx="21">
                  <c:v>3.1999999999999997</c:v>
                </c:pt>
                <c:pt idx="22">
                  <c:v>2.5599999999999996</c:v>
                </c:pt>
                <c:pt idx="23">
                  <c:v>1.2799999999999996</c:v>
                </c:pt>
                <c:pt idx="24">
                  <c:v>0.63999999999999957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2D-48E9-94F2-F0CA23CF01D3}"/>
            </c:ext>
          </c:extLst>
        </c:ser>
        <c:ser>
          <c:idx val="7"/>
          <c:order val="7"/>
          <c:tx>
            <c:strRef>
              <c:f>'retirement scenarios'!$E$106:$F$106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scenarios'!$R$106:$AW$106</c:f>
              <c:numCache>
                <c:formatCode>General</c:formatCode>
                <c:ptCount val="32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2D-48E9-94F2-F0CA23CF01D3}"/>
            </c:ext>
          </c:extLst>
        </c:ser>
        <c:ser>
          <c:idx val="8"/>
          <c:order val="8"/>
          <c:tx>
            <c:strRef>
              <c:f>'retirement scenarios'!$E$107:$F$107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scenarios'!$R$107:$AW$107</c:f>
              <c:numCache>
                <c:formatCode>General</c:formatCode>
                <c:ptCount val="32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  <c:pt idx="17">
                  <c:v>2.9649999999999999</c:v>
                </c:pt>
                <c:pt idx="18">
                  <c:v>1.7789999999999999</c:v>
                </c:pt>
                <c:pt idx="19">
                  <c:v>1.1859999999999999</c:v>
                </c:pt>
                <c:pt idx="20">
                  <c:v>1.1859999999999999</c:v>
                </c:pt>
                <c:pt idx="21">
                  <c:v>0.59299999999999997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2D-48E9-94F2-F0CA23CF01D3}"/>
            </c:ext>
          </c:extLst>
        </c:ser>
        <c:ser>
          <c:idx val="9"/>
          <c:order val="9"/>
          <c:tx>
            <c:strRef>
              <c:f>'retirement scenarios'!$E$108:$F$108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scenarios'!$R$108:$AW$108</c:f>
              <c:numCache>
                <c:formatCode>General</c:formatCode>
                <c:ptCount val="32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  <c:pt idx="17">
                  <c:v>1.8330000000000002</c:v>
                </c:pt>
                <c:pt idx="18">
                  <c:v>1.8330000000000002</c:v>
                </c:pt>
                <c:pt idx="19">
                  <c:v>1.8330000000000002</c:v>
                </c:pt>
                <c:pt idx="20">
                  <c:v>1.8330000000000002</c:v>
                </c:pt>
                <c:pt idx="21">
                  <c:v>1.8330000000000002</c:v>
                </c:pt>
                <c:pt idx="22">
                  <c:v>1.8330000000000002</c:v>
                </c:pt>
                <c:pt idx="23">
                  <c:v>1.8330000000000002</c:v>
                </c:pt>
                <c:pt idx="24">
                  <c:v>1.8330000000000002</c:v>
                </c:pt>
                <c:pt idx="25">
                  <c:v>1.8330000000000002</c:v>
                </c:pt>
                <c:pt idx="26">
                  <c:v>1.8330000000000002</c:v>
                </c:pt>
                <c:pt idx="27">
                  <c:v>1.222</c:v>
                </c:pt>
                <c:pt idx="28">
                  <c:v>0.61099999999999988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2D-48E9-94F2-F0CA23CF01D3}"/>
            </c:ext>
          </c:extLst>
        </c:ser>
        <c:ser>
          <c:idx val="10"/>
          <c:order val="10"/>
          <c:tx>
            <c:strRef>
              <c:f>'retirement scenarios'!$E$109:$F$109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scenarios'!$R$109:$AW$109</c:f>
              <c:numCache>
                <c:formatCode>General</c:formatCode>
                <c:ptCount val="32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  <c:pt idx="17">
                  <c:v>2.0099999999999998</c:v>
                </c:pt>
                <c:pt idx="18">
                  <c:v>2.0099999999999998</c:v>
                </c:pt>
                <c:pt idx="19">
                  <c:v>2.0099999999999998</c:v>
                </c:pt>
                <c:pt idx="20">
                  <c:v>2.0099999999999998</c:v>
                </c:pt>
                <c:pt idx="21">
                  <c:v>2.0099999999999998</c:v>
                </c:pt>
                <c:pt idx="22">
                  <c:v>2.0099999999999998</c:v>
                </c:pt>
                <c:pt idx="23">
                  <c:v>2.0099999999999998</c:v>
                </c:pt>
                <c:pt idx="24">
                  <c:v>2.0099999999999998</c:v>
                </c:pt>
                <c:pt idx="25">
                  <c:v>2.0099999999999998</c:v>
                </c:pt>
                <c:pt idx="26">
                  <c:v>2.0099999999999998</c:v>
                </c:pt>
                <c:pt idx="27">
                  <c:v>2.0099999999999998</c:v>
                </c:pt>
                <c:pt idx="28">
                  <c:v>2.0099999999999998</c:v>
                </c:pt>
                <c:pt idx="29">
                  <c:v>2.0099999999999998</c:v>
                </c:pt>
                <c:pt idx="30">
                  <c:v>1.3399999999999999</c:v>
                </c:pt>
                <c:pt idx="31">
                  <c:v>0.66999999999999993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2D-48E9-94F2-F0CA23CF01D3}"/>
            </c:ext>
          </c:extLst>
        </c:ser>
        <c:ser>
          <c:idx val="11"/>
          <c:order val="11"/>
          <c:tx>
            <c:strRef>
              <c:f>'retirement scenarios'!$E$110:$F$110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scenarios'!$R$110:$AW$110</c:f>
              <c:numCache>
                <c:formatCode>General</c:formatCode>
                <c:ptCount val="32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  <c:pt idx="17">
                  <c:v>3.69</c:v>
                </c:pt>
                <c:pt idx="18">
                  <c:v>3.69</c:v>
                </c:pt>
                <c:pt idx="19">
                  <c:v>2.46</c:v>
                </c:pt>
                <c:pt idx="20">
                  <c:v>1.845</c:v>
                </c:pt>
                <c:pt idx="21">
                  <c:v>1.23</c:v>
                </c:pt>
                <c:pt idx="22">
                  <c:v>0.61499999999999999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2D-48E9-94F2-F0CA23CF01D3}"/>
            </c:ext>
          </c:extLst>
        </c:ser>
        <c:ser>
          <c:idx val="12"/>
          <c:order val="12"/>
          <c:tx>
            <c:strRef>
              <c:f>'retirement scenarios'!$E$111:$F$111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scenarios'!$R$111:$AW$111</c:f>
              <c:numCache>
                <c:formatCode>General</c:formatCode>
                <c:ptCount val="32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2.875</c:v>
                </c:pt>
                <c:pt idx="12">
                  <c:v>1.7249999999999999</c:v>
                </c:pt>
                <c:pt idx="13">
                  <c:v>1.1499999999999999</c:v>
                </c:pt>
                <c:pt idx="14">
                  <c:v>0.57499999999999984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52D-48E9-94F2-F0CA23CF01D3}"/>
            </c:ext>
          </c:extLst>
        </c:ser>
        <c:ser>
          <c:idx val="13"/>
          <c:order val="13"/>
          <c:tx>
            <c:strRef>
              <c:f>'retirement scenarios'!$E$112:$F$112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scenarios'!$R$112:$AW$112</c:f>
              <c:numCache>
                <c:formatCode>General</c:formatCode>
                <c:ptCount val="32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3.51</c:v>
                </c:pt>
                <c:pt idx="12">
                  <c:v>3.51</c:v>
                </c:pt>
                <c:pt idx="13">
                  <c:v>3.51</c:v>
                </c:pt>
                <c:pt idx="14">
                  <c:v>3.51</c:v>
                </c:pt>
                <c:pt idx="15">
                  <c:v>3.51</c:v>
                </c:pt>
                <c:pt idx="16">
                  <c:v>2.9249999999999998</c:v>
                </c:pt>
                <c:pt idx="17">
                  <c:v>2.34</c:v>
                </c:pt>
                <c:pt idx="18">
                  <c:v>1.17</c:v>
                </c:pt>
                <c:pt idx="19">
                  <c:v>1.17</c:v>
                </c:pt>
                <c:pt idx="20">
                  <c:v>0.58499999999999996</c:v>
                </c:pt>
                <c:pt idx="21">
                  <c:v>0.58499999999999996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52D-48E9-94F2-F0CA23CF0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scenarios'!$E$118:$F$118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scenarios'!$R$118:$AH$118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1.0578571428571428</c:v>
                </c:pt>
                <c:pt idx="6">
                  <c:v>0.63471428571428568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41-4B06-B1E5-BE39E3999ED0}"/>
            </c:ext>
          </c:extLst>
        </c:ser>
        <c:ser>
          <c:idx val="1"/>
          <c:order val="1"/>
          <c:tx>
            <c:strRef>
              <c:f>'retirement scenarios'!$E$119:$F$119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scenarios'!$R$119:$AH$119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0.38</c:v>
                </c:pt>
                <c:pt idx="8">
                  <c:v>0.19000000000000003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41-4B06-B1E5-BE39E3999ED0}"/>
            </c:ext>
          </c:extLst>
        </c:ser>
        <c:ser>
          <c:idx val="2"/>
          <c:order val="2"/>
          <c:tx>
            <c:strRef>
              <c:f>'retirement scenarios'!$E$120:$F$120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scenarios'!$R$120:$AH$120</c:f>
              <c:numCache>
                <c:formatCode>General</c:formatCode>
                <c:ptCount val="17"/>
                <c:pt idx="0">
                  <c:v>0.41</c:v>
                </c:pt>
                <c:pt idx="1">
                  <c:v>0.20499999999999999</c:v>
                </c:pt>
                <c:pt idx="2">
                  <c:v>0.10249999999999999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41-4B06-B1E5-BE39E3999ED0}"/>
            </c:ext>
          </c:extLst>
        </c:ser>
        <c:ser>
          <c:idx val="3"/>
          <c:order val="3"/>
          <c:tx>
            <c:strRef>
              <c:f>'retirement scenarios'!$E$121:$F$121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scenarios'!$R$121:$AH$121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41-4B06-B1E5-BE39E3999ED0}"/>
            </c:ext>
          </c:extLst>
        </c:ser>
        <c:ser>
          <c:idx val="4"/>
          <c:order val="4"/>
          <c:tx>
            <c:strRef>
              <c:f>'retirement scenarios'!$E$122:$F$122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scenarios'!$R$122:$AH$122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1.7250000000000001</c:v>
                </c:pt>
                <c:pt idx="13">
                  <c:v>1.7250000000000001</c:v>
                </c:pt>
                <c:pt idx="14">
                  <c:v>0.57500000000000018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41-4B06-B1E5-BE39E3999ED0}"/>
            </c:ext>
          </c:extLst>
        </c:ser>
        <c:ser>
          <c:idx val="5"/>
          <c:order val="5"/>
          <c:tx>
            <c:strRef>
              <c:f>'retirement scenarios'!$E$123:$F$123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scenarios'!$R$123:$AH$123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1.1082857142857143</c:v>
                </c:pt>
                <c:pt idx="3">
                  <c:v>1.1082857142857143</c:v>
                </c:pt>
                <c:pt idx="4">
                  <c:v>0.9235714285714286</c:v>
                </c:pt>
                <c:pt idx="5">
                  <c:v>0.73885714285714288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41-4B06-B1E5-BE39E3999ED0}"/>
            </c:ext>
          </c:extLst>
        </c:ser>
        <c:ser>
          <c:idx val="6"/>
          <c:order val="6"/>
          <c:tx>
            <c:strRef>
              <c:f>'retirement scenarios'!$E$124:$F$124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scenarios'!$R$124:$AH$124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41-4B06-B1E5-BE39E3999ED0}"/>
            </c:ext>
          </c:extLst>
        </c:ser>
        <c:ser>
          <c:idx val="7"/>
          <c:order val="7"/>
          <c:tx>
            <c:strRef>
              <c:f>'retirement scenarios'!$E$125:$F$125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scenarios'!$R$125:$AH$125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41-4B06-B1E5-BE39E3999ED0}"/>
            </c:ext>
          </c:extLst>
        </c:ser>
        <c:ser>
          <c:idx val="8"/>
          <c:order val="8"/>
          <c:tx>
            <c:strRef>
              <c:f>'retirement scenarios'!$E$126:$F$126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scenarios'!$R$126:$AH$126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F41-4B06-B1E5-BE39E3999ED0}"/>
            </c:ext>
          </c:extLst>
        </c:ser>
        <c:ser>
          <c:idx val="9"/>
          <c:order val="9"/>
          <c:tx>
            <c:strRef>
              <c:f>'retirement scenarios'!$E$127:$F$127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scenarios'!$R$127:$AH$127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F41-4B06-B1E5-BE39E3999ED0}"/>
            </c:ext>
          </c:extLst>
        </c:ser>
        <c:ser>
          <c:idx val="10"/>
          <c:order val="10"/>
          <c:tx>
            <c:strRef>
              <c:f>'retirement scenarios'!$E$128:$F$128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scenarios'!$R$128:$AH$128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F41-4B06-B1E5-BE39E3999ED0}"/>
            </c:ext>
          </c:extLst>
        </c:ser>
        <c:ser>
          <c:idx val="11"/>
          <c:order val="11"/>
          <c:tx>
            <c:strRef>
              <c:f>'retirement scenarios'!$E$129:$F$129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scenarios'!$R$129:$AH$129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F41-4B06-B1E5-BE39E3999ED0}"/>
            </c:ext>
          </c:extLst>
        </c:ser>
        <c:ser>
          <c:idx val="12"/>
          <c:order val="12"/>
          <c:tx>
            <c:strRef>
              <c:f>'retirement scenarios'!$E$130:$F$130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scenarios'!$R$130:$AH$130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2.875</c:v>
                </c:pt>
                <c:pt idx="12">
                  <c:v>1.7249999999999999</c:v>
                </c:pt>
                <c:pt idx="13">
                  <c:v>1.1499999999999999</c:v>
                </c:pt>
                <c:pt idx="14">
                  <c:v>0.57499999999999984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F41-4B06-B1E5-BE39E3999ED0}"/>
            </c:ext>
          </c:extLst>
        </c:ser>
        <c:ser>
          <c:idx val="13"/>
          <c:order val="13"/>
          <c:tx>
            <c:strRef>
              <c:f>'retirement scenarios'!$E$131:$F$131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scenarios'!$R$131:$AH$131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F41-4B06-B1E5-BE39E3999E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scenarios'!$E$139:$F$139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scenarios'!$R$139:$AH$139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1.0578571428571428</c:v>
                </c:pt>
                <c:pt idx="6">
                  <c:v>0.63471428571428568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7F-4C6B-B2C5-95A506C0C3FF}"/>
            </c:ext>
          </c:extLst>
        </c:ser>
        <c:ser>
          <c:idx val="1"/>
          <c:order val="1"/>
          <c:tx>
            <c:strRef>
              <c:f>'retirement scenarios'!$E$140:$F$140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scenarios'!$R$140:$AH$140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0.38</c:v>
                </c:pt>
                <c:pt idx="8">
                  <c:v>0.19000000000000003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7F-4C6B-B2C5-95A506C0C3FF}"/>
            </c:ext>
          </c:extLst>
        </c:ser>
        <c:ser>
          <c:idx val="2"/>
          <c:order val="2"/>
          <c:tx>
            <c:strRef>
              <c:f>'retirement scenarios'!$E$141:$F$141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scenarios'!$R$141:$AH$141</c:f>
              <c:numCache>
                <c:formatCode>General</c:formatCode>
                <c:ptCount val="17"/>
                <c:pt idx="0">
                  <c:v>0.41</c:v>
                </c:pt>
                <c:pt idx="1">
                  <c:v>0.13666666666666666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7F-4C6B-B2C5-95A506C0C3FF}"/>
            </c:ext>
          </c:extLst>
        </c:ser>
        <c:ser>
          <c:idx val="3"/>
          <c:order val="3"/>
          <c:tx>
            <c:strRef>
              <c:f>'retirement scenarios'!$E$142:$F$142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scenarios'!$R$142:$AH$142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7F-4C6B-B2C5-95A506C0C3FF}"/>
            </c:ext>
          </c:extLst>
        </c:ser>
        <c:ser>
          <c:idx val="4"/>
          <c:order val="4"/>
          <c:tx>
            <c:strRef>
              <c:f>'retirement scenarios'!$E$143:$F$143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scenarios'!$R$143:$AH$143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1.7250000000000001</c:v>
                </c:pt>
                <c:pt idx="10">
                  <c:v>1.7250000000000001</c:v>
                </c:pt>
                <c:pt idx="11">
                  <c:v>0.57500000000000018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7F-4C6B-B2C5-95A506C0C3FF}"/>
            </c:ext>
          </c:extLst>
        </c:ser>
        <c:ser>
          <c:idx val="5"/>
          <c:order val="5"/>
          <c:tx>
            <c:strRef>
              <c:f>'retirement scenarios'!$E$144:$F$144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scenarios'!$R$144:$AH$144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7F-4C6B-B2C5-95A506C0C3FF}"/>
            </c:ext>
          </c:extLst>
        </c:ser>
        <c:ser>
          <c:idx val="6"/>
          <c:order val="6"/>
          <c:tx>
            <c:strRef>
              <c:f>'retirement scenarios'!$E$145:$F$145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scenarios'!$R$145:$AH$145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7F-4C6B-B2C5-95A506C0C3FF}"/>
            </c:ext>
          </c:extLst>
        </c:ser>
        <c:ser>
          <c:idx val="7"/>
          <c:order val="7"/>
          <c:tx>
            <c:strRef>
              <c:f>'retirement scenarios'!$E$146:$F$146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scenarios'!$R$146:$AH$146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7F-4C6B-B2C5-95A506C0C3FF}"/>
            </c:ext>
          </c:extLst>
        </c:ser>
        <c:ser>
          <c:idx val="8"/>
          <c:order val="8"/>
          <c:tx>
            <c:strRef>
              <c:f>'retirement scenarios'!$E$147:$F$147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scenarios'!$R$147:$AH$147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47F-4C6B-B2C5-95A506C0C3FF}"/>
            </c:ext>
          </c:extLst>
        </c:ser>
        <c:ser>
          <c:idx val="9"/>
          <c:order val="9"/>
          <c:tx>
            <c:strRef>
              <c:f>'retirement scenarios'!$E$148:$F$148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scenarios'!$R$148:$AH$148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7F-4C6B-B2C5-95A506C0C3FF}"/>
            </c:ext>
          </c:extLst>
        </c:ser>
        <c:ser>
          <c:idx val="10"/>
          <c:order val="10"/>
          <c:tx>
            <c:strRef>
              <c:f>'retirement scenarios'!$E$149:$F$149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scenarios'!$R$149:$AH$149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47F-4C6B-B2C5-95A506C0C3FF}"/>
            </c:ext>
          </c:extLst>
        </c:ser>
        <c:ser>
          <c:idx val="11"/>
          <c:order val="11"/>
          <c:tx>
            <c:strRef>
              <c:f>'retirement scenarios'!$E$150:$F$150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scenarios'!$R$150:$AH$150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47F-4C6B-B2C5-95A506C0C3FF}"/>
            </c:ext>
          </c:extLst>
        </c:ser>
        <c:ser>
          <c:idx val="12"/>
          <c:order val="12"/>
          <c:tx>
            <c:strRef>
              <c:f>'retirement scenarios'!$E$151:$F$151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scenarios'!$R$151:$AH$151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2.875</c:v>
                </c:pt>
                <c:pt idx="9">
                  <c:v>1.7249999999999999</c:v>
                </c:pt>
                <c:pt idx="10">
                  <c:v>1.1499999999999999</c:v>
                </c:pt>
                <c:pt idx="11">
                  <c:v>0.57499999999999984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47F-4C6B-B2C5-95A506C0C3FF}"/>
            </c:ext>
          </c:extLst>
        </c:ser>
        <c:ser>
          <c:idx val="13"/>
          <c:order val="13"/>
          <c:tx>
            <c:strRef>
              <c:f>'retirement scenarios'!$E$152:$F$152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scenarios'!$R$152:$AH$152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2.9249999999999998</c:v>
                </c:pt>
                <c:pt idx="7">
                  <c:v>2.34</c:v>
                </c:pt>
                <c:pt idx="8">
                  <c:v>1.17</c:v>
                </c:pt>
                <c:pt idx="9">
                  <c:v>1.17</c:v>
                </c:pt>
                <c:pt idx="10">
                  <c:v>0.58499999999999996</c:v>
                </c:pt>
                <c:pt idx="11">
                  <c:v>0.58499999999999996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47F-4C6B-B2C5-95A506C0C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scenarios'!$E$157:$F$157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scenarios'!$S$157:$AH$157</c:f>
              <c:numCache>
                <c:formatCode>General</c:formatCode>
                <c:ptCount val="16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EA-4290-9F3A-8357FE6AB953}"/>
            </c:ext>
          </c:extLst>
        </c:ser>
        <c:ser>
          <c:idx val="1"/>
          <c:order val="1"/>
          <c:tx>
            <c:strRef>
              <c:f>'retirement scenarios'!$E$158:$F$158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scenarios'!$S$158:$AH$158</c:f>
              <c:numCache>
                <c:formatCode>General</c:formatCode>
                <c:ptCount val="16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EA-4290-9F3A-8357FE6AB953}"/>
            </c:ext>
          </c:extLst>
        </c:ser>
        <c:ser>
          <c:idx val="2"/>
          <c:order val="2"/>
          <c:tx>
            <c:strRef>
              <c:f>'retirement scenarios'!$E$159:$F$159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scenarios'!$S$159:$AH$159</c:f>
              <c:numCache>
                <c:formatCode>General</c:formatCode>
                <c:ptCount val="16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EA-4290-9F3A-8357FE6AB953}"/>
            </c:ext>
          </c:extLst>
        </c:ser>
        <c:ser>
          <c:idx val="3"/>
          <c:order val="3"/>
          <c:tx>
            <c:strRef>
              <c:f>'retirement scenarios'!$E$160:$F$160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scenarios'!$S$160:$AH$160</c:f>
              <c:numCache>
                <c:formatCode>General</c:formatCode>
                <c:ptCount val="16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EA-4290-9F3A-8357FE6AB953}"/>
            </c:ext>
          </c:extLst>
        </c:ser>
        <c:ser>
          <c:idx val="4"/>
          <c:order val="4"/>
          <c:tx>
            <c:strRef>
              <c:f>'retirement scenarios'!$E$161:$F$161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scenarios'!$S$161:$AH$161</c:f>
              <c:numCache>
                <c:formatCode>General</c:formatCode>
                <c:ptCount val="16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A-4290-9F3A-8357FE6AB953}"/>
            </c:ext>
          </c:extLst>
        </c:ser>
        <c:ser>
          <c:idx val="5"/>
          <c:order val="5"/>
          <c:tx>
            <c:strRef>
              <c:f>'retirement scenarios'!$E$162:$F$162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scenarios'!$S$162:$AH$162</c:f>
              <c:numCache>
                <c:formatCode>General</c:formatCode>
                <c:ptCount val="16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EA-4290-9F3A-8357FE6AB953}"/>
            </c:ext>
          </c:extLst>
        </c:ser>
        <c:ser>
          <c:idx val="6"/>
          <c:order val="6"/>
          <c:tx>
            <c:strRef>
              <c:f>'retirement scenarios'!$E$163:$F$163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scenarios'!$S$163:$AH$163</c:f>
              <c:numCache>
                <c:formatCode>General</c:formatCode>
                <c:ptCount val="16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EA-4290-9F3A-8357FE6AB953}"/>
            </c:ext>
          </c:extLst>
        </c:ser>
        <c:ser>
          <c:idx val="7"/>
          <c:order val="7"/>
          <c:tx>
            <c:strRef>
              <c:f>'retirement scenarios'!$E$164:$F$164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scenarios'!$S$164:$AH$164</c:f>
              <c:numCache>
                <c:formatCode>General</c:formatCode>
                <c:ptCount val="16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EA-4290-9F3A-8357FE6AB953}"/>
            </c:ext>
          </c:extLst>
        </c:ser>
        <c:ser>
          <c:idx val="8"/>
          <c:order val="8"/>
          <c:tx>
            <c:strRef>
              <c:f>'retirement scenarios'!$E$165:$F$165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scenarios'!$S$165:$AH$165</c:f>
              <c:numCache>
                <c:formatCode>General</c:formatCode>
                <c:ptCount val="16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EA-4290-9F3A-8357FE6AB953}"/>
            </c:ext>
          </c:extLst>
        </c:ser>
        <c:ser>
          <c:idx val="9"/>
          <c:order val="9"/>
          <c:tx>
            <c:strRef>
              <c:f>'retirement scenarios'!$E$166:$F$166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scenarios'!$S$166:$AH$166</c:f>
              <c:numCache>
                <c:formatCode>General</c:formatCode>
                <c:ptCount val="16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EA-4290-9F3A-8357FE6AB953}"/>
            </c:ext>
          </c:extLst>
        </c:ser>
        <c:ser>
          <c:idx val="10"/>
          <c:order val="10"/>
          <c:tx>
            <c:strRef>
              <c:f>'retirement scenarios'!$E$167:$F$167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scenarios'!$S$167:$AH$167</c:f>
              <c:numCache>
                <c:formatCode>General</c:formatCode>
                <c:ptCount val="16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EA-4290-9F3A-8357FE6AB953}"/>
            </c:ext>
          </c:extLst>
        </c:ser>
        <c:ser>
          <c:idx val="11"/>
          <c:order val="11"/>
          <c:tx>
            <c:strRef>
              <c:f>'retirement scenarios'!$E$168:$F$168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scenarios'!$S$168:$AH$168</c:f>
              <c:numCache>
                <c:formatCode>General</c:formatCode>
                <c:ptCount val="16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EA-4290-9F3A-8357FE6AB953}"/>
            </c:ext>
          </c:extLst>
        </c:ser>
        <c:ser>
          <c:idx val="12"/>
          <c:order val="12"/>
          <c:tx>
            <c:strRef>
              <c:f>'retirement scenarios'!$E$169:$F$169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scenarios'!$S$169:$AH$169</c:f>
              <c:numCache>
                <c:formatCode>General</c:formatCode>
                <c:ptCount val="16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5EA-4290-9F3A-8357FE6AB953}"/>
            </c:ext>
          </c:extLst>
        </c:ser>
        <c:ser>
          <c:idx val="13"/>
          <c:order val="13"/>
          <c:tx>
            <c:strRef>
              <c:f>'retirement scenarios'!$E$170:$F$170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scenarios'!$S$170:$AH$170</c:f>
              <c:numCache>
                <c:formatCode>General</c:formatCode>
                <c:ptCount val="16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5EA-4290-9F3A-8357FE6AB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scenarios'!$E$174:$F$174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scenarios'!$S$174:$AH$174</c:f>
              <c:numCache>
                <c:formatCode>General</c:formatCode>
                <c:ptCount val="16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07-4846-8CEF-2AB683047348}"/>
            </c:ext>
          </c:extLst>
        </c:ser>
        <c:ser>
          <c:idx val="1"/>
          <c:order val="1"/>
          <c:tx>
            <c:strRef>
              <c:f>'retirement scenarios'!$E$175:$F$175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scenarios'!$S$175:$AH$175</c:f>
              <c:numCache>
                <c:formatCode>General</c:formatCode>
                <c:ptCount val="16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07-4846-8CEF-2AB683047348}"/>
            </c:ext>
          </c:extLst>
        </c:ser>
        <c:ser>
          <c:idx val="2"/>
          <c:order val="2"/>
          <c:tx>
            <c:strRef>
              <c:f>'retirement scenarios'!$E$176:$F$176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scenarios'!$S$176:$AH$176</c:f>
              <c:numCache>
                <c:formatCode>General</c:formatCode>
                <c:ptCount val="16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07-4846-8CEF-2AB683047348}"/>
            </c:ext>
          </c:extLst>
        </c:ser>
        <c:ser>
          <c:idx val="3"/>
          <c:order val="3"/>
          <c:tx>
            <c:strRef>
              <c:f>'retirement scenarios'!$E$177:$F$177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scenarios'!$S$177:$AH$177</c:f>
              <c:numCache>
                <c:formatCode>General</c:formatCode>
                <c:ptCount val="16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07-4846-8CEF-2AB683047348}"/>
            </c:ext>
          </c:extLst>
        </c:ser>
        <c:ser>
          <c:idx val="4"/>
          <c:order val="4"/>
          <c:tx>
            <c:strRef>
              <c:f>'retirement scenarios'!$E$178:$F$178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scenarios'!$S$178:$AH$178</c:f>
              <c:numCache>
                <c:formatCode>General</c:formatCode>
                <c:ptCount val="16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2.2999999999999998</c:v>
                </c:pt>
                <c:pt idx="10">
                  <c:v>1.1499999999999999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07-4846-8CEF-2AB683047348}"/>
            </c:ext>
          </c:extLst>
        </c:ser>
        <c:ser>
          <c:idx val="5"/>
          <c:order val="5"/>
          <c:tx>
            <c:strRef>
              <c:f>'retirement scenarios'!$E$179:$F$179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scenarios'!$S$179:$AH$179</c:f>
              <c:numCache>
                <c:formatCode>General</c:formatCode>
                <c:ptCount val="16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707-4846-8CEF-2AB683047348}"/>
            </c:ext>
          </c:extLst>
        </c:ser>
        <c:ser>
          <c:idx val="6"/>
          <c:order val="6"/>
          <c:tx>
            <c:strRef>
              <c:f>'retirement scenarios'!$E$180:$F$180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scenarios'!$S$180:$AH$180</c:f>
              <c:numCache>
                <c:formatCode>General</c:formatCode>
                <c:ptCount val="16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2.5599999999999996</c:v>
                </c:pt>
                <c:pt idx="10">
                  <c:v>1.2799999999999996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707-4846-8CEF-2AB683047348}"/>
            </c:ext>
          </c:extLst>
        </c:ser>
        <c:ser>
          <c:idx val="7"/>
          <c:order val="7"/>
          <c:tx>
            <c:strRef>
              <c:f>'retirement scenarios'!$E$181:$F$181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scenarios'!$S$181:$AH$181</c:f>
              <c:numCache>
                <c:formatCode>General</c:formatCode>
                <c:ptCount val="16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707-4846-8CEF-2AB683047348}"/>
            </c:ext>
          </c:extLst>
        </c:ser>
        <c:ser>
          <c:idx val="8"/>
          <c:order val="8"/>
          <c:tx>
            <c:strRef>
              <c:f>'retirement scenarios'!$E$182:$F$182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scenarios'!$S$182:$AH$182</c:f>
              <c:numCache>
                <c:formatCode>General</c:formatCode>
                <c:ptCount val="16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07-4846-8CEF-2AB683047348}"/>
            </c:ext>
          </c:extLst>
        </c:ser>
        <c:ser>
          <c:idx val="9"/>
          <c:order val="9"/>
          <c:tx>
            <c:strRef>
              <c:f>'retirement scenarios'!$E$183:$F$183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scenarios'!$S$183:$AH$183</c:f>
              <c:numCache>
                <c:formatCode>General</c:formatCode>
                <c:ptCount val="16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707-4846-8CEF-2AB683047348}"/>
            </c:ext>
          </c:extLst>
        </c:ser>
        <c:ser>
          <c:idx val="10"/>
          <c:order val="10"/>
          <c:tx>
            <c:strRef>
              <c:f>'retirement scenarios'!$E$184:$F$184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scenarios'!$S$184:$AH$184</c:f>
              <c:numCache>
                <c:formatCode>General</c:formatCode>
                <c:ptCount val="16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707-4846-8CEF-2AB683047348}"/>
            </c:ext>
          </c:extLst>
        </c:ser>
        <c:ser>
          <c:idx val="11"/>
          <c:order val="11"/>
          <c:tx>
            <c:strRef>
              <c:f>'retirement scenarios'!$E$185:$F$185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scenarios'!$S$185:$AH$185</c:f>
              <c:numCache>
                <c:formatCode>General</c:formatCode>
                <c:ptCount val="16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707-4846-8CEF-2AB683047348}"/>
            </c:ext>
          </c:extLst>
        </c:ser>
        <c:ser>
          <c:idx val="12"/>
          <c:order val="12"/>
          <c:tx>
            <c:strRef>
              <c:f>'retirement scenarios'!$E$186:$F$186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scenarios'!$S$186:$AH$186</c:f>
              <c:numCache>
                <c:formatCode>General</c:formatCode>
                <c:ptCount val="16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2.2999999999999998</c:v>
                </c:pt>
                <c:pt idx="10">
                  <c:v>1.1499999999999997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707-4846-8CEF-2AB683047348}"/>
            </c:ext>
          </c:extLst>
        </c:ser>
        <c:ser>
          <c:idx val="13"/>
          <c:order val="13"/>
          <c:tx>
            <c:strRef>
              <c:f>'retirement scenarios'!$E$187:$F$187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scenarios'!$S$187:$AH$187</c:f>
              <c:numCache>
                <c:formatCode>General</c:formatCode>
                <c:ptCount val="16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2.34</c:v>
                </c:pt>
                <c:pt idx="10">
                  <c:v>1.17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707-4846-8CEF-2AB683047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scenarios'!$E$193:$F$193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scenarios'!$S$193:$AI$193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5C-4087-8389-BB7D3184C90F}"/>
            </c:ext>
          </c:extLst>
        </c:ser>
        <c:ser>
          <c:idx val="1"/>
          <c:order val="1"/>
          <c:tx>
            <c:strRef>
              <c:f>'retirement scenarios'!$E$194:$F$194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scenarios'!$S$194:$AI$194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5C-4087-8389-BB7D3184C90F}"/>
            </c:ext>
          </c:extLst>
        </c:ser>
        <c:ser>
          <c:idx val="2"/>
          <c:order val="2"/>
          <c:tx>
            <c:strRef>
              <c:f>'retirement scenarios'!$E$195:$F$195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scenarios'!$S$195:$AI$195</c:f>
              <c:numCache>
                <c:formatCode>General</c:formatCode>
                <c:ptCount val="17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5C-4087-8389-BB7D3184C90F}"/>
            </c:ext>
          </c:extLst>
        </c:ser>
        <c:ser>
          <c:idx val="3"/>
          <c:order val="3"/>
          <c:tx>
            <c:strRef>
              <c:f>'retirement scenarios'!$E$196:$F$196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scenarios'!$S$196:$AI$196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5C-4087-8389-BB7D3184C90F}"/>
            </c:ext>
          </c:extLst>
        </c:ser>
        <c:ser>
          <c:idx val="4"/>
          <c:order val="4"/>
          <c:tx>
            <c:strRef>
              <c:f>'retirement scenarios'!$E$197:$F$197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scenarios'!$S$197:$AI$197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1.7250000000000001</c:v>
                </c:pt>
                <c:pt idx="9">
                  <c:v>1.7250000000000001</c:v>
                </c:pt>
                <c:pt idx="10">
                  <c:v>0.57500000000000018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5C-4087-8389-BB7D3184C90F}"/>
            </c:ext>
          </c:extLst>
        </c:ser>
        <c:ser>
          <c:idx val="5"/>
          <c:order val="5"/>
          <c:tx>
            <c:strRef>
              <c:f>'retirement scenarios'!$E$198:$F$198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scenarios'!$S$198:$AI$198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5C-4087-8389-BB7D3184C90F}"/>
            </c:ext>
          </c:extLst>
        </c:ser>
        <c:ser>
          <c:idx val="6"/>
          <c:order val="6"/>
          <c:tx>
            <c:strRef>
              <c:f>'retirement scenarios'!$E$199:$F$199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scenarios'!$S$199:$AI$199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3.1999999999999997</c:v>
                </c:pt>
                <c:pt idx="7">
                  <c:v>3.1999999999999997</c:v>
                </c:pt>
                <c:pt idx="8">
                  <c:v>2.5599999999999996</c:v>
                </c:pt>
                <c:pt idx="9">
                  <c:v>1.2799999999999996</c:v>
                </c:pt>
                <c:pt idx="10">
                  <c:v>0.63999999999999957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5C-4087-8389-BB7D3184C90F}"/>
            </c:ext>
          </c:extLst>
        </c:ser>
        <c:ser>
          <c:idx val="7"/>
          <c:order val="7"/>
          <c:tx>
            <c:strRef>
              <c:f>'retirement scenarios'!$E$200:$F$200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scenarios'!$S$200:$AI$200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5C-4087-8389-BB7D3184C90F}"/>
            </c:ext>
          </c:extLst>
        </c:ser>
        <c:ser>
          <c:idx val="8"/>
          <c:order val="8"/>
          <c:tx>
            <c:strRef>
              <c:f>'retirement scenarios'!$E$201:$F$201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scenarios'!$S$201:$AI$201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2.9649999999999999</c:v>
                </c:pt>
                <c:pt idx="7">
                  <c:v>1.7789999999999999</c:v>
                </c:pt>
                <c:pt idx="8">
                  <c:v>1.1859999999999999</c:v>
                </c:pt>
                <c:pt idx="9">
                  <c:v>1.1859999999999999</c:v>
                </c:pt>
                <c:pt idx="10">
                  <c:v>0.59299999999999997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5C-4087-8389-BB7D3184C90F}"/>
            </c:ext>
          </c:extLst>
        </c:ser>
        <c:ser>
          <c:idx val="9"/>
          <c:order val="9"/>
          <c:tx>
            <c:strRef>
              <c:f>'retirement scenarios'!$E$202:$F$202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scenarios'!$S$202:$AI$202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1.222</c:v>
                </c:pt>
                <c:pt idx="7">
                  <c:v>0.61099999999999988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5C-4087-8389-BB7D3184C90F}"/>
            </c:ext>
          </c:extLst>
        </c:ser>
        <c:ser>
          <c:idx val="10"/>
          <c:order val="10"/>
          <c:tx>
            <c:strRef>
              <c:f>'retirement scenarios'!$E$203:$F$203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scenarios'!$S$203:$AI$203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1.3399999999999999</c:v>
                </c:pt>
                <c:pt idx="10">
                  <c:v>0.66999999999999993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5C-4087-8389-BB7D3184C90F}"/>
            </c:ext>
          </c:extLst>
        </c:ser>
        <c:ser>
          <c:idx val="11"/>
          <c:order val="11"/>
          <c:tx>
            <c:strRef>
              <c:f>'retirement scenarios'!$E$204:$F$204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scenarios'!$S$204:$AI$204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2.46</c:v>
                </c:pt>
                <c:pt idx="8">
                  <c:v>1.845</c:v>
                </c:pt>
                <c:pt idx="9">
                  <c:v>1.23</c:v>
                </c:pt>
                <c:pt idx="10">
                  <c:v>0.61499999999999999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5C-4087-8389-BB7D3184C90F}"/>
            </c:ext>
          </c:extLst>
        </c:ser>
        <c:ser>
          <c:idx val="12"/>
          <c:order val="12"/>
          <c:tx>
            <c:strRef>
              <c:f>'retirement scenarios'!$E$205:$F$205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scenarios'!$S$205:$AI$205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2.875</c:v>
                </c:pt>
                <c:pt idx="8">
                  <c:v>1.7249999999999999</c:v>
                </c:pt>
                <c:pt idx="9">
                  <c:v>1.1499999999999999</c:v>
                </c:pt>
                <c:pt idx="10">
                  <c:v>0.57499999999999984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5C-4087-8389-BB7D3184C90F}"/>
            </c:ext>
          </c:extLst>
        </c:ser>
        <c:ser>
          <c:idx val="13"/>
          <c:order val="13"/>
          <c:tx>
            <c:strRef>
              <c:f>'retirement scenarios'!$E$206:$F$206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scenarios'!$S$206:$AI$206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2.9249999999999998</c:v>
                </c:pt>
                <c:pt idx="6">
                  <c:v>2.34</c:v>
                </c:pt>
                <c:pt idx="7">
                  <c:v>1.17</c:v>
                </c:pt>
                <c:pt idx="8">
                  <c:v>1.17</c:v>
                </c:pt>
                <c:pt idx="9">
                  <c:v>0.58499999999999996</c:v>
                </c:pt>
                <c:pt idx="10">
                  <c:v>0.58499999999999996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5C-4087-8389-BB7D3184C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scenarios'!$E$211:$F$211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scenarios'!$S$211:$AI$211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1D-43B5-8C93-B9F5DBCFD583}"/>
            </c:ext>
          </c:extLst>
        </c:ser>
        <c:ser>
          <c:idx val="1"/>
          <c:order val="1"/>
          <c:tx>
            <c:strRef>
              <c:f>'retirement scenarios'!$E$212:$F$212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scenarios'!$S$212:$AI$212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1D-43B5-8C93-B9F5DBCFD583}"/>
            </c:ext>
          </c:extLst>
        </c:ser>
        <c:ser>
          <c:idx val="2"/>
          <c:order val="2"/>
          <c:tx>
            <c:strRef>
              <c:f>'retirement scenarios'!$E$213:$F$213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scenarios'!$S$213:$AI$213</c:f>
              <c:numCache>
                <c:formatCode>General</c:formatCode>
                <c:ptCount val="17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1D-43B5-8C93-B9F5DBCFD583}"/>
            </c:ext>
          </c:extLst>
        </c:ser>
        <c:ser>
          <c:idx val="3"/>
          <c:order val="3"/>
          <c:tx>
            <c:strRef>
              <c:f>'retirement scenarios'!$E$214:$F$214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scenarios'!$S$214:$AI$214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1D-43B5-8C93-B9F5DBCFD583}"/>
            </c:ext>
          </c:extLst>
        </c:ser>
        <c:ser>
          <c:idx val="4"/>
          <c:order val="4"/>
          <c:tx>
            <c:strRef>
              <c:f>'retirement scenarios'!$E$215:$F$215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scenarios'!$S$215:$AI$215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1D-43B5-8C93-B9F5DBCFD583}"/>
            </c:ext>
          </c:extLst>
        </c:ser>
        <c:ser>
          <c:idx val="5"/>
          <c:order val="5"/>
          <c:tx>
            <c:strRef>
              <c:f>'retirement scenarios'!$E$216:$F$216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scenarios'!$S$216:$AI$216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1D-43B5-8C93-B9F5DBCFD583}"/>
            </c:ext>
          </c:extLst>
        </c:ser>
        <c:ser>
          <c:idx val="6"/>
          <c:order val="6"/>
          <c:tx>
            <c:strRef>
              <c:f>'retirement scenarios'!$E$217:$F$217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scenarios'!$S$217:$AI$217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1D-43B5-8C93-B9F5DBCFD583}"/>
            </c:ext>
          </c:extLst>
        </c:ser>
        <c:ser>
          <c:idx val="7"/>
          <c:order val="7"/>
          <c:tx>
            <c:strRef>
              <c:f>'retirement scenarios'!$E$218:$F$218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scenarios'!$S$218:$AI$218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1D-43B5-8C93-B9F5DBCFD583}"/>
            </c:ext>
          </c:extLst>
        </c:ser>
        <c:ser>
          <c:idx val="8"/>
          <c:order val="8"/>
          <c:tx>
            <c:strRef>
              <c:f>'retirement scenarios'!$E$219:$F$219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scenarios'!$S$219:$AI$219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31D-43B5-8C93-B9F5DBCFD583}"/>
            </c:ext>
          </c:extLst>
        </c:ser>
        <c:ser>
          <c:idx val="9"/>
          <c:order val="9"/>
          <c:tx>
            <c:strRef>
              <c:f>'retirement scenarios'!$E$220:$F$220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scenarios'!$S$220:$AI$220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31D-43B5-8C93-B9F5DBCFD583}"/>
            </c:ext>
          </c:extLst>
        </c:ser>
        <c:ser>
          <c:idx val="10"/>
          <c:order val="10"/>
          <c:tx>
            <c:strRef>
              <c:f>'retirement scenarios'!$E$221:$F$221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scenarios'!$S$221:$AI$221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31D-43B5-8C93-B9F5DBCFD583}"/>
            </c:ext>
          </c:extLst>
        </c:ser>
        <c:ser>
          <c:idx val="11"/>
          <c:order val="11"/>
          <c:tx>
            <c:strRef>
              <c:f>'retirement scenarios'!$E$222:$F$222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scenarios'!$S$222:$AI$222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31D-43B5-8C93-B9F5DBCFD583}"/>
            </c:ext>
          </c:extLst>
        </c:ser>
        <c:ser>
          <c:idx val="12"/>
          <c:order val="12"/>
          <c:tx>
            <c:strRef>
              <c:f>'retirement scenarios'!$E$223:$F$223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scenarios'!$S$223:$AI$223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31D-43B5-8C93-B9F5DBCFD583}"/>
            </c:ext>
          </c:extLst>
        </c:ser>
        <c:ser>
          <c:idx val="13"/>
          <c:order val="13"/>
          <c:tx>
            <c:strRef>
              <c:f>'retirement scenarios'!$E$224:$F$224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scenarios'!$S$224:$AI$224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31D-43B5-8C93-B9F5DBCFD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scenarios'!$E$228:$F$228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scenarios'!$S$228:$AI$228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6-4912-964D-76C341AD14C9}"/>
            </c:ext>
          </c:extLst>
        </c:ser>
        <c:ser>
          <c:idx val="1"/>
          <c:order val="1"/>
          <c:tx>
            <c:strRef>
              <c:f>'retirement scenarios'!$E$229:$F$229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scenarios'!$S$229:$AI$229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6-4912-964D-76C341AD14C9}"/>
            </c:ext>
          </c:extLst>
        </c:ser>
        <c:ser>
          <c:idx val="2"/>
          <c:order val="2"/>
          <c:tx>
            <c:strRef>
              <c:f>'retirement scenarios'!$E$230:$F$230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scenarios'!$S$230:$AI$230</c:f>
              <c:numCache>
                <c:formatCode>General</c:formatCode>
                <c:ptCount val="17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6-4912-964D-76C341AD14C9}"/>
            </c:ext>
          </c:extLst>
        </c:ser>
        <c:ser>
          <c:idx val="3"/>
          <c:order val="3"/>
          <c:tx>
            <c:strRef>
              <c:f>'retirement scenarios'!$E$231:$F$231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scenarios'!$S$231:$AI$231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86-4912-964D-76C341AD14C9}"/>
            </c:ext>
          </c:extLst>
        </c:ser>
        <c:ser>
          <c:idx val="4"/>
          <c:order val="4"/>
          <c:tx>
            <c:strRef>
              <c:f>'retirement scenarios'!$E$232:$F$232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scenarios'!$S$232:$AI$232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2.2999999999999998</c:v>
                </c:pt>
                <c:pt idx="10">
                  <c:v>1.1499999999999999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86-4912-964D-76C341AD14C9}"/>
            </c:ext>
          </c:extLst>
        </c:ser>
        <c:ser>
          <c:idx val="5"/>
          <c:order val="5"/>
          <c:tx>
            <c:strRef>
              <c:f>'retirement scenarios'!$E$233:$F$233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scenarios'!$S$233:$AI$233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86-4912-964D-76C341AD14C9}"/>
            </c:ext>
          </c:extLst>
        </c:ser>
        <c:ser>
          <c:idx val="6"/>
          <c:order val="6"/>
          <c:tx>
            <c:strRef>
              <c:f>'retirement scenarios'!$E$234:$F$234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scenarios'!$S$234:$AI$234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2.5599999999999996</c:v>
                </c:pt>
                <c:pt idx="10">
                  <c:v>1.2799999999999996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86-4912-964D-76C341AD14C9}"/>
            </c:ext>
          </c:extLst>
        </c:ser>
        <c:ser>
          <c:idx val="7"/>
          <c:order val="7"/>
          <c:tx>
            <c:strRef>
              <c:f>'retirement scenarios'!$E$235:$F$235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scenarios'!$S$235:$AI$235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86-4912-964D-76C341AD14C9}"/>
            </c:ext>
          </c:extLst>
        </c:ser>
        <c:ser>
          <c:idx val="8"/>
          <c:order val="8"/>
          <c:tx>
            <c:strRef>
              <c:f>'retirement scenarios'!$E$236:$F$236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scenarios'!$S$236:$AI$236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2.3719999999999999</c:v>
                </c:pt>
                <c:pt idx="10">
                  <c:v>1.1859999999999999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86-4912-964D-76C341AD14C9}"/>
            </c:ext>
          </c:extLst>
        </c:ser>
        <c:ser>
          <c:idx val="9"/>
          <c:order val="9"/>
          <c:tx>
            <c:strRef>
              <c:f>'retirement scenarios'!$E$237:$F$237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scenarios'!$S$237:$AI$237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0.61099999999999999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86-4912-964D-76C341AD14C9}"/>
            </c:ext>
          </c:extLst>
        </c:ser>
        <c:ser>
          <c:idx val="10"/>
          <c:order val="10"/>
          <c:tx>
            <c:strRef>
              <c:f>'retirement scenarios'!$E$238:$F$238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scenarios'!$S$238:$AI$238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1.3399999999999999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86-4912-964D-76C341AD14C9}"/>
            </c:ext>
          </c:extLst>
        </c:ser>
        <c:ser>
          <c:idx val="11"/>
          <c:order val="11"/>
          <c:tx>
            <c:strRef>
              <c:f>'retirement scenarios'!$E$239:$F$239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scenarios'!$S$239:$AI$239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2.46</c:v>
                </c:pt>
                <c:pt idx="10">
                  <c:v>1.23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86-4912-964D-76C341AD14C9}"/>
            </c:ext>
          </c:extLst>
        </c:ser>
        <c:ser>
          <c:idx val="12"/>
          <c:order val="12"/>
          <c:tx>
            <c:strRef>
              <c:f>'retirement scenarios'!$E$240:$F$240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scenarios'!$S$240:$AI$240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2.2999999999999998</c:v>
                </c:pt>
                <c:pt idx="10">
                  <c:v>1.1499999999999997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86-4912-964D-76C341AD14C9}"/>
            </c:ext>
          </c:extLst>
        </c:ser>
        <c:ser>
          <c:idx val="13"/>
          <c:order val="13"/>
          <c:tx>
            <c:strRef>
              <c:f>'retirement scenarios'!$E$241:$F$241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scenarios'!$S$241:$AI$241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2.34</c:v>
                </c:pt>
                <c:pt idx="10">
                  <c:v>1.17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86-4912-964D-76C341AD1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scenarios'!$E$18</c:f>
              <c:strCache>
                <c:ptCount val="1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scenarios'!$R$18:$AW$18</c:f>
              <c:numCache>
                <c:formatCode>General</c:formatCode>
                <c:ptCount val="32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1.0578571428571428</c:v>
                </c:pt>
                <c:pt idx="6">
                  <c:v>0.63471428571428568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D-40D4-A1B1-8B16BBF49186}"/>
            </c:ext>
          </c:extLst>
        </c:ser>
        <c:ser>
          <c:idx val="1"/>
          <c:order val="1"/>
          <c:tx>
            <c:strRef>
              <c:f>'retirement scenarios'!$E$19</c:f>
              <c:strCache>
                <c:ptCount val="1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scenarios'!$R$19:$AW$19</c:f>
              <c:numCache>
                <c:formatCode>General</c:formatCode>
                <c:ptCount val="32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0.38</c:v>
                </c:pt>
                <c:pt idx="8">
                  <c:v>0.19000000000000003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D-40D4-A1B1-8B16BBF49186}"/>
            </c:ext>
          </c:extLst>
        </c:ser>
        <c:ser>
          <c:idx val="2"/>
          <c:order val="2"/>
          <c:tx>
            <c:strRef>
              <c:f>'retirement scenarios'!$E$20</c:f>
              <c:strCache>
                <c:ptCount val="1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scenarios'!$R$20:$AW$20</c:f>
              <c:numCache>
                <c:formatCode>General</c:formatCode>
                <c:ptCount val="32"/>
                <c:pt idx="0">
                  <c:v>0.41</c:v>
                </c:pt>
                <c:pt idx="1">
                  <c:v>0.13666666666666666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ED-40D4-A1B1-8B16BBF49186}"/>
            </c:ext>
          </c:extLst>
        </c:ser>
        <c:ser>
          <c:idx val="3"/>
          <c:order val="3"/>
          <c:tx>
            <c:strRef>
              <c:f>'retirement scenarios'!$E$21</c:f>
              <c:strCache>
                <c:ptCount val="1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scenarios'!$R$21:$AW$21</c:f>
              <c:numCache>
                <c:formatCode>General</c:formatCode>
                <c:ptCount val="32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ED-40D4-A1B1-8B16BBF49186}"/>
            </c:ext>
          </c:extLst>
        </c:ser>
        <c:ser>
          <c:idx val="4"/>
          <c:order val="4"/>
          <c:tx>
            <c:strRef>
              <c:f>'retirement scenarios'!$E$22</c:f>
              <c:strCache>
                <c:ptCount val="1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scenarios'!$R$22:$AW$22</c:f>
              <c:numCache>
                <c:formatCode>General</c:formatCode>
                <c:ptCount val="32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ED-40D4-A1B1-8B16BBF49186}"/>
            </c:ext>
          </c:extLst>
        </c:ser>
        <c:ser>
          <c:idx val="5"/>
          <c:order val="5"/>
          <c:tx>
            <c:strRef>
              <c:f>'retirement scenarios'!$E$23</c:f>
              <c:strCache>
                <c:ptCount val="1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scenarios'!$R$23:$AW$23</c:f>
              <c:numCache>
                <c:formatCode>General</c:formatCode>
                <c:ptCount val="32"/>
                <c:pt idx="0">
                  <c:v>1.2929999999999999</c:v>
                </c:pt>
                <c:pt idx="1">
                  <c:v>1.2929999999999999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ED-40D4-A1B1-8B16BBF49186}"/>
            </c:ext>
          </c:extLst>
        </c:ser>
        <c:ser>
          <c:idx val="6"/>
          <c:order val="6"/>
          <c:tx>
            <c:strRef>
              <c:f>'retirement scenarios'!$E$24</c:f>
              <c:strCache>
                <c:ptCount val="1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scenarios'!$R$24:$AW$24</c:f>
              <c:numCache>
                <c:formatCode>General</c:formatCode>
                <c:ptCount val="32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  <c:pt idx="17">
                  <c:v>3.84</c:v>
                </c:pt>
                <c:pt idx="18">
                  <c:v>3.84</c:v>
                </c:pt>
                <c:pt idx="19">
                  <c:v>3.84</c:v>
                </c:pt>
                <c:pt idx="20">
                  <c:v>3.1999999999999997</c:v>
                </c:pt>
                <c:pt idx="21">
                  <c:v>3.1999999999999997</c:v>
                </c:pt>
                <c:pt idx="22">
                  <c:v>2.5599999999999996</c:v>
                </c:pt>
                <c:pt idx="23">
                  <c:v>1.2799999999999996</c:v>
                </c:pt>
                <c:pt idx="24">
                  <c:v>0.63999999999999957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ED-40D4-A1B1-8B16BBF49186}"/>
            </c:ext>
          </c:extLst>
        </c:ser>
        <c:ser>
          <c:idx val="7"/>
          <c:order val="7"/>
          <c:tx>
            <c:strRef>
              <c:f>'retirement scenarios'!$E$25</c:f>
              <c:strCache>
                <c:ptCount val="1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scenarios'!$R$25:$AW$25</c:f>
              <c:numCache>
                <c:formatCode>General</c:formatCode>
                <c:ptCount val="32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ED-40D4-A1B1-8B16BBF49186}"/>
            </c:ext>
          </c:extLst>
        </c:ser>
        <c:ser>
          <c:idx val="8"/>
          <c:order val="8"/>
          <c:tx>
            <c:strRef>
              <c:f>'retirement scenarios'!$E$26</c:f>
              <c:strCache>
                <c:ptCount val="1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scenarios'!$R$26:$AW$26</c:f>
              <c:numCache>
                <c:formatCode>General</c:formatCode>
                <c:ptCount val="32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  <c:pt idx="17">
                  <c:v>2.9649999999999999</c:v>
                </c:pt>
                <c:pt idx="18">
                  <c:v>1.7789999999999999</c:v>
                </c:pt>
                <c:pt idx="19">
                  <c:v>1.1859999999999999</c:v>
                </c:pt>
                <c:pt idx="20">
                  <c:v>1.1859999999999999</c:v>
                </c:pt>
                <c:pt idx="21">
                  <c:v>0.59299999999999997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ED-40D4-A1B1-8B16BBF49186}"/>
            </c:ext>
          </c:extLst>
        </c:ser>
        <c:ser>
          <c:idx val="9"/>
          <c:order val="9"/>
          <c:tx>
            <c:strRef>
              <c:f>'retirement scenarios'!$E$27</c:f>
              <c:strCache>
                <c:ptCount val="1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scenarios'!$R$27:$AW$27</c:f>
              <c:numCache>
                <c:formatCode>General</c:formatCode>
                <c:ptCount val="32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  <c:pt idx="17">
                  <c:v>1.8330000000000002</c:v>
                </c:pt>
                <c:pt idx="18">
                  <c:v>1.8330000000000002</c:v>
                </c:pt>
                <c:pt idx="19">
                  <c:v>1.8330000000000002</c:v>
                </c:pt>
                <c:pt idx="20">
                  <c:v>1.8330000000000002</c:v>
                </c:pt>
                <c:pt idx="21">
                  <c:v>1.8330000000000002</c:v>
                </c:pt>
                <c:pt idx="22">
                  <c:v>1.8330000000000002</c:v>
                </c:pt>
                <c:pt idx="23">
                  <c:v>1.8330000000000002</c:v>
                </c:pt>
                <c:pt idx="24">
                  <c:v>1.8330000000000002</c:v>
                </c:pt>
                <c:pt idx="25">
                  <c:v>1.8330000000000002</c:v>
                </c:pt>
                <c:pt idx="26">
                  <c:v>1.8330000000000002</c:v>
                </c:pt>
                <c:pt idx="27">
                  <c:v>1.222</c:v>
                </c:pt>
                <c:pt idx="28">
                  <c:v>0.61099999999999988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ED-40D4-A1B1-8B16BBF49186}"/>
            </c:ext>
          </c:extLst>
        </c:ser>
        <c:ser>
          <c:idx val="10"/>
          <c:order val="10"/>
          <c:tx>
            <c:strRef>
              <c:f>'retirement scenarios'!$E$28</c:f>
              <c:strCache>
                <c:ptCount val="1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scenarios'!$R$28:$AW$28</c:f>
              <c:numCache>
                <c:formatCode>General</c:formatCode>
                <c:ptCount val="32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  <c:pt idx="17">
                  <c:v>2.0099999999999998</c:v>
                </c:pt>
                <c:pt idx="18">
                  <c:v>2.0099999999999998</c:v>
                </c:pt>
                <c:pt idx="19">
                  <c:v>2.0099999999999998</c:v>
                </c:pt>
                <c:pt idx="20">
                  <c:v>2.0099999999999998</c:v>
                </c:pt>
                <c:pt idx="21">
                  <c:v>2.0099999999999998</c:v>
                </c:pt>
                <c:pt idx="22">
                  <c:v>2.0099999999999998</c:v>
                </c:pt>
                <c:pt idx="23">
                  <c:v>2.0099999999999998</c:v>
                </c:pt>
                <c:pt idx="24">
                  <c:v>2.0099999999999998</c:v>
                </c:pt>
                <c:pt idx="25">
                  <c:v>2.0099999999999998</c:v>
                </c:pt>
                <c:pt idx="26">
                  <c:v>2.0099999999999998</c:v>
                </c:pt>
                <c:pt idx="27">
                  <c:v>2.0099999999999998</c:v>
                </c:pt>
                <c:pt idx="28">
                  <c:v>2.0099999999999998</c:v>
                </c:pt>
                <c:pt idx="29">
                  <c:v>2.0099999999999998</c:v>
                </c:pt>
                <c:pt idx="30">
                  <c:v>1.3399999999999999</c:v>
                </c:pt>
                <c:pt idx="31">
                  <c:v>0.66999999999999993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ED-40D4-A1B1-8B16BBF49186}"/>
            </c:ext>
          </c:extLst>
        </c:ser>
        <c:ser>
          <c:idx val="11"/>
          <c:order val="11"/>
          <c:tx>
            <c:strRef>
              <c:f>'retirement scenarios'!$E$29</c:f>
              <c:strCache>
                <c:ptCount val="1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scenarios'!$R$29:$AW$29</c:f>
              <c:numCache>
                <c:formatCode>General</c:formatCode>
                <c:ptCount val="32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  <c:pt idx="17">
                  <c:v>3.69</c:v>
                </c:pt>
                <c:pt idx="18">
                  <c:v>3.69</c:v>
                </c:pt>
                <c:pt idx="19">
                  <c:v>2.46</c:v>
                </c:pt>
                <c:pt idx="20">
                  <c:v>1.845</c:v>
                </c:pt>
                <c:pt idx="21">
                  <c:v>1.23</c:v>
                </c:pt>
                <c:pt idx="22">
                  <c:v>0.61499999999999999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ED-40D4-A1B1-8B16BBF49186}"/>
            </c:ext>
          </c:extLst>
        </c:ser>
        <c:ser>
          <c:idx val="12"/>
          <c:order val="12"/>
          <c:tx>
            <c:strRef>
              <c:f>'retirement scenarios'!$E$30</c:f>
              <c:strCache>
                <c:ptCount val="1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scenarios'!$R$30:$AW$30</c:f>
              <c:numCache>
                <c:formatCode>General</c:formatCode>
                <c:ptCount val="32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3.45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2ED-40D4-A1B1-8B16BBF49186}"/>
            </c:ext>
          </c:extLst>
        </c:ser>
        <c:ser>
          <c:idx val="13"/>
          <c:order val="13"/>
          <c:tx>
            <c:strRef>
              <c:f>'retirement scenarios'!$E$31</c:f>
              <c:strCache>
                <c:ptCount val="1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scenarios'!$R$31:$AW$31</c:f>
              <c:numCache>
                <c:formatCode>General</c:formatCode>
                <c:ptCount val="32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3.51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2ED-40D4-A1B1-8B16BBF49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948704"/>
        <c:axId val="280936640"/>
      </c:areaChart>
      <c:catAx>
        <c:axId val="28094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36640"/>
        <c:crosses val="autoZero"/>
        <c:auto val="1"/>
        <c:lblAlgn val="ctr"/>
        <c:lblOffset val="100"/>
        <c:noMultiLvlLbl val="0"/>
      </c:catAx>
      <c:valAx>
        <c:axId val="2809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48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scenarios'!$E$18</c:f>
              <c:strCache>
                <c:ptCount val="1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scenarios'!$R$18:$AH$18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1.0578571428571428</c:v>
                </c:pt>
                <c:pt idx="6">
                  <c:v>0.63471428571428568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22-453C-BD96-9FF727F5A7CE}"/>
            </c:ext>
          </c:extLst>
        </c:ser>
        <c:ser>
          <c:idx val="1"/>
          <c:order val="1"/>
          <c:tx>
            <c:strRef>
              <c:f>'retirement scenarios'!$E$19</c:f>
              <c:strCache>
                <c:ptCount val="1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scenarios'!$R$19:$AH$19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0.38</c:v>
                </c:pt>
                <c:pt idx="8">
                  <c:v>0.19000000000000003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22-453C-BD96-9FF727F5A7CE}"/>
            </c:ext>
          </c:extLst>
        </c:ser>
        <c:ser>
          <c:idx val="2"/>
          <c:order val="2"/>
          <c:tx>
            <c:strRef>
              <c:f>'retirement scenarios'!$E$20</c:f>
              <c:strCache>
                <c:ptCount val="1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scenarios'!$R$20:$AH$20</c:f>
              <c:numCache>
                <c:formatCode>General</c:formatCode>
                <c:ptCount val="17"/>
                <c:pt idx="0">
                  <c:v>0.41</c:v>
                </c:pt>
                <c:pt idx="1">
                  <c:v>0.13666666666666666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22-453C-BD96-9FF727F5A7CE}"/>
            </c:ext>
          </c:extLst>
        </c:ser>
        <c:ser>
          <c:idx val="3"/>
          <c:order val="3"/>
          <c:tx>
            <c:strRef>
              <c:f>'retirement scenarios'!$E$21</c:f>
              <c:strCache>
                <c:ptCount val="1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scenarios'!$R$21:$AH$21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22-453C-BD96-9FF727F5A7CE}"/>
            </c:ext>
          </c:extLst>
        </c:ser>
        <c:ser>
          <c:idx val="4"/>
          <c:order val="4"/>
          <c:tx>
            <c:strRef>
              <c:f>'retirement scenarios'!$E$22</c:f>
              <c:strCache>
                <c:ptCount val="1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scenarios'!$R$22:$AH$22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22-453C-BD96-9FF727F5A7CE}"/>
            </c:ext>
          </c:extLst>
        </c:ser>
        <c:ser>
          <c:idx val="5"/>
          <c:order val="5"/>
          <c:tx>
            <c:strRef>
              <c:f>'retirement scenarios'!$E$23</c:f>
              <c:strCache>
                <c:ptCount val="1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scenarios'!$R$23:$AH$23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22-453C-BD96-9FF727F5A7CE}"/>
            </c:ext>
          </c:extLst>
        </c:ser>
        <c:ser>
          <c:idx val="6"/>
          <c:order val="6"/>
          <c:tx>
            <c:strRef>
              <c:f>'retirement scenarios'!$E$24</c:f>
              <c:strCache>
                <c:ptCount val="1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scenarios'!$R$24:$AH$24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22-453C-BD96-9FF727F5A7CE}"/>
            </c:ext>
          </c:extLst>
        </c:ser>
        <c:ser>
          <c:idx val="7"/>
          <c:order val="7"/>
          <c:tx>
            <c:strRef>
              <c:f>'retirement scenarios'!$E$25</c:f>
              <c:strCache>
                <c:ptCount val="1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scenarios'!$R$25:$AH$25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22-453C-BD96-9FF727F5A7CE}"/>
            </c:ext>
          </c:extLst>
        </c:ser>
        <c:ser>
          <c:idx val="8"/>
          <c:order val="8"/>
          <c:tx>
            <c:strRef>
              <c:f>'retirement scenarios'!$E$26</c:f>
              <c:strCache>
                <c:ptCount val="1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scenarios'!$R$26:$AH$26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22-453C-BD96-9FF727F5A7CE}"/>
            </c:ext>
          </c:extLst>
        </c:ser>
        <c:ser>
          <c:idx val="9"/>
          <c:order val="9"/>
          <c:tx>
            <c:strRef>
              <c:f>'retirement scenarios'!$E$27</c:f>
              <c:strCache>
                <c:ptCount val="1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scenarios'!$R$27:$AH$27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22-453C-BD96-9FF727F5A7CE}"/>
            </c:ext>
          </c:extLst>
        </c:ser>
        <c:ser>
          <c:idx val="10"/>
          <c:order val="10"/>
          <c:tx>
            <c:strRef>
              <c:f>'retirement scenarios'!$E$28</c:f>
              <c:strCache>
                <c:ptCount val="1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scenarios'!$R$28:$AH$28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22-453C-BD96-9FF727F5A7CE}"/>
            </c:ext>
          </c:extLst>
        </c:ser>
        <c:ser>
          <c:idx val="11"/>
          <c:order val="11"/>
          <c:tx>
            <c:strRef>
              <c:f>'retirement scenarios'!$E$29</c:f>
              <c:strCache>
                <c:ptCount val="1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scenarios'!$R$29:$AH$29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22-453C-BD96-9FF727F5A7CE}"/>
            </c:ext>
          </c:extLst>
        </c:ser>
        <c:ser>
          <c:idx val="12"/>
          <c:order val="12"/>
          <c:tx>
            <c:strRef>
              <c:f>'retirement scenarios'!$E$30</c:f>
              <c:strCache>
                <c:ptCount val="1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scenarios'!$R$30:$AH$30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3.45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22-453C-BD96-9FF727F5A7CE}"/>
            </c:ext>
          </c:extLst>
        </c:ser>
        <c:ser>
          <c:idx val="13"/>
          <c:order val="13"/>
          <c:tx>
            <c:strRef>
              <c:f>'retirement scenarios'!$E$31</c:f>
              <c:strCache>
                <c:ptCount val="1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scenarios'!$R$31:$AH$31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3.51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22-453C-BD96-9FF727F5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948704"/>
        <c:axId val="280936640"/>
      </c:areaChart>
      <c:catAx>
        <c:axId val="28094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36640"/>
        <c:crosses val="autoZero"/>
        <c:auto val="1"/>
        <c:lblAlgn val="ctr"/>
        <c:lblOffset val="100"/>
        <c:noMultiLvlLbl val="0"/>
      </c:catAx>
      <c:valAx>
        <c:axId val="2809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48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png"/><Relationship Id="rId1" Type="http://schemas.openxmlformats.org/officeDocument/2006/relationships/image" Target="../media/image40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6" Type="http://schemas.openxmlformats.org/officeDocument/2006/relationships/image" Target="../media/image13.emf"/><Relationship Id="rId5" Type="http://schemas.openxmlformats.org/officeDocument/2006/relationships/image" Target="../media/image14.emf"/><Relationship Id="rId4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7" Type="http://schemas.openxmlformats.org/officeDocument/2006/relationships/image" Target="../media/image25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7" Type="http://schemas.openxmlformats.org/officeDocument/2006/relationships/image" Target="../media/image32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6" Type="http://schemas.openxmlformats.org/officeDocument/2006/relationships/image" Target="../media/image31.emf"/><Relationship Id="rId5" Type="http://schemas.openxmlformats.org/officeDocument/2006/relationships/image" Target="../media/image30.emf"/><Relationship Id="rId4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7" Type="http://schemas.openxmlformats.org/officeDocument/2006/relationships/image" Target="../media/image39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2.emf"/><Relationship Id="rId1" Type="http://schemas.openxmlformats.org/officeDocument/2006/relationships/image" Target="../media/image51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6.emf"/><Relationship Id="rId1" Type="http://schemas.openxmlformats.org/officeDocument/2006/relationships/image" Target="../media/image57.emf"/><Relationship Id="rId5" Type="http://schemas.openxmlformats.org/officeDocument/2006/relationships/image" Target="../media/image58.emf"/><Relationship Id="rId4" Type="http://schemas.openxmlformats.org/officeDocument/2006/relationships/image" Target="../media/image5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7" Type="http://schemas.openxmlformats.org/officeDocument/2006/relationships/image" Target="../media/image65.emf"/><Relationship Id="rId2" Type="http://schemas.openxmlformats.org/officeDocument/2006/relationships/image" Target="../media/image60.emf"/><Relationship Id="rId1" Type="http://schemas.openxmlformats.org/officeDocument/2006/relationships/image" Target="../media/image59.emf"/><Relationship Id="rId6" Type="http://schemas.openxmlformats.org/officeDocument/2006/relationships/image" Target="../media/image64.emf"/><Relationship Id="rId5" Type="http://schemas.openxmlformats.org/officeDocument/2006/relationships/image" Target="../media/image63.emf"/><Relationship Id="rId4" Type="http://schemas.openxmlformats.org/officeDocument/2006/relationships/image" Target="../media/image62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73.emf"/><Relationship Id="rId3" Type="http://schemas.openxmlformats.org/officeDocument/2006/relationships/image" Target="../media/image68.emf"/><Relationship Id="rId7" Type="http://schemas.openxmlformats.org/officeDocument/2006/relationships/image" Target="../media/image72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6" Type="http://schemas.openxmlformats.org/officeDocument/2006/relationships/image" Target="../media/image71.emf"/><Relationship Id="rId5" Type="http://schemas.openxmlformats.org/officeDocument/2006/relationships/image" Target="../media/image70.emf"/><Relationship Id="rId4" Type="http://schemas.openxmlformats.org/officeDocument/2006/relationships/image" Target="../media/image69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4" Type="http://schemas.openxmlformats.org/officeDocument/2006/relationships/image" Target="../media/image77.emf"/></Relationships>
</file>

<file path=xl/drawings/_rels/vmlDrawing19.vml.rels><?xml version="1.0" encoding="UTF-8" standalone="yes"?>
<Relationships xmlns="http://schemas.openxmlformats.org/package/2006/relationships"><Relationship Id="rId8" Type="http://schemas.openxmlformats.org/officeDocument/2006/relationships/image" Target="../media/image86.emf"/><Relationship Id="rId3" Type="http://schemas.openxmlformats.org/officeDocument/2006/relationships/image" Target="../media/image81.emf"/><Relationship Id="rId7" Type="http://schemas.openxmlformats.org/officeDocument/2006/relationships/image" Target="../media/image85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6" Type="http://schemas.openxmlformats.org/officeDocument/2006/relationships/image" Target="../media/image84.emf"/><Relationship Id="rId5" Type="http://schemas.openxmlformats.org/officeDocument/2006/relationships/image" Target="../media/image83.emf"/><Relationship Id="rId10" Type="http://schemas.openxmlformats.org/officeDocument/2006/relationships/image" Target="../media/image78.emf"/><Relationship Id="rId4" Type="http://schemas.openxmlformats.org/officeDocument/2006/relationships/image" Target="../media/image82.emf"/><Relationship Id="rId9" Type="http://schemas.openxmlformats.org/officeDocument/2006/relationships/image" Target="../media/image87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95.emf"/><Relationship Id="rId3" Type="http://schemas.openxmlformats.org/officeDocument/2006/relationships/image" Target="../media/image90.emf"/><Relationship Id="rId7" Type="http://schemas.openxmlformats.org/officeDocument/2006/relationships/image" Target="../media/image94.emf"/><Relationship Id="rId2" Type="http://schemas.openxmlformats.org/officeDocument/2006/relationships/image" Target="../media/image89.emf"/><Relationship Id="rId1" Type="http://schemas.openxmlformats.org/officeDocument/2006/relationships/image" Target="../media/image88.emf"/><Relationship Id="rId6" Type="http://schemas.openxmlformats.org/officeDocument/2006/relationships/image" Target="../media/image93.emf"/><Relationship Id="rId5" Type="http://schemas.openxmlformats.org/officeDocument/2006/relationships/image" Target="../media/image92.emf"/><Relationship Id="rId4" Type="http://schemas.openxmlformats.org/officeDocument/2006/relationships/image" Target="../media/image91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4.emf"/><Relationship Id="rId3" Type="http://schemas.openxmlformats.org/officeDocument/2006/relationships/image" Target="../media/image99.emf"/><Relationship Id="rId7" Type="http://schemas.openxmlformats.org/officeDocument/2006/relationships/image" Target="../media/image103.emf"/><Relationship Id="rId2" Type="http://schemas.openxmlformats.org/officeDocument/2006/relationships/image" Target="../media/image98.emf"/><Relationship Id="rId1" Type="http://schemas.openxmlformats.org/officeDocument/2006/relationships/image" Target="../media/image97.emf"/><Relationship Id="rId6" Type="http://schemas.openxmlformats.org/officeDocument/2006/relationships/image" Target="../media/image102.emf"/><Relationship Id="rId5" Type="http://schemas.openxmlformats.org/officeDocument/2006/relationships/image" Target="../media/image101.emf"/><Relationship Id="rId10" Type="http://schemas.openxmlformats.org/officeDocument/2006/relationships/image" Target="../media/image96.emf"/><Relationship Id="rId4" Type="http://schemas.openxmlformats.org/officeDocument/2006/relationships/image" Target="../media/image100.emf"/><Relationship Id="rId9" Type="http://schemas.openxmlformats.org/officeDocument/2006/relationships/image" Target="../media/image105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4.emf"/><Relationship Id="rId3" Type="http://schemas.openxmlformats.org/officeDocument/2006/relationships/image" Target="../media/image109.emf"/><Relationship Id="rId7" Type="http://schemas.openxmlformats.org/officeDocument/2006/relationships/image" Target="../media/image113.emf"/><Relationship Id="rId2" Type="http://schemas.openxmlformats.org/officeDocument/2006/relationships/image" Target="../media/image108.emf"/><Relationship Id="rId1" Type="http://schemas.openxmlformats.org/officeDocument/2006/relationships/image" Target="../media/image107.emf"/><Relationship Id="rId6" Type="http://schemas.openxmlformats.org/officeDocument/2006/relationships/image" Target="../media/image112.emf"/><Relationship Id="rId5" Type="http://schemas.openxmlformats.org/officeDocument/2006/relationships/image" Target="../media/image111.emf"/><Relationship Id="rId10" Type="http://schemas.openxmlformats.org/officeDocument/2006/relationships/image" Target="../media/image106.emf"/><Relationship Id="rId4" Type="http://schemas.openxmlformats.org/officeDocument/2006/relationships/image" Target="../media/image110.emf"/><Relationship Id="rId9" Type="http://schemas.openxmlformats.org/officeDocument/2006/relationships/image" Target="../media/image115.emf"/></Relationships>
</file>

<file path=xl/drawings/_rels/vmlDrawing2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3.emf"/><Relationship Id="rId3" Type="http://schemas.openxmlformats.org/officeDocument/2006/relationships/image" Target="../media/image118.emf"/><Relationship Id="rId7" Type="http://schemas.openxmlformats.org/officeDocument/2006/relationships/image" Target="../media/image122.emf"/><Relationship Id="rId2" Type="http://schemas.openxmlformats.org/officeDocument/2006/relationships/image" Target="../media/image117.emf"/><Relationship Id="rId1" Type="http://schemas.openxmlformats.org/officeDocument/2006/relationships/image" Target="../media/image116.emf"/><Relationship Id="rId6" Type="http://schemas.openxmlformats.org/officeDocument/2006/relationships/image" Target="../media/image121.emf"/><Relationship Id="rId5" Type="http://schemas.openxmlformats.org/officeDocument/2006/relationships/image" Target="../media/image120.emf"/><Relationship Id="rId4" Type="http://schemas.openxmlformats.org/officeDocument/2006/relationships/image" Target="../media/image119.emf"/></Relationships>
</file>

<file path=xl/drawings/_rels/vmlDrawing2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2.emf"/><Relationship Id="rId3" Type="http://schemas.openxmlformats.org/officeDocument/2006/relationships/image" Target="../media/image127.emf"/><Relationship Id="rId7" Type="http://schemas.openxmlformats.org/officeDocument/2006/relationships/image" Target="../media/image131.emf"/><Relationship Id="rId2" Type="http://schemas.openxmlformats.org/officeDocument/2006/relationships/image" Target="../media/image126.emf"/><Relationship Id="rId1" Type="http://schemas.openxmlformats.org/officeDocument/2006/relationships/image" Target="../media/image125.emf"/><Relationship Id="rId6" Type="http://schemas.openxmlformats.org/officeDocument/2006/relationships/image" Target="../media/image130.emf"/><Relationship Id="rId5" Type="http://schemas.openxmlformats.org/officeDocument/2006/relationships/image" Target="../media/image129.emf"/><Relationship Id="rId10" Type="http://schemas.openxmlformats.org/officeDocument/2006/relationships/image" Target="../media/image124.emf"/><Relationship Id="rId4" Type="http://schemas.openxmlformats.org/officeDocument/2006/relationships/image" Target="../media/image128.emf"/><Relationship Id="rId9" Type="http://schemas.openxmlformats.org/officeDocument/2006/relationships/image" Target="../media/image1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95250</xdr:rowOff>
        </xdr:from>
        <xdr:to>
          <xdr:col>3</xdr:col>
          <xdr:colOff>238125</xdr:colOff>
          <xdr:row>12</xdr:row>
          <xdr:rowOff>104775</xdr:rowOff>
        </xdr:to>
        <xdr:sp macro="" textlink="">
          <xdr:nvSpPr>
            <xdr:cNvPr id="12289" name="cmdUpdate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9525</xdr:rowOff>
        </xdr:from>
        <xdr:to>
          <xdr:col>3</xdr:col>
          <xdr:colOff>228600</xdr:colOff>
          <xdr:row>28</xdr:row>
          <xdr:rowOff>76200</xdr:rowOff>
        </xdr:to>
        <xdr:sp macro="" textlink="">
          <xdr:nvSpPr>
            <xdr:cNvPr id="12291" name="cmdAddNewAnswerSheet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3</xdr:col>
          <xdr:colOff>238125</xdr:colOff>
          <xdr:row>6</xdr:row>
          <xdr:rowOff>76200</xdr:rowOff>
        </xdr:to>
        <xdr:sp macro="" textlink="">
          <xdr:nvSpPr>
            <xdr:cNvPr id="12293" name="cmdCreateNewXLS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14</xdr:row>
          <xdr:rowOff>114300</xdr:rowOff>
        </xdr:from>
        <xdr:to>
          <xdr:col>3</xdr:col>
          <xdr:colOff>571500</xdr:colOff>
          <xdr:row>17</xdr:row>
          <xdr:rowOff>0</xdr:rowOff>
        </xdr:to>
        <xdr:sp macro="" textlink="">
          <xdr:nvSpPr>
            <xdr:cNvPr id="12299" name="optMultiRegionNotComm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0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28575</xdr:rowOff>
        </xdr:from>
        <xdr:to>
          <xdr:col>3</xdr:col>
          <xdr:colOff>552450</xdr:colOff>
          <xdr:row>21</xdr:row>
          <xdr:rowOff>142875</xdr:rowOff>
        </xdr:to>
        <xdr:sp macro="" textlink="">
          <xdr:nvSpPr>
            <xdr:cNvPr id="12300" name="optMultiRegionComm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257025" name="cmdSpecifySets" hidden="1">
              <a:extLst>
                <a:ext uri="{63B3BB69-23CF-44E3-9099-C40C66FF867C}">
                  <a14:compatExt spid="_x0000_s257025"/>
                </a:ext>
                <a:ext uri="{FF2B5EF4-FFF2-40B4-BE49-F238E27FC236}">
                  <a16:creationId xmlns:a16="http://schemas.microsoft.com/office/drawing/2014/main" id="{00000000-0008-0000-0200-000001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257026" name="cmdCheckTechnologiesSheet" hidden="1">
              <a:extLst>
                <a:ext uri="{63B3BB69-23CF-44E3-9099-C40C66FF867C}">
                  <a14:compatExt spid="_x0000_s257026"/>
                </a:ext>
                <a:ext uri="{FF2B5EF4-FFF2-40B4-BE49-F238E27FC236}">
                  <a16:creationId xmlns:a16="http://schemas.microsoft.com/office/drawing/2014/main" id="{00000000-0008-0000-0200-000002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257027" name="cmdProcUnits" hidden="1">
              <a:extLst>
                <a:ext uri="{63B3BB69-23CF-44E3-9099-C40C66FF867C}">
                  <a14:compatExt spid="_x0000_s257027"/>
                </a:ext>
                <a:ext uri="{FF2B5EF4-FFF2-40B4-BE49-F238E27FC236}">
                  <a16:creationId xmlns:a16="http://schemas.microsoft.com/office/drawing/2014/main" id="{00000000-0008-0000-0200-000003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840705" name="cmdSpecifySets" hidden="1">
              <a:extLst>
                <a:ext uri="{63B3BB69-23CF-44E3-9099-C40C66FF867C}">
                  <a14:compatExt spid="_x0000_s840705"/>
                </a:ext>
                <a:ext uri="{FF2B5EF4-FFF2-40B4-BE49-F238E27FC236}">
                  <a16:creationId xmlns:a16="http://schemas.microsoft.com/office/drawing/2014/main" id="{00000000-0008-0000-0300-000001D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40706" name="cmdCheckCommoditiesSheet" hidden="1">
              <a:extLst>
                <a:ext uri="{63B3BB69-23CF-44E3-9099-C40C66FF867C}">
                  <a14:compatExt spid="_x0000_s840706"/>
                </a:ext>
                <a:ext uri="{FF2B5EF4-FFF2-40B4-BE49-F238E27FC236}">
                  <a16:creationId xmlns:a16="http://schemas.microsoft.com/office/drawing/2014/main" id="{00000000-0008-0000-0300-000002D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840707" name="cmdCommUnit" hidden="1">
              <a:extLst>
                <a:ext uri="{63B3BB69-23CF-44E3-9099-C40C66FF867C}">
                  <a14:compatExt spid="_x0000_s840707"/>
                </a:ext>
                <a:ext uri="{FF2B5EF4-FFF2-40B4-BE49-F238E27FC236}">
                  <a16:creationId xmlns:a16="http://schemas.microsoft.com/office/drawing/2014/main" id="{00000000-0008-0000-0300-000003D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259086" name="cmdTechNameAndDesc" hidden="1">
              <a:extLst>
                <a:ext uri="{63B3BB69-23CF-44E3-9099-C40C66FF867C}">
                  <a14:compatExt spid="_x0000_s259086"/>
                </a:ext>
                <a:ext uri="{FF2B5EF4-FFF2-40B4-BE49-F238E27FC236}">
                  <a16:creationId xmlns:a16="http://schemas.microsoft.com/office/drawing/2014/main" id="{00000000-0008-0000-0400-00000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259087" name="cmdCommIN" hidden="1">
              <a:extLst>
                <a:ext uri="{63B3BB69-23CF-44E3-9099-C40C66FF867C}">
                  <a14:compatExt spid="_x0000_s259087"/>
                </a:ext>
                <a:ext uri="{FF2B5EF4-FFF2-40B4-BE49-F238E27FC236}">
                  <a16:creationId xmlns:a16="http://schemas.microsoft.com/office/drawing/2014/main" id="{00000000-0008-0000-0400-00000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259088" name="cmdCommOUT" hidden="1">
              <a:extLst>
                <a:ext uri="{63B3BB69-23CF-44E3-9099-C40C66FF867C}">
                  <a14:compatExt spid="_x0000_s259088"/>
                </a:ext>
                <a:ext uri="{FF2B5EF4-FFF2-40B4-BE49-F238E27FC236}">
                  <a16:creationId xmlns:a16="http://schemas.microsoft.com/office/drawing/2014/main" id="{00000000-0008-0000-0400-00001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259089" name="cmdAddParameter" hidden="1">
              <a:extLst>
                <a:ext uri="{63B3BB69-23CF-44E3-9099-C40C66FF867C}">
                  <a14:compatExt spid="_x0000_s259089"/>
                </a:ext>
                <a:ext uri="{FF2B5EF4-FFF2-40B4-BE49-F238E27FC236}">
                  <a16:creationId xmlns:a16="http://schemas.microsoft.com/office/drawing/2014/main" id="{00000000-0008-0000-0400-00001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259090" name="cmdAddParamQualifier1" hidden="1">
              <a:extLst>
                <a:ext uri="{63B3BB69-23CF-44E3-9099-C40C66FF867C}">
                  <a14:compatExt spid="_x0000_s259090"/>
                </a:ext>
                <a:ext uri="{FF2B5EF4-FFF2-40B4-BE49-F238E27FC236}">
                  <a16:creationId xmlns:a16="http://schemas.microsoft.com/office/drawing/2014/main" id="{00000000-0008-0000-0400-00001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259091" name="cmdCheckTechDataSheet" hidden="1">
              <a:extLst>
                <a:ext uri="{63B3BB69-23CF-44E3-9099-C40C66FF867C}">
                  <a14:compatExt spid="_x0000_s259091"/>
                </a:ext>
                <a:ext uri="{FF2B5EF4-FFF2-40B4-BE49-F238E27FC236}">
                  <a16:creationId xmlns:a16="http://schemas.microsoft.com/office/drawing/2014/main" id="{00000000-0008-0000-0400-00001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259092" name="cmdAddParamQualifier2" hidden="1">
              <a:extLst>
                <a:ext uri="{63B3BB69-23CF-44E3-9099-C40C66FF867C}">
                  <a14:compatExt spid="_x0000_s259092"/>
                </a:ext>
                <a:ext uri="{FF2B5EF4-FFF2-40B4-BE49-F238E27FC236}">
                  <a16:creationId xmlns:a16="http://schemas.microsoft.com/office/drawing/2014/main" id="{00000000-0008-0000-0400-00001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37633" name="cmdTechNameAndDesc" hidden="1">
              <a:extLst>
                <a:ext uri="{63B3BB69-23CF-44E3-9099-C40C66FF867C}">
                  <a14:compatExt spid="_x0000_s837633"/>
                </a:ext>
                <a:ext uri="{FF2B5EF4-FFF2-40B4-BE49-F238E27FC236}">
                  <a16:creationId xmlns:a16="http://schemas.microsoft.com/office/drawing/2014/main" id="{00000000-0008-0000-0500-000001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37634" name="cmdCommIN" hidden="1">
              <a:extLst>
                <a:ext uri="{63B3BB69-23CF-44E3-9099-C40C66FF867C}">
                  <a14:compatExt spid="_x0000_s837634"/>
                </a:ext>
                <a:ext uri="{FF2B5EF4-FFF2-40B4-BE49-F238E27FC236}">
                  <a16:creationId xmlns:a16="http://schemas.microsoft.com/office/drawing/2014/main" id="{00000000-0008-0000-0500-000002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37635" name="cmdCommOUT" hidden="1">
              <a:extLst>
                <a:ext uri="{63B3BB69-23CF-44E3-9099-C40C66FF867C}">
                  <a14:compatExt spid="_x0000_s837635"/>
                </a:ext>
                <a:ext uri="{FF2B5EF4-FFF2-40B4-BE49-F238E27FC236}">
                  <a16:creationId xmlns:a16="http://schemas.microsoft.com/office/drawing/2014/main" id="{00000000-0008-0000-0500-000003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37636" name="cmdAddParameter" hidden="1">
              <a:extLst>
                <a:ext uri="{63B3BB69-23CF-44E3-9099-C40C66FF867C}">
                  <a14:compatExt spid="_x0000_s837636"/>
                </a:ext>
                <a:ext uri="{FF2B5EF4-FFF2-40B4-BE49-F238E27FC236}">
                  <a16:creationId xmlns:a16="http://schemas.microsoft.com/office/drawing/2014/main" id="{00000000-0008-0000-0500-000004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37637" name="cmdAddParamQualifier1" hidden="1">
              <a:extLst>
                <a:ext uri="{63B3BB69-23CF-44E3-9099-C40C66FF867C}">
                  <a14:compatExt spid="_x0000_s837637"/>
                </a:ext>
                <a:ext uri="{FF2B5EF4-FFF2-40B4-BE49-F238E27FC236}">
                  <a16:creationId xmlns:a16="http://schemas.microsoft.com/office/drawing/2014/main" id="{00000000-0008-0000-0500-000005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37638" name="cmdCheckTechDataSheet" hidden="1">
              <a:extLst>
                <a:ext uri="{63B3BB69-23CF-44E3-9099-C40C66FF867C}">
                  <a14:compatExt spid="_x0000_s837638"/>
                </a:ext>
                <a:ext uri="{FF2B5EF4-FFF2-40B4-BE49-F238E27FC236}">
                  <a16:creationId xmlns:a16="http://schemas.microsoft.com/office/drawing/2014/main" id="{00000000-0008-0000-0500-000006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37639" name="cmdAddParamQualifier2" hidden="1">
              <a:extLst>
                <a:ext uri="{63B3BB69-23CF-44E3-9099-C40C66FF867C}">
                  <a14:compatExt spid="_x0000_s837639"/>
                </a:ext>
                <a:ext uri="{FF2B5EF4-FFF2-40B4-BE49-F238E27FC236}">
                  <a16:creationId xmlns:a16="http://schemas.microsoft.com/office/drawing/2014/main" id="{00000000-0008-0000-0500-000007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39681" name="cmdTechNameAndDesc" hidden="1">
              <a:extLst>
                <a:ext uri="{63B3BB69-23CF-44E3-9099-C40C66FF867C}">
                  <a14:compatExt spid="_x0000_s839681"/>
                </a:ext>
                <a:ext uri="{FF2B5EF4-FFF2-40B4-BE49-F238E27FC236}">
                  <a16:creationId xmlns:a16="http://schemas.microsoft.com/office/drawing/2014/main" id="{00000000-0008-0000-0600-000001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39682" name="cmdCommIN" hidden="1">
              <a:extLst>
                <a:ext uri="{63B3BB69-23CF-44E3-9099-C40C66FF867C}">
                  <a14:compatExt spid="_x0000_s839682"/>
                </a:ext>
                <a:ext uri="{FF2B5EF4-FFF2-40B4-BE49-F238E27FC236}">
                  <a16:creationId xmlns:a16="http://schemas.microsoft.com/office/drawing/2014/main" id="{00000000-0008-0000-0600-000002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39683" name="cmdCommOUT" hidden="1">
              <a:extLst>
                <a:ext uri="{63B3BB69-23CF-44E3-9099-C40C66FF867C}">
                  <a14:compatExt spid="_x0000_s839683"/>
                </a:ext>
                <a:ext uri="{FF2B5EF4-FFF2-40B4-BE49-F238E27FC236}">
                  <a16:creationId xmlns:a16="http://schemas.microsoft.com/office/drawing/2014/main" id="{00000000-0008-0000-0600-000003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39684" name="cmdAddParameter" hidden="1">
              <a:extLst>
                <a:ext uri="{63B3BB69-23CF-44E3-9099-C40C66FF867C}">
                  <a14:compatExt spid="_x0000_s839684"/>
                </a:ext>
                <a:ext uri="{FF2B5EF4-FFF2-40B4-BE49-F238E27FC236}">
                  <a16:creationId xmlns:a16="http://schemas.microsoft.com/office/drawing/2014/main" id="{00000000-0008-0000-0600-000004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39685" name="cmdAddParamQualifier1" hidden="1">
              <a:extLst>
                <a:ext uri="{63B3BB69-23CF-44E3-9099-C40C66FF867C}">
                  <a14:compatExt spid="_x0000_s839685"/>
                </a:ext>
                <a:ext uri="{FF2B5EF4-FFF2-40B4-BE49-F238E27FC236}">
                  <a16:creationId xmlns:a16="http://schemas.microsoft.com/office/drawing/2014/main" id="{00000000-0008-0000-0600-000005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39686" name="cmdCheckTechDataSheet" hidden="1">
              <a:extLst>
                <a:ext uri="{63B3BB69-23CF-44E3-9099-C40C66FF867C}">
                  <a14:compatExt spid="_x0000_s839686"/>
                </a:ext>
                <a:ext uri="{FF2B5EF4-FFF2-40B4-BE49-F238E27FC236}">
                  <a16:creationId xmlns:a16="http://schemas.microsoft.com/office/drawing/2014/main" id="{00000000-0008-0000-0600-000006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39687" name="cmdAddParamQualifier2" hidden="1">
              <a:extLst>
                <a:ext uri="{63B3BB69-23CF-44E3-9099-C40C66FF867C}">
                  <a14:compatExt spid="_x0000_s839687"/>
                </a:ext>
                <a:ext uri="{FF2B5EF4-FFF2-40B4-BE49-F238E27FC236}">
                  <a16:creationId xmlns:a16="http://schemas.microsoft.com/office/drawing/2014/main" id="{00000000-0008-0000-0600-000007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41729" name="cmdTechNameAndDesc" hidden="1">
              <a:extLst>
                <a:ext uri="{63B3BB69-23CF-44E3-9099-C40C66FF867C}">
                  <a14:compatExt spid="_x0000_s841729"/>
                </a:ext>
                <a:ext uri="{FF2B5EF4-FFF2-40B4-BE49-F238E27FC236}">
                  <a16:creationId xmlns:a16="http://schemas.microsoft.com/office/drawing/2014/main" id="{00000000-0008-0000-0700-000001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41730" name="cmdCommIN" hidden="1">
              <a:extLst>
                <a:ext uri="{63B3BB69-23CF-44E3-9099-C40C66FF867C}">
                  <a14:compatExt spid="_x0000_s841730"/>
                </a:ext>
                <a:ext uri="{FF2B5EF4-FFF2-40B4-BE49-F238E27FC236}">
                  <a16:creationId xmlns:a16="http://schemas.microsoft.com/office/drawing/2014/main" id="{00000000-0008-0000-0700-000002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41731" name="cmdCommOUT" hidden="1">
              <a:extLst>
                <a:ext uri="{63B3BB69-23CF-44E3-9099-C40C66FF867C}">
                  <a14:compatExt spid="_x0000_s841731"/>
                </a:ext>
                <a:ext uri="{FF2B5EF4-FFF2-40B4-BE49-F238E27FC236}">
                  <a16:creationId xmlns:a16="http://schemas.microsoft.com/office/drawing/2014/main" id="{00000000-0008-0000-0700-000003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41732" name="cmdAddParameter" hidden="1">
              <a:extLst>
                <a:ext uri="{63B3BB69-23CF-44E3-9099-C40C66FF867C}">
                  <a14:compatExt spid="_x0000_s841732"/>
                </a:ext>
                <a:ext uri="{FF2B5EF4-FFF2-40B4-BE49-F238E27FC236}">
                  <a16:creationId xmlns:a16="http://schemas.microsoft.com/office/drawing/2014/main" id="{00000000-0008-0000-0700-000004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41733" name="cmdAddParamQualifier1" hidden="1">
              <a:extLst>
                <a:ext uri="{63B3BB69-23CF-44E3-9099-C40C66FF867C}">
                  <a14:compatExt spid="_x0000_s841733"/>
                </a:ext>
                <a:ext uri="{FF2B5EF4-FFF2-40B4-BE49-F238E27FC236}">
                  <a16:creationId xmlns:a16="http://schemas.microsoft.com/office/drawing/2014/main" id="{00000000-0008-0000-0700-000005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41734" name="cmdCheckTechDataSheet" hidden="1">
              <a:extLst>
                <a:ext uri="{63B3BB69-23CF-44E3-9099-C40C66FF867C}">
                  <a14:compatExt spid="_x0000_s841734"/>
                </a:ext>
                <a:ext uri="{FF2B5EF4-FFF2-40B4-BE49-F238E27FC236}">
                  <a16:creationId xmlns:a16="http://schemas.microsoft.com/office/drawing/2014/main" id="{00000000-0008-0000-0700-000006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41735" name="cmdAddParamQualifier2" hidden="1">
              <a:extLst>
                <a:ext uri="{63B3BB69-23CF-44E3-9099-C40C66FF867C}">
                  <a14:compatExt spid="_x0000_s841735"/>
                </a:ext>
                <a:ext uri="{FF2B5EF4-FFF2-40B4-BE49-F238E27FC236}">
                  <a16:creationId xmlns:a16="http://schemas.microsoft.com/office/drawing/2014/main" id="{00000000-0008-0000-0700-000007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123826</xdr:colOff>
      <xdr:row>4</xdr:row>
      <xdr:rowOff>66675</xdr:rowOff>
    </xdr:from>
    <xdr:to>
      <xdr:col>29</xdr:col>
      <xdr:colOff>323836</xdr:colOff>
      <xdr:row>30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364201" y="714375"/>
          <a:ext cx="5686410" cy="4162425"/>
        </a:xfrm>
        <a:prstGeom prst="rect">
          <a:avLst/>
        </a:prstGeom>
      </xdr:spPr>
    </xdr:pic>
    <xdr:clientData/>
  </xdr:twoCellAnchor>
  <xdr:twoCellAnchor editAs="oneCell">
    <xdr:from>
      <xdr:col>26</xdr:col>
      <xdr:colOff>304800</xdr:colOff>
      <xdr:row>29</xdr:row>
      <xdr:rowOff>123826</xdr:rowOff>
    </xdr:from>
    <xdr:to>
      <xdr:col>33</xdr:col>
      <xdr:colOff>428625</xdr:colOff>
      <xdr:row>43</xdr:row>
      <xdr:rowOff>66302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202775" y="4819651"/>
          <a:ext cx="4391025" cy="2209426"/>
        </a:xfrm>
        <a:prstGeom prst="rect">
          <a:avLst/>
        </a:prstGeom>
      </xdr:spPr>
    </xdr:pic>
    <xdr:clientData/>
  </xdr:twoCellAnchor>
  <xdr:twoCellAnchor editAs="oneCell">
    <xdr:from>
      <xdr:col>20</xdr:col>
      <xdr:colOff>171450</xdr:colOff>
      <xdr:row>30</xdr:row>
      <xdr:rowOff>0</xdr:rowOff>
    </xdr:from>
    <xdr:to>
      <xdr:col>26</xdr:col>
      <xdr:colOff>424468</xdr:colOff>
      <xdr:row>40</xdr:row>
      <xdr:rowOff>19050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411825" y="4857750"/>
          <a:ext cx="3910618" cy="1638300"/>
        </a:xfrm>
        <a:prstGeom prst="rect">
          <a:avLst/>
        </a:prstGeom>
      </xdr:spPr>
    </xdr:pic>
    <xdr:clientData/>
  </xdr:twoCellAnchor>
  <xdr:twoCellAnchor editAs="oneCell">
    <xdr:from>
      <xdr:col>20</xdr:col>
      <xdr:colOff>123826</xdr:colOff>
      <xdr:row>4</xdr:row>
      <xdr:rowOff>66675</xdr:rowOff>
    </xdr:from>
    <xdr:to>
      <xdr:col>29</xdr:col>
      <xdr:colOff>323836</xdr:colOff>
      <xdr:row>30</xdr:row>
      <xdr:rowOff>19050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364201" y="714375"/>
          <a:ext cx="5686410" cy="4162425"/>
        </a:xfrm>
        <a:prstGeom prst="rect">
          <a:avLst/>
        </a:prstGeom>
      </xdr:spPr>
    </xdr:pic>
    <xdr:clientData/>
  </xdr:twoCellAnchor>
  <xdr:twoCellAnchor editAs="oneCell">
    <xdr:from>
      <xdr:col>26</xdr:col>
      <xdr:colOff>304800</xdr:colOff>
      <xdr:row>29</xdr:row>
      <xdr:rowOff>123826</xdr:rowOff>
    </xdr:from>
    <xdr:to>
      <xdr:col>33</xdr:col>
      <xdr:colOff>428625</xdr:colOff>
      <xdr:row>43</xdr:row>
      <xdr:rowOff>37727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202775" y="4819651"/>
          <a:ext cx="4391025" cy="2209426"/>
        </a:xfrm>
        <a:prstGeom prst="rect">
          <a:avLst/>
        </a:prstGeom>
      </xdr:spPr>
    </xdr:pic>
    <xdr:clientData/>
  </xdr:twoCellAnchor>
  <xdr:twoCellAnchor editAs="oneCell">
    <xdr:from>
      <xdr:col>20</xdr:col>
      <xdr:colOff>171450</xdr:colOff>
      <xdr:row>30</xdr:row>
      <xdr:rowOff>0</xdr:rowOff>
    </xdr:from>
    <xdr:to>
      <xdr:col>26</xdr:col>
      <xdr:colOff>424468</xdr:colOff>
      <xdr:row>39</xdr:row>
      <xdr:rowOff>152400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411825" y="4857750"/>
          <a:ext cx="3910618" cy="16383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171450</xdr:colOff>
      <xdr:row>98</xdr:row>
      <xdr:rowOff>19050</xdr:rowOff>
    </xdr:from>
    <xdr:to>
      <xdr:col>22</xdr:col>
      <xdr:colOff>615950</xdr:colOff>
      <xdr:row>111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492259</xdr:colOff>
      <xdr:row>119</xdr:row>
      <xdr:rowOff>355</xdr:rowOff>
    </xdr:from>
    <xdr:to>
      <xdr:col>23</xdr:col>
      <xdr:colOff>114994</xdr:colOff>
      <xdr:row>136</xdr:row>
      <xdr:rowOff>107079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257468</xdr:colOff>
      <xdr:row>138</xdr:row>
      <xdr:rowOff>70036</xdr:rowOff>
    </xdr:from>
    <xdr:to>
      <xdr:col>22</xdr:col>
      <xdr:colOff>705703</xdr:colOff>
      <xdr:row>154</xdr:row>
      <xdr:rowOff>175239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234791</xdr:colOff>
      <xdr:row>155</xdr:row>
      <xdr:rowOff>149411</xdr:rowOff>
    </xdr:from>
    <xdr:to>
      <xdr:col>21</xdr:col>
      <xdr:colOff>679290</xdr:colOff>
      <xdr:row>172</xdr:row>
      <xdr:rowOff>48239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213445</xdr:colOff>
      <xdr:row>173</xdr:row>
      <xdr:rowOff>21344</xdr:rowOff>
    </xdr:from>
    <xdr:to>
      <xdr:col>21</xdr:col>
      <xdr:colOff>657944</xdr:colOff>
      <xdr:row>189</xdr:row>
      <xdr:rowOff>122945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416218</xdr:colOff>
      <xdr:row>191</xdr:row>
      <xdr:rowOff>149411</xdr:rowOff>
    </xdr:from>
    <xdr:to>
      <xdr:col>22</xdr:col>
      <xdr:colOff>38953</xdr:colOff>
      <xdr:row>208</xdr:row>
      <xdr:rowOff>48239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0</xdr:colOff>
      <xdr:row>210</xdr:row>
      <xdr:rowOff>0</xdr:rowOff>
    </xdr:from>
    <xdr:to>
      <xdr:col>21</xdr:col>
      <xdr:colOff>444499</xdr:colOff>
      <xdr:row>226</xdr:row>
      <xdr:rowOff>101601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0</xdr:colOff>
      <xdr:row>227</xdr:row>
      <xdr:rowOff>0</xdr:rowOff>
    </xdr:from>
    <xdr:to>
      <xdr:col>21</xdr:col>
      <xdr:colOff>444499</xdr:colOff>
      <xdr:row>243</xdr:row>
      <xdr:rowOff>101601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49741</xdr:colOff>
      <xdr:row>31</xdr:row>
      <xdr:rowOff>57149</xdr:rowOff>
    </xdr:from>
    <xdr:to>
      <xdr:col>16</xdr:col>
      <xdr:colOff>497416</xdr:colOff>
      <xdr:row>47</xdr:row>
      <xdr:rowOff>100541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84666</xdr:colOff>
      <xdr:row>14</xdr:row>
      <xdr:rowOff>95249</xdr:rowOff>
    </xdr:from>
    <xdr:to>
      <xdr:col>16</xdr:col>
      <xdr:colOff>529166</xdr:colOff>
      <xdr:row>30</xdr:row>
      <xdr:rowOff>182033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</xdr:rowOff>
        </xdr:to>
        <xdr:sp macro="" textlink="">
          <xdr:nvSpPr>
            <xdr:cNvPr id="63489" name="cmdCheckRegionsSheet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B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19050</xdr:rowOff>
        </xdr:from>
        <xdr:to>
          <xdr:col>3</xdr:col>
          <xdr:colOff>9525</xdr:colOff>
          <xdr:row>4</xdr:row>
          <xdr:rowOff>114300</xdr:rowOff>
        </xdr:to>
        <xdr:sp macro="" textlink="">
          <xdr:nvSpPr>
            <xdr:cNvPr id="63490" name="cmdSpecifySets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B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71681" name="cmdSpecifySets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C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71682" name="cmdCheckCommoditiesSheet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C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71683" name="cmdCommUnit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C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80897" name="cmdSpecifySets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D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0898" name="cmdCheckTechnologiesSheet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D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80899" name="cmdProcUnits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D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19050</xdr:rowOff>
        </xdr:from>
        <xdr:to>
          <xdr:col>5</xdr:col>
          <xdr:colOff>19050</xdr:colOff>
          <xdr:row>5</xdr:row>
          <xdr:rowOff>28575</xdr:rowOff>
        </xdr:to>
        <xdr:sp macro="" textlink="">
          <xdr:nvSpPr>
            <xdr:cNvPr id="101377" name="cmdConstraintSets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E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0</xdr:rowOff>
        </xdr:from>
        <xdr:to>
          <xdr:col>0</xdr:col>
          <xdr:colOff>790575</xdr:colOff>
          <xdr:row>4</xdr:row>
          <xdr:rowOff>0</xdr:rowOff>
        </xdr:to>
        <xdr:sp macro="" textlink="">
          <xdr:nvSpPr>
            <xdr:cNvPr id="101378" name="cmdCheckConstraintsSheet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E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9525</xdr:rowOff>
        </xdr:from>
        <xdr:to>
          <xdr:col>3</xdr:col>
          <xdr:colOff>571500</xdr:colOff>
          <xdr:row>5</xdr:row>
          <xdr:rowOff>28575</xdr:rowOff>
        </xdr:to>
        <xdr:sp macro="" textlink="">
          <xdr:nvSpPr>
            <xdr:cNvPr id="101379" name="cmdConstraintUnit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E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38100</xdr:rowOff>
        </xdr:from>
        <xdr:to>
          <xdr:col>0</xdr:col>
          <xdr:colOff>828675</xdr:colOff>
          <xdr:row>4</xdr:row>
          <xdr:rowOff>19050</xdr:rowOff>
        </xdr:to>
        <xdr:sp macro="" textlink="">
          <xdr:nvSpPr>
            <xdr:cNvPr id="90113" name="cmdAddParameter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F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3</xdr:col>
          <xdr:colOff>0</xdr:colOff>
          <xdr:row>3</xdr:row>
          <xdr:rowOff>47625</xdr:rowOff>
        </xdr:to>
        <xdr:sp macro="" textlink="">
          <xdr:nvSpPr>
            <xdr:cNvPr id="90114" name="cmdCommNameAndDesc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F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828675</xdr:colOff>
          <xdr:row>5</xdr:row>
          <xdr:rowOff>9525</xdr:rowOff>
        </xdr:to>
        <xdr:sp macro="" textlink="">
          <xdr:nvSpPr>
            <xdr:cNvPr id="90115" name="cmdAddParamQualifier1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0F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123825</xdr:rowOff>
        </xdr:from>
        <xdr:to>
          <xdr:col>0</xdr:col>
          <xdr:colOff>828675</xdr:colOff>
          <xdr:row>3</xdr:row>
          <xdr:rowOff>28575</xdr:rowOff>
        </xdr:to>
        <xdr:sp macro="" textlink="">
          <xdr:nvSpPr>
            <xdr:cNvPr id="90116" name="cmdCheckCommDataSheet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0F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0</xdr:col>
          <xdr:colOff>828675</xdr:colOff>
          <xdr:row>6</xdr:row>
          <xdr:rowOff>9525</xdr:rowOff>
        </xdr:to>
        <xdr:sp macro="" textlink="">
          <xdr:nvSpPr>
            <xdr:cNvPr id="90118" name="cmdAddParamQualifier2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0F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1304925</xdr:colOff>
          <xdr:row>2</xdr:row>
          <xdr:rowOff>209550</xdr:rowOff>
        </xdr:to>
        <xdr:sp macro="" textlink="">
          <xdr:nvSpPr>
            <xdr:cNvPr id="113665" name="cmdTechNameAndDesc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10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5</xdr:col>
          <xdr:colOff>28575</xdr:colOff>
          <xdr:row>2</xdr:row>
          <xdr:rowOff>209550</xdr:rowOff>
        </xdr:to>
        <xdr:sp macro="" textlink="">
          <xdr:nvSpPr>
            <xdr:cNvPr id="113666" name="cmdCommIN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10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13667" name="cmdCommOU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10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9525</xdr:colOff>
          <xdr:row>3</xdr:row>
          <xdr:rowOff>152400</xdr:rowOff>
        </xdr:to>
        <xdr:sp macro="" textlink="">
          <xdr:nvSpPr>
            <xdr:cNvPr id="113668" name="cmdAddParameter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10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9525</xdr:colOff>
          <xdr:row>4</xdr:row>
          <xdr:rowOff>190500</xdr:rowOff>
        </xdr:to>
        <xdr:sp macro="" textlink="">
          <xdr:nvSpPr>
            <xdr:cNvPr id="113669" name="cmdAddParamQualifier1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10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9525</xdr:colOff>
          <xdr:row>2</xdr:row>
          <xdr:rowOff>209550</xdr:rowOff>
        </xdr:to>
        <xdr:sp macro="" textlink="">
          <xdr:nvSpPr>
            <xdr:cNvPr id="113670" name="cmdCheckTechDataSheet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10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9525</xdr:colOff>
          <xdr:row>6</xdr:row>
          <xdr:rowOff>38100</xdr:rowOff>
        </xdr:to>
        <xdr:sp macro="" textlink="">
          <xdr:nvSpPr>
            <xdr:cNvPr id="113672" name="cmdAddParamQualifier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10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2</xdr:col>
          <xdr:colOff>1085850</xdr:colOff>
          <xdr:row>2</xdr:row>
          <xdr:rowOff>190500</xdr:rowOff>
        </xdr:to>
        <xdr:sp macro="" textlink="">
          <xdr:nvSpPr>
            <xdr:cNvPr id="102401" name="cmdConstrNameAndDesc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11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2</xdr:row>
          <xdr:rowOff>238125</xdr:rowOff>
        </xdr:to>
        <xdr:sp macro="" textlink="">
          <xdr:nvSpPr>
            <xdr:cNvPr id="102402" name="cmdProcName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11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190500</xdr:rowOff>
        </xdr:from>
        <xdr:to>
          <xdr:col>0</xdr:col>
          <xdr:colOff>819150</xdr:colOff>
          <xdr:row>3</xdr:row>
          <xdr:rowOff>152400</xdr:rowOff>
        </xdr:to>
        <xdr:sp macro="" textlink="">
          <xdr:nvSpPr>
            <xdr:cNvPr id="102403" name="cmdAddParameter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11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0</xdr:colOff>
          <xdr:row>2</xdr:row>
          <xdr:rowOff>238125</xdr:rowOff>
        </xdr:to>
        <xdr:sp macro="" textlink="">
          <xdr:nvSpPr>
            <xdr:cNvPr id="102404" name="cmdCheckConstrDataShee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11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9525</xdr:rowOff>
        </xdr:from>
        <xdr:to>
          <xdr:col>0</xdr:col>
          <xdr:colOff>819150</xdr:colOff>
          <xdr:row>5</xdr:row>
          <xdr:rowOff>28575</xdr:rowOff>
        </xdr:to>
        <xdr:sp macro="" textlink="">
          <xdr:nvSpPr>
            <xdr:cNvPr id="102405" name="cmdAddParamQualifier1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11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9525</xdr:colOff>
          <xdr:row>2</xdr:row>
          <xdr:rowOff>238125</xdr:rowOff>
        </xdr:to>
        <xdr:sp macro="" textlink="">
          <xdr:nvSpPr>
            <xdr:cNvPr id="102407" name="cmdCommName" hidden="1">
              <a:extLst>
                <a:ext uri="{63B3BB69-23CF-44E3-9099-C40C66FF867C}">
                  <a14:compatExt spid="_x0000_s102407"/>
                </a:ext>
                <a:ext uri="{FF2B5EF4-FFF2-40B4-BE49-F238E27FC236}">
                  <a16:creationId xmlns:a16="http://schemas.microsoft.com/office/drawing/2014/main" id="{00000000-0008-0000-1100-00000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9525</xdr:colOff>
          <xdr:row>2</xdr:row>
          <xdr:rowOff>238125</xdr:rowOff>
        </xdr:to>
        <xdr:sp macro="" textlink="">
          <xdr:nvSpPr>
            <xdr:cNvPr id="102408" name="cmdTimeSlice" hidden="1">
              <a:extLst>
                <a:ext uri="{63B3BB69-23CF-44E3-9099-C40C66FF867C}">
                  <a14:compatExt spid="_x0000_s102408"/>
                </a:ext>
                <a:ext uri="{FF2B5EF4-FFF2-40B4-BE49-F238E27FC236}">
                  <a16:creationId xmlns:a16="http://schemas.microsoft.com/office/drawing/2014/main" id="{00000000-0008-0000-1100-00000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19050</xdr:rowOff>
        </xdr:from>
        <xdr:to>
          <xdr:col>0</xdr:col>
          <xdr:colOff>819150</xdr:colOff>
          <xdr:row>6</xdr:row>
          <xdr:rowOff>38100</xdr:rowOff>
        </xdr:to>
        <xdr:sp macro="" textlink="">
          <xdr:nvSpPr>
            <xdr:cNvPr id="102409" name="cmdAddParamQualifier2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11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55297" name="cmdCheckItemsSheet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152400</xdr:colOff>
          <xdr:row>4</xdr:row>
          <xdr:rowOff>95250</xdr:rowOff>
        </xdr:to>
        <xdr:sp macro="" textlink="">
          <xdr:nvSpPr>
            <xdr:cNvPr id="55298" name="cmdSpecifyComponent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0</xdr:colOff>
          <xdr:row>4</xdr:row>
          <xdr:rowOff>95250</xdr:rowOff>
        </xdr:to>
        <xdr:sp macro="" textlink="">
          <xdr:nvSpPr>
            <xdr:cNvPr id="55299" name="cmdSpecifyUnit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0</xdr:colOff>
          <xdr:row>4</xdr:row>
          <xdr:rowOff>95250</xdr:rowOff>
        </xdr:to>
        <xdr:sp macro="" textlink="">
          <xdr:nvSpPr>
            <xdr:cNvPr id="55300" name="cmdSpecifySet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19050</xdr:rowOff>
        </xdr:to>
        <xdr:sp macro="" textlink="">
          <xdr:nvSpPr>
            <xdr:cNvPr id="57345" name="cmdCheckTSDataShee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3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7346" name="cmdSpecifyParameter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3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3</xdr:col>
          <xdr:colOff>19050</xdr:colOff>
          <xdr:row>4</xdr:row>
          <xdr:rowOff>104775</xdr:rowOff>
        </xdr:to>
        <xdr:sp macro="" textlink="">
          <xdr:nvSpPr>
            <xdr:cNvPr id="57347" name="cmdSpecifyArg1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3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19050</xdr:colOff>
          <xdr:row>4</xdr:row>
          <xdr:rowOff>104775</xdr:rowOff>
        </xdr:to>
        <xdr:sp macro="" textlink="">
          <xdr:nvSpPr>
            <xdr:cNvPr id="57348" name="cmdSpecifyArg2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3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19050</xdr:colOff>
          <xdr:row>4</xdr:row>
          <xdr:rowOff>104775</xdr:rowOff>
        </xdr:to>
        <xdr:sp macro="" textlink="">
          <xdr:nvSpPr>
            <xdr:cNvPr id="57349" name="cmdSpecifyArg3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3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57350" name="cmdSpecifyArg4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3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57351" name="cmdSpecifyArg5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3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57352" name="cmdSpecifyArg6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3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0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57353" name="cmdSpecifyIEOptcode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3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57150</xdr:rowOff>
        </xdr:from>
        <xdr:to>
          <xdr:col>0</xdr:col>
          <xdr:colOff>819150</xdr:colOff>
          <xdr:row>6</xdr:row>
          <xdr:rowOff>0</xdr:rowOff>
        </xdr:to>
        <xdr:sp macro="" textlink="">
          <xdr:nvSpPr>
            <xdr:cNvPr id="57354" name="cmdPopulateDataYears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3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819150</xdr:colOff>
          <xdr:row>3</xdr:row>
          <xdr:rowOff>38100</xdr:rowOff>
        </xdr:to>
        <xdr:sp macro="" textlink="">
          <xdr:nvSpPr>
            <xdr:cNvPr id="58369" name="cmdCheckTIDDataSheet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4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9525</xdr:rowOff>
        </xdr:from>
        <xdr:to>
          <xdr:col>2</xdr:col>
          <xdr:colOff>19050</xdr:colOff>
          <xdr:row>4</xdr:row>
          <xdr:rowOff>95250</xdr:rowOff>
        </xdr:to>
        <xdr:sp macro="" textlink="">
          <xdr:nvSpPr>
            <xdr:cNvPr id="58370" name="cmdSpecifyParameter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4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9525</xdr:colOff>
          <xdr:row>4</xdr:row>
          <xdr:rowOff>95250</xdr:rowOff>
        </xdr:to>
        <xdr:sp macro="" textlink="">
          <xdr:nvSpPr>
            <xdr:cNvPr id="58371" name="cmdSpecifyArg1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4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9525</xdr:rowOff>
        </xdr:from>
        <xdr:to>
          <xdr:col>4</xdr:col>
          <xdr:colOff>9525</xdr:colOff>
          <xdr:row>4</xdr:row>
          <xdr:rowOff>95250</xdr:rowOff>
        </xdr:to>
        <xdr:sp macro="" textlink="">
          <xdr:nvSpPr>
            <xdr:cNvPr id="58372" name="cmdSpecifyArg2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4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9525</xdr:rowOff>
        </xdr:from>
        <xdr:to>
          <xdr:col>5</xdr:col>
          <xdr:colOff>9525</xdr:colOff>
          <xdr:row>4</xdr:row>
          <xdr:rowOff>95250</xdr:rowOff>
        </xdr:to>
        <xdr:sp macro="" textlink="">
          <xdr:nvSpPr>
            <xdr:cNvPr id="58373" name="cmdSpecifyArg3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4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9525</xdr:rowOff>
        </xdr:from>
        <xdr:to>
          <xdr:col>6</xdr:col>
          <xdr:colOff>9525</xdr:colOff>
          <xdr:row>4</xdr:row>
          <xdr:rowOff>95250</xdr:rowOff>
        </xdr:to>
        <xdr:sp macro="" textlink="">
          <xdr:nvSpPr>
            <xdr:cNvPr id="58374" name="cmdSpecifyArg4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4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9525</xdr:rowOff>
        </xdr:from>
        <xdr:to>
          <xdr:col>7</xdr:col>
          <xdr:colOff>9525</xdr:colOff>
          <xdr:row>4</xdr:row>
          <xdr:rowOff>95250</xdr:rowOff>
        </xdr:to>
        <xdr:sp macro="" textlink="">
          <xdr:nvSpPr>
            <xdr:cNvPr id="58375" name="cmdSpecifyArg5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4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9525</xdr:rowOff>
        </xdr:from>
        <xdr:to>
          <xdr:col>8</xdr:col>
          <xdr:colOff>9525</xdr:colOff>
          <xdr:row>4</xdr:row>
          <xdr:rowOff>95250</xdr:rowOff>
        </xdr:to>
        <xdr:sp macro="" textlink="">
          <xdr:nvSpPr>
            <xdr:cNvPr id="58376" name="cmdSpecifyArg6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4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857250</xdr:colOff>
          <xdr:row>3</xdr:row>
          <xdr:rowOff>57150</xdr:rowOff>
        </xdr:to>
        <xdr:sp macro="" textlink="">
          <xdr:nvSpPr>
            <xdr:cNvPr id="59393" name="cmdCheckTSandTIDDataSheet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9394" name="cmdSpecifyParameter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5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9525</xdr:colOff>
          <xdr:row>4</xdr:row>
          <xdr:rowOff>104775</xdr:rowOff>
        </xdr:to>
        <xdr:sp macro="" textlink="">
          <xdr:nvSpPr>
            <xdr:cNvPr id="59395" name="cmdSpecifyArg1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5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104775</xdr:rowOff>
        </xdr:to>
        <xdr:sp macro="" textlink="">
          <xdr:nvSpPr>
            <xdr:cNvPr id="59396" name="cmdSpecifyArg2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5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59397" name="cmdSpecifyArg3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5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9525</xdr:colOff>
          <xdr:row>4</xdr:row>
          <xdr:rowOff>104775</xdr:rowOff>
        </xdr:to>
        <xdr:sp macro="" textlink="">
          <xdr:nvSpPr>
            <xdr:cNvPr id="59398" name="cmdSpecifyArg4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5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9525</xdr:colOff>
          <xdr:row>4</xdr:row>
          <xdr:rowOff>104775</xdr:rowOff>
        </xdr:to>
        <xdr:sp macro="" textlink="">
          <xdr:nvSpPr>
            <xdr:cNvPr id="59399" name="cmdSpecifyArg5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5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9525</xdr:colOff>
          <xdr:row>4</xdr:row>
          <xdr:rowOff>104775</xdr:rowOff>
        </xdr:to>
        <xdr:sp macro="" textlink="">
          <xdr:nvSpPr>
            <xdr:cNvPr id="59400" name="cmdSpecifyArg6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5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8</xdr:col>
          <xdr:colOff>476250</xdr:colOff>
          <xdr:row>4</xdr:row>
          <xdr:rowOff>104775</xdr:rowOff>
        </xdr:to>
        <xdr:sp macro="" textlink="">
          <xdr:nvSpPr>
            <xdr:cNvPr id="59401" name="cmdSpecifyIEOptcode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5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19050</xdr:rowOff>
        </xdr:from>
        <xdr:to>
          <xdr:col>0</xdr:col>
          <xdr:colOff>847725</xdr:colOff>
          <xdr:row>6</xdr:row>
          <xdr:rowOff>104775</xdr:rowOff>
        </xdr:to>
        <xdr:sp macro="" textlink="">
          <xdr:nvSpPr>
            <xdr:cNvPr id="59402" name="cmdPopulateDataYears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5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28575</xdr:colOff>
          <xdr:row>4</xdr:row>
          <xdr:rowOff>104775</xdr:rowOff>
        </xdr:to>
        <xdr:sp macro="" textlink="">
          <xdr:nvSpPr>
            <xdr:cNvPr id="60418" name="cmdSpecifyParameter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6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0</xdr:rowOff>
        </xdr:from>
        <xdr:to>
          <xdr:col>4</xdr:col>
          <xdr:colOff>9525</xdr:colOff>
          <xdr:row>4</xdr:row>
          <xdr:rowOff>104775</xdr:rowOff>
        </xdr:to>
        <xdr:sp macro="" textlink="">
          <xdr:nvSpPr>
            <xdr:cNvPr id="60419" name="cmdSpecifyArg1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6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60420" name="cmdSpecifyArg2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6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60421" name="cmdSpecifyArg3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6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60422" name="cmdSpecifyArg4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6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60423" name="cmdSpecifyArg5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6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9</xdr:col>
          <xdr:colOff>28575</xdr:colOff>
          <xdr:row>4</xdr:row>
          <xdr:rowOff>104775</xdr:rowOff>
        </xdr:to>
        <xdr:sp macro="" textlink="">
          <xdr:nvSpPr>
            <xdr:cNvPr id="60424" name="cmdSpecifyArg6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6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</xdr:row>
          <xdr:rowOff>0</xdr:rowOff>
        </xdr:from>
        <xdr:to>
          <xdr:col>10</xdr:col>
          <xdr:colOff>0</xdr:colOff>
          <xdr:row>4</xdr:row>
          <xdr:rowOff>85725</xdr:rowOff>
        </xdr:to>
        <xdr:sp macro="" textlink="">
          <xdr:nvSpPr>
            <xdr:cNvPr id="60425" name="cmdSpecifyIEOptcode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6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0</xdr:rowOff>
        </xdr:from>
        <xdr:to>
          <xdr:col>0</xdr:col>
          <xdr:colOff>838200</xdr:colOff>
          <xdr:row>3</xdr:row>
          <xdr:rowOff>0</xdr:rowOff>
        </xdr:to>
        <xdr:sp macro="" textlink="">
          <xdr:nvSpPr>
            <xdr:cNvPr id="60426" name="cmdCheckTSTradeSheet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6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</xdr:row>
          <xdr:rowOff>19050</xdr:rowOff>
        </xdr:from>
        <xdr:to>
          <xdr:col>0</xdr:col>
          <xdr:colOff>838200</xdr:colOff>
          <xdr:row>5</xdr:row>
          <xdr:rowOff>104775</xdr:rowOff>
        </xdr:to>
        <xdr:sp macro="" textlink="">
          <xdr:nvSpPr>
            <xdr:cNvPr id="60427" name="cmdPopulateDataYears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6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38100</xdr:rowOff>
        </xdr:to>
        <xdr:sp macro="" textlink="">
          <xdr:nvSpPr>
            <xdr:cNvPr id="61442" name="cmdCheckTIDTradeShee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7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28575</xdr:colOff>
          <xdr:row>4</xdr:row>
          <xdr:rowOff>114300</xdr:rowOff>
        </xdr:to>
        <xdr:sp macro="" textlink="">
          <xdr:nvSpPr>
            <xdr:cNvPr id="61443" name="cmdSpecifyParamet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7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114300</xdr:rowOff>
        </xdr:to>
        <xdr:sp macro="" textlink="">
          <xdr:nvSpPr>
            <xdr:cNvPr id="61444" name="cmdSpecifyArg1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7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9525</xdr:colOff>
          <xdr:row>4</xdr:row>
          <xdr:rowOff>114300</xdr:rowOff>
        </xdr:to>
        <xdr:sp macro="" textlink="">
          <xdr:nvSpPr>
            <xdr:cNvPr id="61445" name="cmdSpecifyArg2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7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114300</xdr:rowOff>
        </xdr:to>
        <xdr:sp macro="" textlink="">
          <xdr:nvSpPr>
            <xdr:cNvPr id="61446" name="cmdSpecifyArg3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7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114300</xdr:rowOff>
        </xdr:to>
        <xdr:sp macro="" textlink="">
          <xdr:nvSpPr>
            <xdr:cNvPr id="61447" name="cmdSpecifyArg4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7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114300</xdr:rowOff>
        </xdr:to>
        <xdr:sp macro="" textlink="">
          <xdr:nvSpPr>
            <xdr:cNvPr id="61448" name="cmdSpecifyArg5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7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114300</xdr:rowOff>
        </xdr:to>
        <xdr:sp macro="" textlink="">
          <xdr:nvSpPr>
            <xdr:cNvPr id="61449" name="cmdSpecifyArg6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7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62466" name="cmdCheckTSandTIDTradeShee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8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9525</xdr:rowOff>
        </xdr:from>
        <xdr:to>
          <xdr:col>3</xdr:col>
          <xdr:colOff>9525</xdr:colOff>
          <xdr:row>4</xdr:row>
          <xdr:rowOff>85725</xdr:rowOff>
        </xdr:to>
        <xdr:sp macro="" textlink="">
          <xdr:nvSpPr>
            <xdr:cNvPr id="62467" name="cmdSpecifyParamet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18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19050</xdr:colOff>
          <xdr:row>4</xdr:row>
          <xdr:rowOff>85725</xdr:rowOff>
        </xdr:to>
        <xdr:sp macro="" textlink="">
          <xdr:nvSpPr>
            <xdr:cNvPr id="62468" name="cmdSpecifyArg1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18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19050</xdr:colOff>
          <xdr:row>4</xdr:row>
          <xdr:rowOff>85725</xdr:rowOff>
        </xdr:to>
        <xdr:sp macro="" textlink="">
          <xdr:nvSpPr>
            <xdr:cNvPr id="62469" name="cmdSpecifyArg2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18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85725</xdr:rowOff>
        </xdr:to>
        <xdr:sp macro="" textlink="">
          <xdr:nvSpPr>
            <xdr:cNvPr id="62470" name="cmdSpecifyArg3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18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85725</xdr:rowOff>
        </xdr:to>
        <xdr:sp macro="" textlink="">
          <xdr:nvSpPr>
            <xdr:cNvPr id="62471" name="cmdSpecifyArg4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18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85725</xdr:rowOff>
        </xdr:to>
        <xdr:sp macro="" textlink="">
          <xdr:nvSpPr>
            <xdr:cNvPr id="62472" name="cmdSpecifyArg5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18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62473" name="cmdSpecifyArg6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18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9525</xdr:rowOff>
        </xdr:from>
        <xdr:to>
          <xdr:col>10</xdr:col>
          <xdr:colOff>9525</xdr:colOff>
          <xdr:row>4</xdr:row>
          <xdr:rowOff>85725</xdr:rowOff>
        </xdr:to>
        <xdr:sp macro="" textlink="">
          <xdr:nvSpPr>
            <xdr:cNvPr id="62474" name="cmdSpecifyIEOptcode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18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666750</xdr:colOff>
          <xdr:row>6</xdr:row>
          <xdr:rowOff>38100</xdr:rowOff>
        </xdr:to>
        <xdr:sp macro="" textlink="">
          <xdr:nvSpPr>
            <xdr:cNvPr id="62475" name="cmdPopulateDataYears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18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BP%202013%20Energy%20Review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1433536/Google%20Drive/SATIM/Model%20Files/DMD_PRJ%20-%20Cop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ivate/tmp/SATIM/TCH_SUP2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odelling%20Group\_02_PROJECTS\WB\water-energy\task2\Costing%20options%20v6.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AnswerTIMESv6/Answer_Databases/WB/SATIM_20140819runs-copy/TCH_PWR-WAT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Models\satimge\SATIM\DataSpreadsheets\TCH_PWR.xlsm" TargetMode="External"/><Relationship Id="rId1" Type="http://schemas.openxmlformats.org/officeDocument/2006/relationships/externalLinkPath" Target="TCH_PWR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Models\SATIMGE\SATIM\DataSpreadsheets\TCH_PWR_FGD_CATA_Optimized-GC-CATA.xlsm" TargetMode="External"/><Relationship Id="rId1" Type="http://schemas.openxmlformats.org/officeDocument/2006/relationships/externalLinkPath" Target="TCH_PWR_FGD_CATA_Optimized-GC-C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y%20Drive\SA%20NDC%202020%20shared%20folder\Short%20elec%20retirement\retirment%20scenari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il Consumption – barrel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"/>
      <sheetName val="FromCGE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 refreshError="1"/>
      <sheetData sheetId="1" refreshError="1"/>
      <sheetData sheetId="2">
        <row r="7">
          <cell r="C7">
            <v>1</v>
          </cell>
        </row>
        <row r="8">
          <cell r="C8">
            <v>1</v>
          </cell>
        </row>
        <row r="9">
          <cell r="C9">
            <v>1</v>
          </cell>
        </row>
        <row r="10">
          <cell r="C10">
            <v>1</v>
          </cell>
        </row>
        <row r="11">
          <cell r="C11">
            <v>1</v>
          </cell>
        </row>
      </sheetData>
      <sheetData sheetId="3">
        <row r="5">
          <cell r="J5" t="str">
            <v>Greenshoots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REGIONS"/>
      <sheetName val="2006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>
        <row r="17">
          <cell r="A17">
            <v>2.54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6">
          <cell r="B6" t="str">
            <v>UPS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version"/>
      <sheetName val="units"/>
      <sheetName val="AMD"/>
      <sheetName val="AMD.v2"/>
      <sheetName val="coal mining"/>
      <sheetName val="TDS  vs Capex"/>
      <sheetName val="WTP energy costs"/>
      <sheetName val="Shale gas"/>
      <sheetName val="Shale-AMD wtp"/>
      <sheetName val="Uranium-Gold"/>
      <sheetName val="fgd costs"/>
      <sheetName val="Coal dist"/>
      <sheetName val="steam"/>
      <sheetName val="refineries"/>
      <sheetName val="cooling water"/>
      <sheetName val="seasonal"/>
      <sheetName val="PWR station GIS data"/>
      <sheetName val="Existing Plants by Water Supply"/>
      <sheetName val="Existing Plants by Coal Supply"/>
      <sheetName val="Eskom coal pwr plants"/>
      <sheetName val="charts"/>
      <sheetName val="TechWATv4"/>
      <sheetName val="TechWATv5 (supwat5)"/>
      <sheetName val="FromCGE"/>
      <sheetName val="Non-Energy Water Demand"/>
      <sheetName val="non-power liquid fuels"/>
      <sheetName val="CPI_1960-2013"/>
      <sheetName val="JHB return flows"/>
      <sheetName val="misc calcs"/>
      <sheetName val="WSR-A"/>
      <sheetName val="WSR-B"/>
      <sheetName val="WSR-C"/>
      <sheetName val="WSR-D"/>
      <sheetName val="WSR-R"/>
      <sheetName val="WSR-Z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E3">
            <v>0.08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REAvail (2)"/>
      <sheetName val="TS REAvail"/>
      <sheetName val="REAvail_10TS"/>
      <sheetName val="REAvail_10TS (2)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/>
      <sheetData sheetId="2"/>
      <sheetData sheetId="3"/>
      <sheetData sheetId="4"/>
      <sheetData sheetId="5"/>
      <sheetData sheetId="6">
        <row r="9">
          <cell r="B9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NSv2-692-Home"/>
      <sheetName val="Index"/>
      <sheetName val="Assumptions"/>
      <sheetName val="Processes"/>
      <sheetName val="tables for reports"/>
      <sheetName val="ProcDataGenPre2012"/>
      <sheetName val="ProcDataGen2012On"/>
      <sheetName val="ProcDataIRP"/>
      <sheetName val="ProcDataJETP1"/>
      <sheetName val="ProcDataJETP2"/>
      <sheetName val="ProcDataJETP3"/>
      <sheetName val="ProcDataRMIPPPP"/>
      <sheetName val="ProcDataREPROG"/>
      <sheetName val="ProcDataMREPROG"/>
      <sheetName val="ProcDataRECostProfiles"/>
      <sheetName val="ProcDataTnD"/>
      <sheetName val="ProcDataExports"/>
      <sheetName val="ProcDataMines"/>
      <sheetName val="Commodities"/>
      <sheetName val="CommData"/>
      <sheetName val="ProcDataRM"/>
      <sheetName val="ProcDataAux"/>
      <sheetName val="ProcDataLowEAF"/>
      <sheetName val="ProcDataEndoRetire"/>
      <sheetName val="ProcDataEndoRetireIRP"/>
      <sheetName val="ProcDataRampRates"/>
      <sheetName val="JETPsep22"/>
      <sheetName val="EskomCoalPrice2019"/>
      <sheetName val="eskom production 2009-YTD"/>
      <sheetName val="eskom fuel 2009-YTD"/>
      <sheetName val="HistoricalDispatch"/>
      <sheetName val="DecomSchedule"/>
      <sheetName val="NERSA2017"/>
      <sheetName val="NERSA2018"/>
      <sheetName val="EskomCoalNERSACombined"/>
      <sheetName val="RMIPPPP"/>
      <sheetName val="REIPPP"/>
      <sheetName val="IRP Costs"/>
      <sheetName val="PumpStorage"/>
      <sheetName val="NBI_NREL_etc"/>
      <sheetName val="CoalIPP"/>
      <sheetName val="FGD costs"/>
      <sheetName val="PWR_Lab"/>
      <sheetName val="Lab.Calcs.Assumptions"/>
      <sheetName val="SAM"/>
      <sheetName val="SAM2019"/>
      <sheetName val="From SAM"/>
      <sheetName val="ElecBY"/>
      <sheetName val="Deflator"/>
      <sheetName val="ANSv2-692-REGIONS"/>
      <sheetName val="ANSv2-692-Commodities"/>
      <sheetName val="ANSv2-692-Processes"/>
      <sheetName val="ANSv2-692-Constraints"/>
      <sheetName val="ANSv2-692-CommData"/>
      <sheetName val="ANSv2-692-ProcData"/>
      <sheetName val="ANSv2-692-ConstrData"/>
      <sheetName val="ANSv2-692-ITEMS"/>
      <sheetName val="ANSv2-692-TS DATA"/>
      <sheetName val="ANSv2-692-TID DATA"/>
      <sheetName val="ANSv2-692-TS&amp;TID DATA"/>
      <sheetName val="ANSv2-692-TS TRADE"/>
      <sheetName val="ANSv2-692-TID TRADE"/>
      <sheetName val="ANSv2-692-TS&amp;TID TRADE"/>
    </sheetNames>
    <sheetDataSet>
      <sheetData sheetId="0"/>
      <sheetData sheetId="1">
        <row r="18">
          <cell r="B18" t="str">
            <v>Sheet Name</v>
          </cell>
          <cell r="C18" t="str">
            <v>Import?</v>
          </cell>
        </row>
        <row r="19">
          <cell r="B19" t="str">
            <v>Processes</v>
          </cell>
          <cell r="C19">
            <v>1</v>
          </cell>
        </row>
        <row r="20">
          <cell r="B20" t="str">
            <v>ProcDataGenPre2012</v>
          </cell>
          <cell r="C20">
            <v>1</v>
          </cell>
        </row>
        <row r="21">
          <cell r="B21" t="str">
            <v>ProcDataGen2012On</v>
          </cell>
          <cell r="C21">
            <v>1</v>
          </cell>
        </row>
        <row r="22">
          <cell r="B22" t="str">
            <v>ProcDataIRP</v>
          </cell>
          <cell r="C22">
            <v>0</v>
          </cell>
        </row>
        <row r="23">
          <cell r="B23" t="str">
            <v>ProcDataJETP1</v>
          </cell>
          <cell r="C23">
            <v>0</v>
          </cell>
        </row>
        <row r="24">
          <cell r="B24" t="str">
            <v>ProcDataJETP2</v>
          </cell>
          <cell r="C24">
            <v>0</v>
          </cell>
        </row>
        <row r="25">
          <cell r="B25" t="str">
            <v>ProcDataJETP3</v>
          </cell>
          <cell r="C25">
            <v>0</v>
          </cell>
        </row>
        <row r="26">
          <cell r="B26" t="str">
            <v>ProcDataRMIPPPP</v>
          </cell>
          <cell r="C26">
            <v>0</v>
          </cell>
        </row>
        <row r="27">
          <cell r="B27" t="str">
            <v>ProcDataREPROG</v>
          </cell>
          <cell r="C27">
            <v>0</v>
          </cell>
        </row>
        <row r="28">
          <cell r="B28" t="str">
            <v>ProcDataMREPROG</v>
          </cell>
          <cell r="C28">
            <v>0</v>
          </cell>
        </row>
        <row r="29">
          <cell r="B29" t="str">
            <v>ProcDataRECostProfiles</v>
          </cell>
          <cell r="C29">
            <v>1</v>
          </cell>
        </row>
        <row r="30">
          <cell r="B30" t="str">
            <v>ProcDataTnD</v>
          </cell>
          <cell r="C30">
            <v>1</v>
          </cell>
        </row>
        <row r="31">
          <cell r="B31" t="str">
            <v>ProcDataExports</v>
          </cell>
          <cell r="C31">
            <v>1</v>
          </cell>
        </row>
        <row r="32">
          <cell r="B32" t="str">
            <v>ProcDataMines</v>
          </cell>
          <cell r="C32">
            <v>1</v>
          </cell>
        </row>
        <row r="33">
          <cell r="B33" t="str">
            <v>Commodities</v>
          </cell>
          <cell r="C33">
            <v>1</v>
          </cell>
        </row>
        <row r="34">
          <cell r="B34" t="str">
            <v>CommData</v>
          </cell>
          <cell r="C34">
            <v>1</v>
          </cell>
        </row>
        <row r="35">
          <cell r="B35" t="str">
            <v>ProcDataRM</v>
          </cell>
          <cell r="C35">
            <v>1</v>
          </cell>
        </row>
        <row r="36">
          <cell r="B36" t="str">
            <v>ProcDataAux</v>
          </cell>
          <cell r="C36">
            <v>1</v>
          </cell>
        </row>
        <row r="37">
          <cell r="B37" t="str">
            <v>ProcDataLowEAF</v>
          </cell>
          <cell r="C37">
            <v>0</v>
          </cell>
        </row>
        <row r="38">
          <cell r="B38" t="str">
            <v>ProcDataEndoRetire</v>
          </cell>
          <cell r="C38">
            <v>1</v>
          </cell>
        </row>
        <row r="39">
          <cell r="B39" t="str">
            <v>ProcDataEndoRetireIRP</v>
          </cell>
          <cell r="C39">
            <v>0</v>
          </cell>
        </row>
        <row r="40">
          <cell r="B40" t="str">
            <v>ProcDataRampRates</v>
          </cell>
          <cell r="C40">
            <v>1</v>
          </cell>
        </row>
      </sheetData>
      <sheetData sheetId="2"/>
      <sheetData sheetId="3"/>
      <sheetData sheetId="4"/>
      <sheetData sheetId="5">
        <row r="8">
          <cell r="A8" t="str">
            <v>* Existing Power Plants</v>
          </cell>
        </row>
        <row r="9">
          <cell r="B9" t="str">
            <v>ETCLECAMD-E</v>
          </cell>
          <cell r="C9" t="str">
            <v>CAMDEN</v>
          </cell>
          <cell r="D9" t="str">
            <v>PJ,GW</v>
          </cell>
          <cell r="F9" t="str">
            <v>ELCC</v>
          </cell>
        </row>
        <row r="10">
          <cell r="B10" t="str">
            <v>ETCLEGROO-E</v>
          </cell>
          <cell r="C10" t="str">
            <v>GROOTVLEI</v>
          </cell>
          <cell r="D10" t="str">
            <v>PJ,GW</v>
          </cell>
          <cell r="F10" t="str">
            <v>ELCC</v>
          </cell>
        </row>
        <row r="11">
          <cell r="B11" t="str">
            <v>ETCLEKOMA-E</v>
          </cell>
          <cell r="C11" t="str">
            <v>KOMATI</v>
          </cell>
          <cell r="D11" t="str">
            <v>PJ,GW</v>
          </cell>
          <cell r="F11" t="str">
            <v>ELCC</v>
          </cell>
        </row>
        <row r="12">
          <cell r="B12" t="str">
            <v>ETCLEARNO-E</v>
          </cell>
          <cell r="C12" t="str">
            <v>ARNOT</v>
          </cell>
          <cell r="D12" t="str">
            <v>PJ,GW</v>
          </cell>
          <cell r="F12" t="str">
            <v>ELCC</v>
          </cell>
        </row>
        <row r="13">
          <cell r="B13" t="str">
            <v>ETCLEDUVH-E</v>
          </cell>
          <cell r="C13" t="str">
            <v>DUVHA</v>
          </cell>
          <cell r="D13" t="str">
            <v>PJ,GW</v>
          </cell>
          <cell r="F13" t="str">
            <v>ELCC</v>
          </cell>
        </row>
        <row r="14">
          <cell r="B14" t="str">
            <v>ETCLEHEND-E</v>
          </cell>
          <cell r="C14" t="str">
            <v>HENDRINA</v>
          </cell>
          <cell r="D14" t="str">
            <v>PJ,GW</v>
          </cell>
          <cell r="F14" t="str">
            <v>ELCC</v>
          </cell>
        </row>
        <row r="15">
          <cell r="B15" t="str">
            <v>ETCLEKEND-E</v>
          </cell>
          <cell r="C15" t="str">
            <v>KENDAL</v>
          </cell>
          <cell r="D15" t="str">
            <v>PJ,GW</v>
          </cell>
          <cell r="F15" t="str">
            <v>ELCC</v>
          </cell>
        </row>
        <row r="16">
          <cell r="B16" t="str">
            <v>ETCLEKRIE-E</v>
          </cell>
          <cell r="C16" t="str">
            <v>KRIEL</v>
          </cell>
          <cell r="D16" t="str">
            <v>PJ,GW</v>
          </cell>
          <cell r="F16" t="str">
            <v>ELCC</v>
          </cell>
        </row>
        <row r="17">
          <cell r="B17" t="str">
            <v>ETCLELETH-E</v>
          </cell>
          <cell r="C17" t="str">
            <v>LETHABO</v>
          </cell>
          <cell r="D17" t="str">
            <v>PJ,GW</v>
          </cell>
          <cell r="F17" t="str">
            <v>ELCC</v>
          </cell>
        </row>
        <row r="18">
          <cell r="B18" t="str">
            <v>ETCLEMAJD-E</v>
          </cell>
          <cell r="C18" t="str">
            <v>MAJUBA DRY</v>
          </cell>
          <cell r="D18" t="str">
            <v>PJ,GW</v>
          </cell>
          <cell r="F18" t="str">
            <v>ELCC</v>
          </cell>
        </row>
        <row r="19">
          <cell r="B19" t="str">
            <v>ETCLEMAJW-E</v>
          </cell>
          <cell r="C19" t="str">
            <v>MAJUBA WET</v>
          </cell>
          <cell r="D19" t="str">
            <v>PJ,GW</v>
          </cell>
          <cell r="F19" t="str">
            <v>ELCC</v>
          </cell>
        </row>
        <row r="20">
          <cell r="B20" t="str">
            <v>ETCLEMATI-E</v>
          </cell>
          <cell r="C20" t="str">
            <v>MATIMBA</v>
          </cell>
          <cell r="D20" t="str">
            <v>PJ,GW</v>
          </cell>
          <cell r="F20" t="str">
            <v>ELCC</v>
          </cell>
        </row>
        <row r="21">
          <cell r="B21" t="str">
            <v>ETCLEMATL-E</v>
          </cell>
          <cell r="C21" t="str">
            <v>MATLA</v>
          </cell>
          <cell r="D21" t="str">
            <v>PJ,GW</v>
          </cell>
          <cell r="F21" t="str">
            <v>ELCC</v>
          </cell>
        </row>
        <row r="22">
          <cell r="B22" t="str">
            <v>ETCLETUTU-E</v>
          </cell>
          <cell r="C22" t="str">
            <v>TUTUKA</v>
          </cell>
          <cell r="D22" t="str">
            <v>PJ,GW</v>
          </cell>
          <cell r="F22" t="str">
            <v>ELCC</v>
          </cell>
        </row>
        <row r="24">
          <cell r="D24" t="str">
            <v>PJ,GW</v>
          </cell>
        </row>
      </sheetData>
      <sheetData sheetId="6">
        <row r="8">
          <cell r="A8" t="str">
            <v>* New Power Plants - Grid</v>
          </cell>
        </row>
        <row r="9">
          <cell r="B9" t="str">
            <v>ETCLEMEDU-N</v>
          </cell>
          <cell r="C9" t="str">
            <v>MEDUPI</v>
          </cell>
          <cell r="D9" t="str">
            <v>PJ,GW</v>
          </cell>
        </row>
        <row r="10">
          <cell r="B10" t="str">
            <v>ETCLEKUSI-N</v>
          </cell>
          <cell r="C10" t="str">
            <v>KUSILE</v>
          </cell>
          <cell r="D10" t="str">
            <v>PJ,GW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7">
          <cell r="J7">
            <v>2025</v>
          </cell>
          <cell r="K7">
            <v>2026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NSv2-692-Home"/>
      <sheetName val="Index"/>
      <sheetName val="Processes"/>
      <sheetName val="Commodities"/>
      <sheetName val="ProcDataRetirement"/>
      <sheetName val="ProcDataFGD"/>
      <sheetName val="ProcDataAux"/>
      <sheetName val="FGD"/>
      <sheetName val="ProcDataEndoRetireFX"/>
      <sheetName val="retirement scenarios"/>
      <sheetName val="Deflator"/>
      <sheetName val="ANSv2-692-REGIONS"/>
      <sheetName val="ANSv2-692-Commodities"/>
      <sheetName val="ANSv2-692-Processes"/>
      <sheetName val="ANSv2-692-Constraints"/>
      <sheetName val="ANSv2-692-CommData"/>
      <sheetName val="ANSv2-692-ProcData"/>
      <sheetName val="ANSv2-692-ConstrData"/>
      <sheetName val="ANSv2-692-ITEMS"/>
      <sheetName val="ANSv2-692-TS DATA"/>
      <sheetName val="ANSv2-692-TID DATA"/>
      <sheetName val="ANSv2-692-TS&amp;TID DATA"/>
      <sheetName val="ANSv2-692-TS TRADE"/>
      <sheetName val="ANSv2-692-TID TRADE"/>
      <sheetName val="ANSv2-692-TS&amp;TID TRAD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4">
          <cell r="W4">
            <v>0.89327615502872393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tirement scenarios old"/>
      <sheetName val="retirement scenarios USE THESE"/>
      <sheetName val="new retirement plan"/>
      <sheetName val="electricity demand"/>
      <sheetName val="costs for FGD"/>
    </sheetNames>
    <sheetDataSet>
      <sheetData sheetId="0" refreshError="1"/>
      <sheetData sheetId="1">
        <row r="81">
          <cell r="P81">
            <v>2019</v>
          </cell>
        </row>
      </sheetData>
      <sheetData sheetId="2">
        <row r="43">
          <cell r="G43">
            <v>2028</v>
          </cell>
          <cell r="H43">
            <v>2028</v>
          </cell>
          <cell r="I43">
            <v>2030</v>
          </cell>
          <cell r="J43">
            <v>2030</v>
          </cell>
          <cell r="K43">
            <v>2031</v>
          </cell>
        </row>
        <row r="51">
          <cell r="G51">
            <v>2027</v>
          </cell>
          <cell r="H51">
            <v>2028</v>
          </cell>
          <cell r="I51">
            <v>2028</v>
          </cell>
          <cell r="J51">
            <v>2029</v>
          </cell>
          <cell r="K51">
            <v>2030</v>
          </cell>
          <cell r="L51">
            <v>2031</v>
          </cell>
        </row>
        <row r="52">
          <cell r="G52">
            <v>2025</v>
          </cell>
          <cell r="H52">
            <v>2026</v>
          </cell>
          <cell r="I52">
            <v>2027</v>
          </cell>
          <cell r="J52">
            <v>2027</v>
          </cell>
          <cell r="K52">
            <v>2029</v>
          </cell>
          <cell r="L52">
            <v>2031</v>
          </cell>
        </row>
        <row r="61">
          <cell r="G61">
            <v>2028</v>
          </cell>
          <cell r="H61">
            <v>2028</v>
          </cell>
          <cell r="I61">
            <v>2030</v>
          </cell>
          <cell r="J61">
            <v>2030</v>
          </cell>
          <cell r="K61">
            <v>2031</v>
          </cell>
        </row>
        <row r="63">
          <cell r="G63">
            <v>2026</v>
          </cell>
          <cell r="H63">
            <v>2028</v>
          </cell>
          <cell r="I63">
            <v>2029</v>
          </cell>
          <cell r="J63">
            <v>2029</v>
          </cell>
          <cell r="K63">
            <v>2030</v>
          </cell>
          <cell r="L63">
            <v>2031</v>
          </cell>
        </row>
        <row r="65">
          <cell r="G65">
            <v>2026</v>
          </cell>
          <cell r="H65">
            <v>2027</v>
          </cell>
          <cell r="I65">
            <v>2027</v>
          </cell>
          <cell r="J65">
            <v>2028</v>
          </cell>
          <cell r="K65">
            <v>2030</v>
          </cell>
          <cell r="L65">
            <v>2031</v>
          </cell>
        </row>
        <row r="66">
          <cell r="G66">
            <v>2026</v>
          </cell>
          <cell r="H66">
            <v>2027</v>
          </cell>
          <cell r="I66">
            <v>2028</v>
          </cell>
        </row>
        <row r="67">
          <cell r="J67">
            <v>2029</v>
          </cell>
          <cell r="K67">
            <v>2030</v>
          </cell>
          <cell r="L67">
            <v>2031</v>
          </cell>
        </row>
        <row r="68">
          <cell r="G68">
            <v>2027</v>
          </cell>
          <cell r="H68">
            <v>2027</v>
          </cell>
          <cell r="I68">
            <v>2028</v>
          </cell>
          <cell r="J68">
            <v>2029</v>
          </cell>
          <cell r="K68">
            <v>2030</v>
          </cell>
          <cell r="L68">
            <v>2031</v>
          </cell>
        </row>
        <row r="69">
          <cell r="G69">
            <v>2027</v>
          </cell>
          <cell r="H69">
            <v>2028</v>
          </cell>
          <cell r="I69">
            <v>2028</v>
          </cell>
          <cell r="J69">
            <v>2029</v>
          </cell>
          <cell r="K69">
            <v>2030</v>
          </cell>
          <cell r="L69">
            <v>2031</v>
          </cell>
        </row>
        <row r="70">
          <cell r="G70">
            <v>2025</v>
          </cell>
          <cell r="H70">
            <v>2026</v>
          </cell>
          <cell r="I70">
            <v>2027</v>
          </cell>
          <cell r="J70">
            <v>2027</v>
          </cell>
          <cell r="K70">
            <v>2029</v>
          </cell>
          <cell r="L70">
            <v>2031</v>
          </cell>
        </row>
      </sheetData>
      <sheetData sheetId="3" refreshError="1"/>
      <sheetData sheetId="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C32653E5-43C3-4829-B5E4-0A2FE24BC648}" userId="Bruno Merven" providerId="None"/>
  <person displayName="bruno merven" id="{308666E5-D28E-418E-B7E7-F6D9F22CA4C0}" userId="144eb91ed0ec6402" providerId="Windows Live"/>
  <person displayName="Guy Cunliffe" id="{E2A908D6-B5FC-447A-A95D-1C578A75BEAD}" userId="S::T0071346@wf.uct.ac.za::35f3db3a-b67d-4fe5-83cb-798b7a170f4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3" dT="2021-06-17T21:17:09.31" personId="{C32653E5-43C3-4829-B5E4-0A2FE24BC648}" id="{D6BE2BCB-194A-4561-848C-3D641DA63CE9}">
    <text>Taken from EPRI 2017 (diff between with FGD and without)</text>
  </threadedComment>
  <threadedComment ref="M3" dT="2021-06-17T21:17:31.63" personId="{C32653E5-43C3-4829-B5E4-0A2FE24BC648}" id="{34470E80-6EFF-492B-B043-510D6355E5A1}">
    <text>Based on Medupi cost from Eskom</text>
  </threadedComment>
  <threadedComment ref="N3" dT="2020-06-29T15:36:13.50" personId="{308666E5-D28E-418E-B7E7-F6D9F22CA4C0}" id="{61B4C5D0-6230-4E3C-A6FF-96D7F134D6E4}">
    <text>-ve lead times means that capacity will show +ve the year NCAP is +ve</text>
  </threadedComment>
  <threadedComment ref="I9" dT="2021-06-17T21:36:13.31" personId="{C32653E5-43C3-4829-B5E4-0A2FE24BC648}" id="{802292D2-A58E-4186-84FD-92D56B0D268C}">
    <text>From Kusile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R11" dT="2023-03-21T08:22:09.01" personId="{E2A908D6-B5FC-447A-A95D-1C578A75BEAD}" id="{257C1785-4088-424C-8C77-42576C9EBD7A}">
    <text>Assumed units in Table 5 to the right are in 1000 ZAR not 1000000 ZAR (otherwise FGD would cost R17 trillion!)</text>
  </threadedComment>
  <threadedComment ref="P13" dT="2023-03-21T08:14:25.10" personId="{E2A908D6-B5FC-447A-A95D-1C578A75BEAD}" id="{081A5CF9-2741-48FD-9B06-DBEB1445DC14}">
    <text>Assume ratio as per cells D14/D15</text>
  </threadedComment>
  <threadedComment ref="P14" dT="2023-03-21T08:14:25.10" personId="{E2A908D6-B5FC-447A-A95D-1C578A75BEAD}" id="{6ADD44AC-8E57-49E9-B457-8A6775E0F685}">
    <text>Assume ratio as per cells D14/D15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59" dT="2020-06-23T09:11:01.50" personId="{308666E5-D28E-418E-B7E7-F6D9F22CA4C0}" id="{CAC039C3-45A0-4B24-8903-AB355E0E78BF}">
    <text>taken from ppt and 
not from 28 April letter.</text>
  </threadedComment>
  <threadedComment ref="G101" dT="2020-06-23T09:11:01.50" personId="{308666E5-D28E-418E-B7E7-F6D9F22CA4C0}" id="{A56F49DA-77CC-4F58-81C5-A287A6927C03}">
    <text>taken from ppt and 
not from 28 April letter.</text>
  </threadedComment>
  <threadedComment ref="G141" dT="2020-06-23T09:11:01.50" personId="{308666E5-D28E-418E-B7E7-F6D9F22CA4C0}" id="{39922491-4338-4961-9DD1-73A0A449A8E3}">
    <text>taken from ppt and 
not from 28 April letter.</text>
  </threadedComment>
  <threadedComment ref="G159" dT="2020-06-23T09:11:01.50" personId="{308666E5-D28E-418E-B7E7-F6D9F22CA4C0}" id="{08EC9000-65E3-4915-ADBE-69B3AE93E2CC}">
    <text>taken from ppt and 
not from 28 April letter.</text>
  </threadedComment>
  <threadedComment ref="G176" dT="2020-06-23T09:11:01.50" personId="{308666E5-D28E-418E-B7E7-F6D9F22CA4C0}" id="{B3F8E481-AAA2-4AAF-B09A-C6B3D1D8F054}">
    <text>taken from ppt and 
not from 28 April letter.</text>
  </threadedComment>
  <threadedComment ref="G195" dT="2020-06-23T09:11:01.50" personId="{308666E5-D28E-418E-B7E7-F6D9F22CA4C0}" id="{D7EE6B3F-A32E-4164-8C15-0454271B7E95}">
    <text>taken from ppt and 
not from 28 April letter.</text>
  </threadedComment>
  <threadedComment ref="G213" dT="2020-06-23T09:11:01.50" personId="{308666E5-D28E-418E-B7E7-F6D9F22CA4C0}" id="{E44EAD9C-85E6-4AB2-9A14-13EEF62E654A}">
    <text>taken from ppt and 
not from 28 April letter.</text>
  </threadedComment>
  <threadedComment ref="G230" dT="2020-06-23T09:11:01.50" personId="{308666E5-D28E-418E-B7E7-F6D9F22CA4C0}" id="{BDF00AA0-7C8B-4D54-B0DE-3A893B061826}">
    <text>taken from ppt and 
not from 28 April letter.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3.emf"/><Relationship Id="rId18" Type="http://schemas.openxmlformats.org/officeDocument/2006/relationships/comments" Target="../comments3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12" Type="http://schemas.openxmlformats.org/officeDocument/2006/relationships/control" Target="../activeX/activeX23.xml"/><Relationship Id="rId17" Type="http://schemas.openxmlformats.org/officeDocument/2006/relationships/image" Target="../media/image25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2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5" Type="http://schemas.openxmlformats.org/officeDocument/2006/relationships/image" Target="../media/image24.emf"/><Relationship Id="rId10" Type="http://schemas.openxmlformats.org/officeDocument/2006/relationships/control" Target="../activeX/activeX22.xml"/><Relationship Id="rId19" Type="http://schemas.microsoft.com/office/2017/10/relationships/threadedComment" Target="../threadedComments/threadedComment1.xml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Relationship Id="rId14" Type="http://schemas.openxmlformats.org/officeDocument/2006/relationships/control" Target="../activeX/activeX2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image" Target="../media/image30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12" Type="http://schemas.openxmlformats.org/officeDocument/2006/relationships/control" Target="../activeX/activeX30.xml"/><Relationship Id="rId17" Type="http://schemas.openxmlformats.org/officeDocument/2006/relationships/image" Target="../media/image32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3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7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5" Type="http://schemas.openxmlformats.org/officeDocument/2006/relationships/image" Target="../media/image31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28.emf"/><Relationship Id="rId14" Type="http://schemas.openxmlformats.org/officeDocument/2006/relationships/control" Target="../activeX/activeX3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18" Type="http://schemas.openxmlformats.org/officeDocument/2006/relationships/comments" Target="../comments5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hyperlink" Target="https://www.dailymaverick.co.za/article/2023-02-26-25-years-in-the-making-the-real-reasons-we-have-rolling-blackouts-according-to-de-ruyter/" TargetMode="External"/><Relationship Id="rId1" Type="http://schemas.openxmlformats.org/officeDocument/2006/relationships/hyperlink" Target="https://cer.org.za/wp-content/uploads/2021/12/App-B-474-10175-Medupi-FGD-Technology-Study-Report-Rev-2-0-FINAL.pdf" TargetMode="Externa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6.xml"/><Relationship Id="rId4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9.xml"/><Relationship Id="rId4" Type="http://schemas.microsoft.com/office/2017/10/relationships/threadedComment" Target="../threadedComments/threadedComment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search.worldbank.org/data?qterm=gdp%20deflator%20%22south%20africa%22&amp;language=EN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4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3.emf"/><Relationship Id="rId4" Type="http://schemas.openxmlformats.org/officeDocument/2006/relationships/control" Target="../activeX/activeX4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6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3.xml"/><Relationship Id="rId5" Type="http://schemas.openxmlformats.org/officeDocument/2006/relationships/image" Target="../media/image45.emf"/><Relationship Id="rId4" Type="http://schemas.openxmlformats.org/officeDocument/2006/relationships/control" Target="../activeX/activeX42.xml"/><Relationship Id="rId9" Type="http://schemas.openxmlformats.org/officeDocument/2006/relationships/image" Target="../media/image47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6.xml"/><Relationship Id="rId5" Type="http://schemas.openxmlformats.org/officeDocument/2006/relationships/image" Target="../media/image48.emf"/><Relationship Id="rId4" Type="http://schemas.openxmlformats.org/officeDocument/2006/relationships/control" Target="../activeX/activeX45.xml"/><Relationship Id="rId9" Type="http://schemas.openxmlformats.org/officeDocument/2006/relationships/image" Target="../media/image50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9.xml"/><Relationship Id="rId5" Type="http://schemas.openxmlformats.org/officeDocument/2006/relationships/image" Target="../media/image51.emf"/><Relationship Id="rId4" Type="http://schemas.openxmlformats.org/officeDocument/2006/relationships/control" Target="../activeX/activeX48.xml"/><Relationship Id="rId9" Type="http://schemas.openxmlformats.org/officeDocument/2006/relationships/image" Target="../media/image5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8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5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2.xml"/><Relationship Id="rId11" Type="http://schemas.openxmlformats.org/officeDocument/2006/relationships/image" Target="../media/image57.emf"/><Relationship Id="rId5" Type="http://schemas.openxmlformats.org/officeDocument/2006/relationships/image" Target="../media/image54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6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63.emf"/><Relationship Id="rId18" Type="http://schemas.openxmlformats.org/officeDocument/2006/relationships/comments" Target="../comments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0.emf"/><Relationship Id="rId12" Type="http://schemas.openxmlformats.org/officeDocument/2006/relationships/control" Target="../activeX/activeX60.xml"/><Relationship Id="rId17" Type="http://schemas.openxmlformats.org/officeDocument/2006/relationships/image" Target="../media/image65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62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57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5" Type="http://schemas.openxmlformats.org/officeDocument/2006/relationships/image" Target="../media/image64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1.emf"/><Relationship Id="rId14" Type="http://schemas.openxmlformats.org/officeDocument/2006/relationships/control" Target="../activeX/activeX6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70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67.emf"/><Relationship Id="rId12" Type="http://schemas.openxmlformats.org/officeDocument/2006/relationships/control" Target="../activeX/activeX67.xml"/><Relationship Id="rId17" Type="http://schemas.openxmlformats.org/officeDocument/2006/relationships/image" Target="../media/image72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69.xml"/><Relationship Id="rId20" Type="http://schemas.openxmlformats.org/officeDocument/2006/relationships/comments" Target="../comments9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4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5" Type="http://schemas.openxmlformats.org/officeDocument/2006/relationships/image" Target="../media/image71.emf"/><Relationship Id="rId10" Type="http://schemas.openxmlformats.org/officeDocument/2006/relationships/control" Target="../activeX/activeX66.xml"/><Relationship Id="rId19" Type="http://schemas.openxmlformats.org/officeDocument/2006/relationships/image" Target="../media/image73.emf"/><Relationship Id="rId4" Type="http://schemas.openxmlformats.org/officeDocument/2006/relationships/control" Target="../activeX/activeX63.xml"/><Relationship Id="rId9" Type="http://schemas.openxmlformats.org/officeDocument/2006/relationships/image" Target="../media/image68.emf"/><Relationship Id="rId14" Type="http://schemas.openxmlformats.org/officeDocument/2006/relationships/control" Target="../activeX/activeX6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5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2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7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82.emf"/><Relationship Id="rId18" Type="http://schemas.openxmlformats.org/officeDocument/2006/relationships/control" Target="../activeX/activeX82.xml"/><Relationship Id="rId3" Type="http://schemas.openxmlformats.org/officeDocument/2006/relationships/vmlDrawing" Target="../drawings/vmlDrawing19.vml"/><Relationship Id="rId21" Type="http://schemas.openxmlformats.org/officeDocument/2006/relationships/image" Target="../media/image86.emf"/><Relationship Id="rId7" Type="http://schemas.openxmlformats.org/officeDocument/2006/relationships/image" Target="../media/image79.emf"/><Relationship Id="rId12" Type="http://schemas.openxmlformats.org/officeDocument/2006/relationships/control" Target="../activeX/activeX79.xml"/><Relationship Id="rId17" Type="http://schemas.openxmlformats.org/officeDocument/2006/relationships/image" Target="../media/image84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81.xml"/><Relationship Id="rId20" Type="http://schemas.openxmlformats.org/officeDocument/2006/relationships/control" Target="../activeX/activeX83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6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5" Type="http://schemas.openxmlformats.org/officeDocument/2006/relationships/image" Target="../media/image83.emf"/><Relationship Id="rId23" Type="http://schemas.openxmlformats.org/officeDocument/2006/relationships/image" Target="../media/image87.emf"/><Relationship Id="rId10" Type="http://schemas.openxmlformats.org/officeDocument/2006/relationships/control" Target="../activeX/activeX78.xml"/><Relationship Id="rId19" Type="http://schemas.openxmlformats.org/officeDocument/2006/relationships/image" Target="../media/image85.emf"/><Relationship Id="rId4" Type="http://schemas.openxmlformats.org/officeDocument/2006/relationships/control" Target="../activeX/activeX75.xml"/><Relationship Id="rId9" Type="http://schemas.openxmlformats.org/officeDocument/2006/relationships/image" Target="../media/image80.emf"/><Relationship Id="rId14" Type="http://schemas.openxmlformats.org/officeDocument/2006/relationships/control" Target="../activeX/activeX80.xml"/><Relationship Id="rId22" Type="http://schemas.openxmlformats.org/officeDocument/2006/relationships/control" Target="../activeX/activeX8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13" Type="http://schemas.openxmlformats.org/officeDocument/2006/relationships/image" Target="../media/image92.emf"/><Relationship Id="rId18" Type="http://schemas.openxmlformats.org/officeDocument/2006/relationships/control" Target="../activeX/activeX92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89.emf"/><Relationship Id="rId12" Type="http://schemas.openxmlformats.org/officeDocument/2006/relationships/control" Target="../activeX/activeX89.xml"/><Relationship Id="rId17" Type="http://schemas.openxmlformats.org/officeDocument/2006/relationships/image" Target="../media/image94.emf"/><Relationship Id="rId2" Type="http://schemas.openxmlformats.org/officeDocument/2006/relationships/drawing" Target="../drawings/drawing19.xml"/><Relationship Id="rId16" Type="http://schemas.openxmlformats.org/officeDocument/2006/relationships/control" Target="../activeX/activeX9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86.xml"/><Relationship Id="rId11" Type="http://schemas.openxmlformats.org/officeDocument/2006/relationships/image" Target="../media/image91.emf"/><Relationship Id="rId5" Type="http://schemas.openxmlformats.org/officeDocument/2006/relationships/image" Target="../media/image88.emf"/><Relationship Id="rId15" Type="http://schemas.openxmlformats.org/officeDocument/2006/relationships/image" Target="../media/image93.emf"/><Relationship Id="rId10" Type="http://schemas.openxmlformats.org/officeDocument/2006/relationships/control" Target="../activeX/activeX88.xml"/><Relationship Id="rId19" Type="http://schemas.openxmlformats.org/officeDocument/2006/relationships/image" Target="../media/image95.emf"/><Relationship Id="rId4" Type="http://schemas.openxmlformats.org/officeDocument/2006/relationships/control" Target="../activeX/activeX85.xml"/><Relationship Id="rId9" Type="http://schemas.openxmlformats.org/officeDocument/2006/relationships/image" Target="../media/image90.emf"/><Relationship Id="rId14" Type="http://schemas.openxmlformats.org/officeDocument/2006/relationships/control" Target="../activeX/activeX9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8.emf"/><Relationship Id="rId13" Type="http://schemas.openxmlformats.org/officeDocument/2006/relationships/control" Target="../activeX/activeX98.xml"/><Relationship Id="rId18" Type="http://schemas.openxmlformats.org/officeDocument/2006/relationships/image" Target="../media/image103.emf"/><Relationship Id="rId3" Type="http://schemas.openxmlformats.org/officeDocument/2006/relationships/control" Target="../activeX/activeX93.xml"/><Relationship Id="rId21" Type="http://schemas.openxmlformats.org/officeDocument/2006/relationships/control" Target="../activeX/activeX102.xml"/><Relationship Id="rId7" Type="http://schemas.openxmlformats.org/officeDocument/2006/relationships/control" Target="../activeX/activeX95.xml"/><Relationship Id="rId12" Type="http://schemas.openxmlformats.org/officeDocument/2006/relationships/image" Target="../media/image100.emf"/><Relationship Id="rId17" Type="http://schemas.openxmlformats.org/officeDocument/2006/relationships/control" Target="../activeX/activeX100.xml"/><Relationship Id="rId2" Type="http://schemas.openxmlformats.org/officeDocument/2006/relationships/vmlDrawing" Target="../drawings/vmlDrawing21.vml"/><Relationship Id="rId16" Type="http://schemas.openxmlformats.org/officeDocument/2006/relationships/image" Target="../media/image102.emf"/><Relationship Id="rId20" Type="http://schemas.openxmlformats.org/officeDocument/2006/relationships/image" Target="../media/image104.emf"/><Relationship Id="rId1" Type="http://schemas.openxmlformats.org/officeDocument/2006/relationships/drawing" Target="../drawings/drawing20.xml"/><Relationship Id="rId6" Type="http://schemas.openxmlformats.org/officeDocument/2006/relationships/image" Target="../media/image97.emf"/><Relationship Id="rId11" Type="http://schemas.openxmlformats.org/officeDocument/2006/relationships/control" Target="../activeX/activeX97.xml"/><Relationship Id="rId5" Type="http://schemas.openxmlformats.org/officeDocument/2006/relationships/control" Target="../activeX/activeX94.xml"/><Relationship Id="rId15" Type="http://schemas.openxmlformats.org/officeDocument/2006/relationships/control" Target="../activeX/activeX99.xml"/><Relationship Id="rId10" Type="http://schemas.openxmlformats.org/officeDocument/2006/relationships/image" Target="../media/image99.emf"/><Relationship Id="rId19" Type="http://schemas.openxmlformats.org/officeDocument/2006/relationships/control" Target="../activeX/activeX101.xml"/><Relationship Id="rId4" Type="http://schemas.openxmlformats.org/officeDocument/2006/relationships/image" Target="../media/image96.emf"/><Relationship Id="rId9" Type="http://schemas.openxmlformats.org/officeDocument/2006/relationships/control" Target="../activeX/activeX96.xml"/><Relationship Id="rId14" Type="http://schemas.openxmlformats.org/officeDocument/2006/relationships/image" Target="../media/image101.emf"/><Relationship Id="rId22" Type="http://schemas.openxmlformats.org/officeDocument/2006/relationships/image" Target="../media/image105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8.emf"/><Relationship Id="rId13" Type="http://schemas.openxmlformats.org/officeDocument/2006/relationships/control" Target="../activeX/activeX108.xml"/><Relationship Id="rId18" Type="http://schemas.openxmlformats.org/officeDocument/2006/relationships/image" Target="../media/image113.emf"/><Relationship Id="rId3" Type="http://schemas.openxmlformats.org/officeDocument/2006/relationships/control" Target="../activeX/activeX103.xml"/><Relationship Id="rId21" Type="http://schemas.openxmlformats.org/officeDocument/2006/relationships/control" Target="../activeX/activeX112.xml"/><Relationship Id="rId7" Type="http://schemas.openxmlformats.org/officeDocument/2006/relationships/control" Target="../activeX/activeX105.xml"/><Relationship Id="rId12" Type="http://schemas.openxmlformats.org/officeDocument/2006/relationships/image" Target="../media/image110.emf"/><Relationship Id="rId17" Type="http://schemas.openxmlformats.org/officeDocument/2006/relationships/control" Target="../activeX/activeX110.xml"/><Relationship Id="rId2" Type="http://schemas.openxmlformats.org/officeDocument/2006/relationships/vmlDrawing" Target="../drawings/vmlDrawing22.vml"/><Relationship Id="rId16" Type="http://schemas.openxmlformats.org/officeDocument/2006/relationships/image" Target="../media/image112.emf"/><Relationship Id="rId20" Type="http://schemas.openxmlformats.org/officeDocument/2006/relationships/image" Target="../media/image114.emf"/><Relationship Id="rId1" Type="http://schemas.openxmlformats.org/officeDocument/2006/relationships/drawing" Target="../drawings/drawing21.xml"/><Relationship Id="rId6" Type="http://schemas.openxmlformats.org/officeDocument/2006/relationships/image" Target="../media/image107.emf"/><Relationship Id="rId11" Type="http://schemas.openxmlformats.org/officeDocument/2006/relationships/control" Target="../activeX/activeX107.xml"/><Relationship Id="rId5" Type="http://schemas.openxmlformats.org/officeDocument/2006/relationships/control" Target="../activeX/activeX104.xml"/><Relationship Id="rId15" Type="http://schemas.openxmlformats.org/officeDocument/2006/relationships/control" Target="../activeX/activeX109.xml"/><Relationship Id="rId10" Type="http://schemas.openxmlformats.org/officeDocument/2006/relationships/image" Target="../media/image109.emf"/><Relationship Id="rId19" Type="http://schemas.openxmlformats.org/officeDocument/2006/relationships/control" Target="../activeX/activeX111.xml"/><Relationship Id="rId4" Type="http://schemas.openxmlformats.org/officeDocument/2006/relationships/image" Target="../media/image106.emf"/><Relationship Id="rId9" Type="http://schemas.openxmlformats.org/officeDocument/2006/relationships/control" Target="../activeX/activeX106.xml"/><Relationship Id="rId14" Type="http://schemas.openxmlformats.org/officeDocument/2006/relationships/image" Target="../media/image111.emf"/><Relationship Id="rId22" Type="http://schemas.openxmlformats.org/officeDocument/2006/relationships/image" Target="../media/image115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5.xml"/><Relationship Id="rId13" Type="http://schemas.openxmlformats.org/officeDocument/2006/relationships/image" Target="../media/image120.emf"/><Relationship Id="rId18" Type="http://schemas.openxmlformats.org/officeDocument/2006/relationships/control" Target="../activeX/activeX120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17.emf"/><Relationship Id="rId12" Type="http://schemas.openxmlformats.org/officeDocument/2006/relationships/control" Target="../activeX/activeX117.xml"/><Relationship Id="rId17" Type="http://schemas.openxmlformats.org/officeDocument/2006/relationships/image" Target="../media/image122.emf"/><Relationship Id="rId2" Type="http://schemas.openxmlformats.org/officeDocument/2006/relationships/drawing" Target="../drawings/drawing22.xml"/><Relationship Id="rId16" Type="http://schemas.openxmlformats.org/officeDocument/2006/relationships/control" Target="../activeX/activeX119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14.xml"/><Relationship Id="rId11" Type="http://schemas.openxmlformats.org/officeDocument/2006/relationships/image" Target="../media/image119.emf"/><Relationship Id="rId5" Type="http://schemas.openxmlformats.org/officeDocument/2006/relationships/image" Target="../media/image116.emf"/><Relationship Id="rId15" Type="http://schemas.openxmlformats.org/officeDocument/2006/relationships/image" Target="../media/image121.emf"/><Relationship Id="rId10" Type="http://schemas.openxmlformats.org/officeDocument/2006/relationships/control" Target="../activeX/activeX116.xml"/><Relationship Id="rId19" Type="http://schemas.openxmlformats.org/officeDocument/2006/relationships/image" Target="../media/image123.emf"/><Relationship Id="rId4" Type="http://schemas.openxmlformats.org/officeDocument/2006/relationships/control" Target="../activeX/activeX113.xml"/><Relationship Id="rId9" Type="http://schemas.openxmlformats.org/officeDocument/2006/relationships/image" Target="../media/image118.emf"/><Relationship Id="rId14" Type="http://schemas.openxmlformats.org/officeDocument/2006/relationships/control" Target="../activeX/activeX118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3.xml"/><Relationship Id="rId13" Type="http://schemas.openxmlformats.org/officeDocument/2006/relationships/image" Target="../media/image128.emf"/><Relationship Id="rId18" Type="http://schemas.openxmlformats.org/officeDocument/2006/relationships/control" Target="../activeX/activeX128.xml"/><Relationship Id="rId3" Type="http://schemas.openxmlformats.org/officeDocument/2006/relationships/vmlDrawing" Target="../drawings/vmlDrawing24.vml"/><Relationship Id="rId21" Type="http://schemas.openxmlformats.org/officeDocument/2006/relationships/image" Target="../media/image132.emf"/><Relationship Id="rId7" Type="http://schemas.openxmlformats.org/officeDocument/2006/relationships/image" Target="../media/image125.emf"/><Relationship Id="rId12" Type="http://schemas.openxmlformats.org/officeDocument/2006/relationships/control" Target="../activeX/activeX125.xml"/><Relationship Id="rId17" Type="http://schemas.openxmlformats.org/officeDocument/2006/relationships/image" Target="../media/image130.emf"/><Relationship Id="rId2" Type="http://schemas.openxmlformats.org/officeDocument/2006/relationships/drawing" Target="../drawings/drawing23.xml"/><Relationship Id="rId16" Type="http://schemas.openxmlformats.org/officeDocument/2006/relationships/control" Target="../activeX/activeX127.xml"/><Relationship Id="rId20" Type="http://schemas.openxmlformats.org/officeDocument/2006/relationships/control" Target="../activeX/activeX129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22.xml"/><Relationship Id="rId11" Type="http://schemas.openxmlformats.org/officeDocument/2006/relationships/image" Target="../media/image127.emf"/><Relationship Id="rId5" Type="http://schemas.openxmlformats.org/officeDocument/2006/relationships/image" Target="../media/image124.emf"/><Relationship Id="rId15" Type="http://schemas.openxmlformats.org/officeDocument/2006/relationships/image" Target="../media/image129.emf"/><Relationship Id="rId23" Type="http://schemas.openxmlformats.org/officeDocument/2006/relationships/image" Target="../media/image133.emf"/><Relationship Id="rId10" Type="http://schemas.openxmlformats.org/officeDocument/2006/relationships/control" Target="../activeX/activeX124.xml"/><Relationship Id="rId19" Type="http://schemas.openxmlformats.org/officeDocument/2006/relationships/image" Target="../media/image131.emf"/><Relationship Id="rId4" Type="http://schemas.openxmlformats.org/officeDocument/2006/relationships/control" Target="../activeX/activeX121.xml"/><Relationship Id="rId9" Type="http://schemas.openxmlformats.org/officeDocument/2006/relationships/image" Target="../media/image126.emf"/><Relationship Id="rId14" Type="http://schemas.openxmlformats.org/officeDocument/2006/relationships/control" Target="../activeX/activeX126.xml"/><Relationship Id="rId22" Type="http://schemas.openxmlformats.org/officeDocument/2006/relationships/control" Target="../activeX/activeX1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AnsHome"/>
  <dimension ref="A1:D22"/>
  <sheetViews>
    <sheetView workbookViewId="0"/>
    <sheetView workbookViewId="1"/>
  </sheetViews>
  <sheetFormatPr defaultRowHeight="12.75" x14ac:dyDescent="0.2"/>
  <cols>
    <col min="1" max="1" width="16.5703125" customWidth="1"/>
  </cols>
  <sheetData>
    <row r="1" spans="1:4" x14ac:dyDescent="0.2">
      <c r="A1" s="1" t="s">
        <v>114</v>
      </c>
    </row>
    <row r="15" spans="1:4" x14ac:dyDescent="0.2">
      <c r="B15" s="2"/>
      <c r="C15" s="3"/>
      <c r="D15" s="4"/>
    </row>
    <row r="16" spans="1:4" x14ac:dyDescent="0.2">
      <c r="B16" s="5"/>
      <c r="C16" s="6"/>
      <c r="D16" s="7"/>
    </row>
    <row r="17" spans="2:4" x14ac:dyDescent="0.2">
      <c r="B17" s="5"/>
      <c r="C17" s="6"/>
      <c r="D17" s="7"/>
    </row>
    <row r="18" spans="2:4" x14ac:dyDescent="0.2">
      <c r="B18" s="5"/>
      <c r="C18" s="6"/>
      <c r="D18" s="7"/>
    </row>
    <row r="19" spans="2:4" x14ac:dyDescent="0.2">
      <c r="B19" s="5"/>
      <c r="C19" s="6"/>
      <c r="D19" s="7"/>
    </row>
    <row r="20" spans="2:4" x14ac:dyDescent="0.2">
      <c r="B20" s="5"/>
      <c r="C20" s="6"/>
      <c r="D20" s="7"/>
    </row>
    <row r="21" spans="2:4" x14ac:dyDescent="0.2">
      <c r="B21" s="5"/>
      <c r="C21" s="6"/>
      <c r="D21" s="7"/>
    </row>
    <row r="22" spans="2:4" x14ac:dyDescent="0.2">
      <c r="B22" s="8"/>
      <c r="C22" s="9"/>
      <c r="D22" s="10"/>
    </row>
  </sheetData>
  <phoneticPr fontId="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cmdUpdate">
          <controlPr defaultSize="0" disabled="1" autoLine="0" r:id="rId5">
            <anchor moveWithCells="1">
              <from>
                <xdr:col>1</xdr:col>
                <xdr:colOff>9525</xdr:colOff>
                <xdr:row>7</xdr:row>
                <xdr:rowOff>95250</xdr:rowOff>
              </from>
              <to>
                <xdr:col>3</xdr:col>
                <xdr:colOff>238125</xdr:colOff>
                <xdr:row>12</xdr:row>
                <xdr:rowOff>123825</xdr:rowOff>
              </to>
            </anchor>
          </controlPr>
        </control>
      </mc:Choice>
      <mc:Fallback>
        <control shapeId="12289" r:id="rId4" name="cmdUpdate"/>
      </mc:Fallback>
    </mc:AlternateContent>
    <mc:AlternateContent xmlns:mc="http://schemas.openxmlformats.org/markup-compatibility/2006">
      <mc:Choice Requires="x14">
        <control shapeId="12291" r:id="rId6" name="cmdAddNewAnswerSheet">
          <controlPr defaultSize="0" autoLine="0" r:id="rId7">
            <anchor moveWithCells="1">
              <from>
                <xdr:col>1</xdr:col>
                <xdr:colOff>0</xdr:colOff>
                <xdr:row>24</xdr:row>
                <xdr:rowOff>9525</xdr:rowOff>
              </from>
              <to>
                <xdr:col>3</xdr:col>
                <xdr:colOff>228600</xdr:colOff>
                <xdr:row>28</xdr:row>
                <xdr:rowOff>85725</xdr:rowOff>
              </to>
            </anchor>
          </controlPr>
        </control>
      </mc:Choice>
      <mc:Fallback>
        <control shapeId="12291" r:id="rId6" name="cmdAddNewAnswerSheet"/>
      </mc:Fallback>
    </mc:AlternateContent>
    <mc:AlternateContent xmlns:mc="http://schemas.openxmlformats.org/markup-compatibility/2006">
      <mc:Choice Requires="x14">
        <control shapeId="12293" r:id="rId8" name="cmdCreateNewXLS">
          <controlPr defaultSize="0" disabled="1"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3</xdr:col>
                <xdr:colOff>238125</xdr:colOff>
                <xdr:row>6</xdr:row>
                <xdr:rowOff>85725</xdr:rowOff>
              </to>
            </anchor>
          </controlPr>
        </control>
      </mc:Choice>
      <mc:Fallback>
        <control shapeId="12293" r:id="rId8" name="cmdCreateNewXLS"/>
      </mc:Fallback>
    </mc:AlternateContent>
    <mc:AlternateContent xmlns:mc="http://schemas.openxmlformats.org/markup-compatibility/2006">
      <mc:Choice Requires="x14">
        <control shapeId="12299" r:id="rId10" name="optMultiRegionNotCommon">
          <controlPr defaultSize="0" disabled="1" autoLine="0" r:id="rId11">
            <anchor moveWithCells="1">
              <from>
                <xdr:col>1</xdr:col>
                <xdr:colOff>57150</xdr:colOff>
                <xdr:row>14</xdr:row>
                <xdr:rowOff>114300</xdr:rowOff>
              </from>
              <to>
                <xdr:col>3</xdr:col>
                <xdr:colOff>581025</xdr:colOff>
                <xdr:row>17</xdr:row>
                <xdr:rowOff>9525</xdr:rowOff>
              </to>
            </anchor>
          </controlPr>
        </control>
      </mc:Choice>
      <mc:Fallback>
        <control shapeId="12299" r:id="rId10" name="optMultiRegionNotCommon"/>
      </mc:Fallback>
    </mc:AlternateContent>
    <mc:AlternateContent xmlns:mc="http://schemas.openxmlformats.org/markup-compatibility/2006">
      <mc:Choice Requires="x14">
        <control shapeId="12300" r:id="rId12" name="optMultiRegionCommon">
          <controlPr defaultSize="0" autoLine="0" r:id="rId13">
            <anchor moveWithCells="1">
              <from>
                <xdr:col>1</xdr:col>
                <xdr:colOff>47625</xdr:colOff>
                <xdr:row>17</xdr:row>
                <xdr:rowOff>28575</xdr:rowOff>
              </from>
              <to>
                <xdr:col>3</xdr:col>
                <xdr:colOff>552450</xdr:colOff>
                <xdr:row>21</xdr:row>
                <xdr:rowOff>152400</xdr:rowOff>
              </to>
            </anchor>
          </controlPr>
        </control>
      </mc:Choice>
      <mc:Fallback>
        <control shapeId="12300" r:id="rId12" name="optMultiRegionComm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9FEB6-478C-43F2-94F4-17F2867BB42B}">
  <sheetPr codeName="Sheet21">
    <tabColor theme="9"/>
  </sheetPr>
  <dimension ref="B1:H4"/>
  <sheetViews>
    <sheetView workbookViewId="0">
      <selection activeCell="A5" sqref="A5:XFD19"/>
    </sheetView>
    <sheetView workbookViewId="1"/>
  </sheetViews>
  <sheetFormatPr defaultRowHeight="12.75" x14ac:dyDescent="0.2"/>
  <cols>
    <col min="2" max="2" width="18.7109375" bestFit="1" customWidth="1"/>
    <col min="4" max="4" width="34.5703125" customWidth="1"/>
    <col min="5" max="5" width="58.85546875" customWidth="1"/>
    <col min="7" max="7" width="39" customWidth="1"/>
  </cols>
  <sheetData>
    <row r="1" spans="2:8" ht="15" x14ac:dyDescent="0.25">
      <c r="G1" s="85" t="s">
        <v>237</v>
      </c>
      <c r="H1" s="87" t="s">
        <v>185</v>
      </c>
    </row>
    <row r="2" spans="2:8" x14ac:dyDescent="0.2">
      <c r="G2" s="85" t="s">
        <v>238</v>
      </c>
      <c r="H2" s="85" t="s">
        <v>236</v>
      </c>
    </row>
    <row r="3" spans="2:8" ht="18" thickBot="1" x14ac:dyDescent="0.35">
      <c r="B3" s="86" t="s">
        <v>231</v>
      </c>
      <c r="C3" s="86"/>
      <c r="D3" t="s">
        <v>245</v>
      </c>
      <c r="E3" t="s">
        <v>15</v>
      </c>
      <c r="G3" s="85" t="s">
        <v>239</v>
      </c>
      <c r="H3" s="85" t="s">
        <v>185</v>
      </c>
    </row>
    <row r="4" spans="2:8" ht="13.5" thickTop="1" x14ac:dyDescent="0.2">
      <c r="D4" t="s">
        <v>246</v>
      </c>
      <c r="E4" t="s">
        <v>247</v>
      </c>
    </row>
  </sheetData>
  <dataValidations count="1">
    <dataValidation type="list" allowBlank="1" showInputMessage="1" showErrorMessage="1" sqref="H1" xr:uid="{11740153-8AEB-4745-9947-5191B8A11991}">
      <formula1>$H$2:$H$3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4C3F5-275F-4228-88BD-A2EC2F6EF68F}">
  <sheetPr codeName="Sheet23">
    <tabColor rgb="FF00B0F0"/>
  </sheetPr>
  <dimension ref="A1:J42"/>
  <sheetViews>
    <sheetView workbookViewId="0">
      <selection activeCell="A23" sqref="A23:XFD23"/>
    </sheetView>
    <sheetView workbookViewId="1"/>
  </sheetViews>
  <sheetFormatPr defaultColWidth="9.140625" defaultRowHeight="11.25" x14ac:dyDescent="0.2"/>
  <cols>
    <col min="1" max="1" width="13.5703125" style="39" customWidth="1"/>
    <col min="2" max="2" width="16.140625" style="39" customWidth="1"/>
    <col min="3" max="3" width="45.42578125" style="39" customWidth="1"/>
    <col min="4" max="4" width="11.140625" style="39" customWidth="1"/>
    <col min="5" max="5" width="29.28515625" style="39" customWidth="1"/>
    <col min="6" max="6" width="10.42578125" style="39" customWidth="1"/>
    <col min="7" max="16384" width="9.140625" style="39"/>
  </cols>
  <sheetData>
    <row r="1" spans="1:6" x14ac:dyDescent="0.2">
      <c r="A1" s="53" t="s">
        <v>249</v>
      </c>
      <c r="B1" s="18" t="s">
        <v>122</v>
      </c>
    </row>
    <row r="2" spans="1:6" ht="12.75" x14ac:dyDescent="0.2">
      <c r="A2" s="51" t="str">
        <f ca="1">MID(CELL("filename",A1),FIND("]",CELL("filename",A1))+1,255)</f>
        <v>Processes</v>
      </c>
    </row>
    <row r="4" spans="1:6" ht="18" customHeight="1" x14ac:dyDescent="0.2"/>
    <row r="7" spans="1:6" x14ac:dyDescent="0.2">
      <c r="B7" s="53" t="s">
        <v>56</v>
      </c>
      <c r="C7" s="53" t="s">
        <v>57</v>
      </c>
      <c r="D7" s="53" t="s">
        <v>93</v>
      </c>
      <c r="E7" s="53" t="s">
        <v>1</v>
      </c>
      <c r="F7" s="53" t="s">
        <v>0</v>
      </c>
    </row>
    <row r="8" spans="1:6" ht="12" x14ac:dyDescent="0.2">
      <c r="A8" s="42" t="s">
        <v>167</v>
      </c>
      <c r="D8" s="25"/>
      <c r="E8" s="25"/>
    </row>
    <row r="9" spans="1:6" x14ac:dyDescent="0.2">
      <c r="B9" s="39" t="s">
        <v>166</v>
      </c>
      <c r="C9" s="39" t="s">
        <v>165</v>
      </c>
      <c r="D9" s="25" t="s">
        <v>125</v>
      </c>
      <c r="E9" s="26" t="str">
        <f>"PRC,ELE,"&amp;Index!$H$1</f>
        <v>PRC,ELE,DAYNITE</v>
      </c>
    </row>
    <row r="10" spans="1:6" x14ac:dyDescent="0.2">
      <c r="B10" s="39" t="s">
        <v>164</v>
      </c>
      <c r="C10" s="39" t="s">
        <v>163</v>
      </c>
      <c r="D10" s="25" t="s">
        <v>125</v>
      </c>
      <c r="E10" s="26" t="str">
        <f>"PRC,ELE,"&amp;Index!$H$1</f>
        <v>PRC,ELE,DAYNITE</v>
      </c>
    </row>
    <row r="11" spans="1:6" x14ac:dyDescent="0.2">
      <c r="B11" s="39" t="s">
        <v>162</v>
      </c>
      <c r="C11" s="39" t="s">
        <v>161</v>
      </c>
      <c r="D11" s="25" t="s">
        <v>125</v>
      </c>
      <c r="E11" s="26" t="str">
        <f>"PRC,ELE,"&amp;Index!$H$1</f>
        <v>PRC,ELE,DAYNITE</v>
      </c>
    </row>
    <row r="12" spans="1:6" x14ac:dyDescent="0.2">
      <c r="B12" s="39" t="s">
        <v>160</v>
      </c>
      <c r="C12" s="39" t="s">
        <v>159</v>
      </c>
      <c r="D12" s="25" t="s">
        <v>125</v>
      </c>
      <c r="E12" s="26" t="str">
        <f>"PRC,ELE,"&amp;Index!$H$1</f>
        <v>PRC,ELE,DAYNITE</v>
      </c>
    </row>
    <row r="13" spans="1:6" x14ac:dyDescent="0.2">
      <c r="B13" s="39" t="s">
        <v>158</v>
      </c>
      <c r="C13" s="39" t="s">
        <v>157</v>
      </c>
      <c r="D13" s="25" t="s">
        <v>125</v>
      </c>
      <c r="E13" s="26" t="str">
        <f>"PRC,ELE,"&amp;Index!$H$1</f>
        <v>PRC,ELE,DAYNITE</v>
      </c>
    </row>
    <row r="14" spans="1:6" x14ac:dyDescent="0.2">
      <c r="B14" s="39" t="s">
        <v>156</v>
      </c>
      <c r="C14" s="39" t="s">
        <v>155</v>
      </c>
      <c r="D14" s="25" t="s">
        <v>125</v>
      </c>
      <c r="E14" s="26" t="str">
        <f>"PRC,ELE,"&amp;Index!$H$1</f>
        <v>PRC,ELE,DAYNITE</v>
      </c>
    </row>
    <row r="15" spans="1:6" ht="12" x14ac:dyDescent="0.2">
      <c r="A15" s="43"/>
      <c r="B15" s="39" t="s">
        <v>154</v>
      </c>
      <c r="C15" s="39" t="s">
        <v>153</v>
      </c>
      <c r="D15" s="25" t="s">
        <v>125</v>
      </c>
      <c r="E15" s="26" t="str">
        <f>"PRC,ELE,"&amp;Index!$H$1</f>
        <v>PRC,ELE,DAYNITE</v>
      </c>
    </row>
    <row r="16" spans="1:6" ht="12" x14ac:dyDescent="0.2">
      <c r="A16" s="43"/>
      <c r="B16" s="39" t="s">
        <v>152</v>
      </c>
      <c r="C16" s="39" t="s">
        <v>151</v>
      </c>
      <c r="D16" s="25" t="s">
        <v>125</v>
      </c>
      <c r="E16" s="26" t="str">
        <f>"PRC,ELE,"&amp;Index!$H$1</f>
        <v>PRC,ELE,DAYNITE</v>
      </c>
    </row>
    <row r="17" spans="1:10" ht="12" x14ac:dyDescent="0.2">
      <c r="A17" s="43"/>
      <c r="B17" s="39" t="s">
        <v>150</v>
      </c>
      <c r="C17" s="39" t="s">
        <v>149</v>
      </c>
      <c r="D17" s="25" t="s">
        <v>125</v>
      </c>
      <c r="E17" s="26" t="str">
        <f>"PRC,ELE,"&amp;Index!$H$1</f>
        <v>PRC,ELE,DAYNITE</v>
      </c>
    </row>
    <row r="18" spans="1:10" ht="12" x14ac:dyDescent="0.2">
      <c r="A18" s="43"/>
      <c r="B18" s="39" t="s">
        <v>148</v>
      </c>
      <c r="C18" s="39" t="s">
        <v>147</v>
      </c>
      <c r="D18" s="25" t="s">
        <v>125</v>
      </c>
      <c r="E18" s="26" t="str">
        <f>"PRC,ELE,"&amp;Index!$H$1</f>
        <v>PRC,ELE,DAYNITE</v>
      </c>
    </row>
    <row r="19" spans="1:10" ht="12" x14ac:dyDescent="0.2">
      <c r="A19" s="43"/>
      <c r="B19" s="39" t="s">
        <v>146</v>
      </c>
      <c r="C19" s="39" t="s">
        <v>145</v>
      </c>
      <c r="D19" s="25" t="s">
        <v>125</v>
      </c>
      <c r="E19" s="26" t="str">
        <f>"PRC,ELE,"&amp;Index!$H$1</f>
        <v>PRC,ELE,DAYNITE</v>
      </c>
    </row>
    <row r="20" spans="1:10" ht="12" x14ac:dyDescent="0.2">
      <c r="A20" s="43"/>
      <c r="B20" s="39" t="s">
        <v>144</v>
      </c>
      <c r="C20" s="39" t="s">
        <v>143</v>
      </c>
      <c r="D20" s="25" t="s">
        <v>125</v>
      </c>
      <c r="E20" s="26" t="str">
        <f>"PRC,ELE,"&amp;Index!$H$1</f>
        <v>PRC,ELE,DAYNITE</v>
      </c>
    </row>
    <row r="21" spans="1:10" ht="12" x14ac:dyDescent="0.2">
      <c r="A21" s="43"/>
      <c r="B21" s="39" t="s">
        <v>142</v>
      </c>
      <c r="C21" s="39" t="s">
        <v>141</v>
      </c>
      <c r="D21" s="25" t="s">
        <v>125</v>
      </c>
      <c r="E21" s="26" t="str">
        <f>"PRC,ELE,"&amp;Index!$H$1</f>
        <v>PRC,ELE,DAYNITE</v>
      </c>
    </row>
    <row r="22" spans="1:10" ht="12" x14ac:dyDescent="0.2">
      <c r="A22" s="43"/>
      <c r="B22" s="39" t="s">
        <v>140</v>
      </c>
      <c r="C22" s="39" t="s">
        <v>139</v>
      </c>
      <c r="D22" s="25" t="s">
        <v>125</v>
      </c>
      <c r="E22" s="26" t="str">
        <f>"PRC,ELE,"&amp;Index!$H$1</f>
        <v>PRC,ELE,DAYNITE</v>
      </c>
    </row>
    <row r="23" spans="1:10" ht="12" x14ac:dyDescent="0.2">
      <c r="A23" s="42" t="s">
        <v>138</v>
      </c>
      <c r="D23" s="25"/>
      <c r="E23" s="26"/>
      <c r="F23" s="18"/>
      <c r="G23" s="41"/>
      <c r="H23" s="41"/>
      <c r="I23" s="25"/>
      <c r="J23" s="25"/>
    </row>
    <row r="24" spans="1:10" ht="12" x14ac:dyDescent="0.2">
      <c r="A24" s="43"/>
      <c r="B24" s="39" t="s">
        <v>137</v>
      </c>
      <c r="C24" s="39" t="s">
        <v>136</v>
      </c>
      <c r="D24" s="25" t="s">
        <v>125</v>
      </c>
      <c r="E24" s="26" t="str">
        <f>"PRC,ELE,"&amp;Index!$H$1</f>
        <v>PRC,ELE,DAYNITE</v>
      </c>
    </row>
    <row r="25" spans="1:10" ht="12" x14ac:dyDescent="0.2">
      <c r="A25" s="43"/>
      <c r="B25" s="39" t="s">
        <v>135</v>
      </c>
      <c r="C25" s="39" t="s">
        <v>134</v>
      </c>
      <c r="D25" s="25" t="s">
        <v>125</v>
      </c>
      <c r="E25" s="26" t="str">
        <f>"PRC,ELE,"&amp;Index!$H$1</f>
        <v>PRC,ELE,DAYNITE</v>
      </c>
    </row>
    <row r="26" spans="1:10" ht="12" x14ac:dyDescent="0.2">
      <c r="A26" s="42" t="s">
        <v>343</v>
      </c>
      <c r="D26" s="25"/>
      <c r="E26" s="25"/>
    </row>
    <row r="27" spans="1:10" x14ac:dyDescent="0.2">
      <c r="B27" s="39" t="s">
        <v>328</v>
      </c>
      <c r="C27" s="39" t="str">
        <f t="shared" ref="C27:C40" si="0">"FGD for "&amp;C9</f>
        <v>FGD for CAMDEN</v>
      </c>
      <c r="D27" s="25" t="s">
        <v>125</v>
      </c>
      <c r="E27" s="26" t="s">
        <v>124</v>
      </c>
    </row>
    <row r="28" spans="1:10" x14ac:dyDescent="0.2">
      <c r="B28" s="39" t="s">
        <v>329</v>
      </c>
      <c r="C28" s="39" t="str">
        <f t="shared" si="0"/>
        <v>FGD for GROOTVLEI</v>
      </c>
      <c r="D28" s="25" t="s">
        <v>125</v>
      </c>
      <c r="E28" s="26" t="s">
        <v>124</v>
      </c>
    </row>
    <row r="29" spans="1:10" x14ac:dyDescent="0.2">
      <c r="B29" s="39" t="s">
        <v>330</v>
      </c>
      <c r="C29" s="39" t="str">
        <f t="shared" si="0"/>
        <v>FGD for KOMATI</v>
      </c>
      <c r="D29" s="25" t="s">
        <v>125</v>
      </c>
      <c r="E29" s="26" t="s">
        <v>124</v>
      </c>
    </row>
    <row r="30" spans="1:10" x14ac:dyDescent="0.2">
      <c r="B30" s="39" t="s">
        <v>331</v>
      </c>
      <c r="C30" s="39" t="str">
        <f t="shared" si="0"/>
        <v>FGD for ARNOT</v>
      </c>
      <c r="D30" s="25" t="s">
        <v>125</v>
      </c>
      <c r="E30" s="26" t="s">
        <v>124</v>
      </c>
    </row>
    <row r="31" spans="1:10" x14ac:dyDescent="0.2">
      <c r="B31" s="39" t="s">
        <v>332</v>
      </c>
      <c r="C31" s="39" t="str">
        <f t="shared" si="0"/>
        <v>FGD for DUVHA</v>
      </c>
      <c r="D31" s="25" t="s">
        <v>125</v>
      </c>
      <c r="E31" s="26" t="s">
        <v>124</v>
      </c>
    </row>
    <row r="32" spans="1:10" x14ac:dyDescent="0.2">
      <c r="B32" s="39" t="s">
        <v>333</v>
      </c>
      <c r="C32" s="39" t="str">
        <f t="shared" si="0"/>
        <v>FGD for HENDRINA</v>
      </c>
      <c r="D32" s="25" t="s">
        <v>125</v>
      </c>
      <c r="E32" s="26" t="s">
        <v>124</v>
      </c>
    </row>
    <row r="33" spans="1:10" ht="12" x14ac:dyDescent="0.2">
      <c r="A33" s="43"/>
      <c r="B33" s="39" t="s">
        <v>334</v>
      </c>
      <c r="C33" s="39" t="str">
        <f t="shared" si="0"/>
        <v>FGD for KENDAL</v>
      </c>
      <c r="D33" s="25" t="s">
        <v>125</v>
      </c>
      <c r="E33" s="26" t="s">
        <v>124</v>
      </c>
    </row>
    <row r="34" spans="1:10" ht="12" x14ac:dyDescent="0.2">
      <c r="A34" s="43"/>
      <c r="B34" s="39" t="s">
        <v>335</v>
      </c>
      <c r="C34" s="39" t="str">
        <f t="shared" si="0"/>
        <v>FGD for KRIEL</v>
      </c>
      <c r="D34" s="25" t="s">
        <v>125</v>
      </c>
      <c r="E34" s="26" t="s">
        <v>124</v>
      </c>
    </row>
    <row r="35" spans="1:10" ht="12" x14ac:dyDescent="0.2">
      <c r="A35" s="43"/>
      <c r="B35" s="39" t="s">
        <v>336</v>
      </c>
      <c r="C35" s="39" t="str">
        <f t="shared" si="0"/>
        <v>FGD for LETHABO</v>
      </c>
      <c r="D35" s="25" t="s">
        <v>125</v>
      </c>
      <c r="E35" s="26" t="s">
        <v>124</v>
      </c>
    </row>
    <row r="36" spans="1:10" ht="12" x14ac:dyDescent="0.2">
      <c r="A36" s="43"/>
      <c r="B36" s="39" t="s">
        <v>337</v>
      </c>
      <c r="C36" s="39" t="str">
        <f t="shared" si="0"/>
        <v>FGD for MAJUBA DRY</v>
      </c>
      <c r="D36" s="25" t="s">
        <v>125</v>
      </c>
      <c r="E36" s="26" t="s">
        <v>124</v>
      </c>
    </row>
    <row r="37" spans="1:10" ht="12" x14ac:dyDescent="0.2">
      <c r="A37" s="43"/>
      <c r="B37" s="39" t="s">
        <v>338</v>
      </c>
      <c r="C37" s="39" t="str">
        <f t="shared" si="0"/>
        <v>FGD for MAJUBA WET</v>
      </c>
      <c r="D37" s="25" t="s">
        <v>125</v>
      </c>
      <c r="E37" s="26" t="s">
        <v>124</v>
      </c>
    </row>
    <row r="38" spans="1:10" ht="12" x14ac:dyDescent="0.2">
      <c r="A38" s="43"/>
      <c r="B38" s="39" t="s">
        <v>339</v>
      </c>
      <c r="C38" s="39" t="str">
        <f t="shared" si="0"/>
        <v>FGD for MATIMBA</v>
      </c>
      <c r="D38" s="25" t="s">
        <v>125</v>
      </c>
      <c r="E38" s="26" t="s">
        <v>124</v>
      </c>
    </row>
    <row r="39" spans="1:10" ht="12" x14ac:dyDescent="0.2">
      <c r="A39" s="43"/>
      <c r="B39" s="39" t="s">
        <v>340</v>
      </c>
      <c r="C39" s="39" t="str">
        <f t="shared" si="0"/>
        <v>FGD for MATLA</v>
      </c>
      <c r="D39" s="25" t="s">
        <v>125</v>
      </c>
      <c r="E39" s="26" t="s">
        <v>124</v>
      </c>
    </row>
    <row r="40" spans="1:10" ht="12" x14ac:dyDescent="0.2">
      <c r="A40" s="43"/>
      <c r="B40" s="39" t="s">
        <v>341</v>
      </c>
      <c r="C40" s="39" t="str">
        <f t="shared" si="0"/>
        <v>FGD for TUTUKA</v>
      </c>
      <c r="D40" s="25" t="s">
        <v>125</v>
      </c>
      <c r="E40" s="26" t="s">
        <v>124</v>
      </c>
    </row>
    <row r="41" spans="1:10" ht="12" x14ac:dyDescent="0.2">
      <c r="A41" s="42" t="s">
        <v>344</v>
      </c>
      <c r="D41" s="25"/>
      <c r="E41" s="26"/>
      <c r="F41" s="18"/>
      <c r="G41" s="41"/>
      <c r="H41" s="41"/>
      <c r="I41" s="25"/>
      <c r="J41" s="25"/>
    </row>
    <row r="42" spans="1:10" ht="12" x14ac:dyDescent="0.2">
      <c r="A42" s="43"/>
      <c r="B42" s="39" t="s">
        <v>342</v>
      </c>
      <c r="C42" s="39" t="str">
        <f>"FGD for "&amp;C24</f>
        <v>FGD for MEDUPI</v>
      </c>
      <c r="D42" s="25" t="s">
        <v>125</v>
      </c>
      <c r="E42" s="26" t="s">
        <v>124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7027" r:id="rId4" name="cmdProcUnits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257027" r:id="rId4" name="cmdProcUnits"/>
      </mc:Fallback>
    </mc:AlternateContent>
    <mc:AlternateContent xmlns:mc="http://schemas.openxmlformats.org/markup-compatibility/2006">
      <mc:Choice Requires="x14">
        <control shapeId="257026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257026" r:id="rId6" name="cmdCheckTechnologiesSheet"/>
      </mc:Fallback>
    </mc:AlternateContent>
    <mc:AlternateContent xmlns:mc="http://schemas.openxmlformats.org/markup-compatibility/2006">
      <mc:Choice Requires="x14">
        <control shapeId="257025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257025" r:id="rId8" name="cmdSpecifySe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A6AC8-8F55-4C88-A10C-876660625833}">
  <sheetPr codeName="Sheet15">
    <tabColor theme="4"/>
  </sheetPr>
  <dimension ref="A1:K43"/>
  <sheetViews>
    <sheetView workbookViewId="0">
      <selection activeCell="C20" sqref="C20"/>
    </sheetView>
    <sheetView workbookViewId="1"/>
  </sheetViews>
  <sheetFormatPr defaultColWidth="9.140625" defaultRowHeight="11.25" x14ac:dyDescent="0.2"/>
  <cols>
    <col min="1" max="1" width="12.85546875" style="18" customWidth="1"/>
    <col min="2" max="2" width="12.28515625" style="18" customWidth="1"/>
    <col min="3" max="3" width="35.7109375" style="18" bestFit="1" customWidth="1"/>
    <col min="4" max="4" width="10.28515625" style="18" customWidth="1"/>
    <col min="5" max="5" width="29.7109375" style="18" customWidth="1"/>
    <col min="6" max="6" width="10.28515625" style="18" customWidth="1"/>
    <col min="7" max="16384" width="9.140625" style="18"/>
  </cols>
  <sheetData>
    <row r="1" spans="1:6" x14ac:dyDescent="0.2">
      <c r="A1" s="53" t="str">
        <f ca="1">IF(INDEX([6]Index!$C$18:$C$48,MATCH(A2,[6]Index!B18:B48,0)),"Commodities","")</f>
        <v>Commodities</v>
      </c>
      <c r="B1" s="18" t="s">
        <v>122</v>
      </c>
    </row>
    <row r="2" spans="1:6" ht="12.75" x14ac:dyDescent="0.2">
      <c r="A2" s="51" t="str">
        <f ca="1">MID(CELL("filename",A1),FIND("]",CELL("filename",A1))+1,255)</f>
        <v>Commodities</v>
      </c>
    </row>
    <row r="4" spans="1:6" ht="17.25" customHeight="1" x14ac:dyDescent="0.2"/>
    <row r="5" spans="1:6" ht="17.25" customHeight="1" x14ac:dyDescent="0.2">
      <c r="C5" s="19"/>
    </row>
    <row r="6" spans="1:6" ht="15.75" customHeight="1" x14ac:dyDescent="0.2"/>
    <row r="7" spans="1:6" x14ac:dyDescent="0.2">
      <c r="B7" s="24" t="s">
        <v>40</v>
      </c>
      <c r="C7" s="20" t="s">
        <v>41</v>
      </c>
      <c r="D7" s="20" t="s">
        <v>42</v>
      </c>
      <c r="E7" s="20" t="s">
        <v>1</v>
      </c>
      <c r="F7" s="20" t="s">
        <v>0</v>
      </c>
    </row>
    <row r="8" spans="1:6" s="17" customFormat="1" ht="12.75" x14ac:dyDescent="0.2">
      <c r="A8" s="37" t="s">
        <v>171</v>
      </c>
      <c r="B8" s="39"/>
      <c r="C8" s="39"/>
      <c r="D8" s="39"/>
    </row>
    <row r="9" spans="1:6" s="17" customFormat="1" ht="12.75" x14ac:dyDescent="0.2">
      <c r="A9" s="41"/>
      <c r="B9" s="41" t="s">
        <v>302</v>
      </c>
      <c r="C9" s="41" t="s">
        <v>315</v>
      </c>
      <c r="D9" s="54" t="s">
        <v>115</v>
      </c>
      <c r="E9" s="26" t="s">
        <v>116</v>
      </c>
    </row>
    <row r="10" spans="1:6" s="17" customFormat="1" ht="12.75" x14ac:dyDescent="0.2">
      <c r="A10" s="41"/>
      <c r="B10" s="41" t="s">
        <v>304</v>
      </c>
      <c r="C10" s="41" t="s">
        <v>317</v>
      </c>
      <c r="D10" s="54" t="s">
        <v>115</v>
      </c>
      <c r="E10" s="26" t="s">
        <v>116</v>
      </c>
    </row>
    <row r="11" spans="1:6" s="17" customFormat="1" ht="12.75" x14ac:dyDescent="0.2">
      <c r="A11" s="41"/>
      <c r="B11" s="41" t="s">
        <v>307</v>
      </c>
      <c r="C11" s="41" t="s">
        <v>320</v>
      </c>
      <c r="D11" s="54" t="s">
        <v>115</v>
      </c>
      <c r="E11" s="26" t="s">
        <v>116</v>
      </c>
    </row>
    <row r="12" spans="1:6" s="17" customFormat="1" ht="12.75" x14ac:dyDescent="0.2">
      <c r="A12" s="41"/>
      <c r="B12" s="41" t="s">
        <v>301</v>
      </c>
      <c r="C12" s="41" t="s">
        <v>314</v>
      </c>
      <c r="D12" s="54" t="s">
        <v>115</v>
      </c>
      <c r="E12" s="26" t="s">
        <v>116</v>
      </c>
    </row>
    <row r="13" spans="1:6" s="17" customFormat="1" ht="12.75" x14ac:dyDescent="0.2">
      <c r="A13" s="41"/>
      <c r="B13" s="41" t="s">
        <v>303</v>
      </c>
      <c r="C13" s="41" t="s">
        <v>316</v>
      </c>
      <c r="D13" s="54" t="s">
        <v>115</v>
      </c>
      <c r="E13" s="26" t="s">
        <v>116</v>
      </c>
    </row>
    <row r="14" spans="1:6" s="17" customFormat="1" ht="12.75" x14ac:dyDescent="0.2">
      <c r="A14" s="41"/>
      <c r="B14" s="41" t="s">
        <v>305</v>
      </c>
      <c r="C14" s="41" t="s">
        <v>318</v>
      </c>
      <c r="D14" s="54" t="s">
        <v>115</v>
      </c>
      <c r="E14" s="26" t="s">
        <v>116</v>
      </c>
    </row>
    <row r="15" spans="1:6" s="17" customFormat="1" ht="12.75" x14ac:dyDescent="0.2">
      <c r="A15" s="41"/>
      <c r="B15" s="41" t="s">
        <v>306</v>
      </c>
      <c r="C15" s="41" t="s">
        <v>319</v>
      </c>
      <c r="D15" s="54" t="s">
        <v>115</v>
      </c>
      <c r="E15" s="26" t="s">
        <v>116</v>
      </c>
    </row>
    <row r="16" spans="1:6" s="17" customFormat="1" ht="12.75" x14ac:dyDescent="0.2">
      <c r="A16" s="41"/>
      <c r="B16" s="41" t="s">
        <v>308</v>
      </c>
      <c r="C16" s="41" t="s">
        <v>321</v>
      </c>
      <c r="D16" s="54" t="s">
        <v>115</v>
      </c>
      <c r="E16" s="26" t="s">
        <v>116</v>
      </c>
    </row>
    <row r="17" spans="1:11" s="17" customFormat="1" ht="12.75" x14ac:dyDescent="0.2">
      <c r="A17" s="41"/>
      <c r="B17" s="41" t="s">
        <v>309</v>
      </c>
      <c r="C17" s="41" t="s">
        <v>322</v>
      </c>
      <c r="D17" s="54" t="s">
        <v>115</v>
      </c>
      <c r="E17" s="26" t="s">
        <v>116</v>
      </c>
    </row>
    <row r="18" spans="1:11" s="17" customFormat="1" ht="12.75" x14ac:dyDescent="0.2">
      <c r="A18" s="41"/>
      <c r="B18" s="41" t="s">
        <v>346</v>
      </c>
      <c r="C18" s="41" t="s">
        <v>323</v>
      </c>
      <c r="D18" s="54" t="s">
        <v>115</v>
      </c>
      <c r="E18" s="26" t="s">
        <v>116</v>
      </c>
    </row>
    <row r="19" spans="1:11" s="17" customFormat="1" ht="12.75" x14ac:dyDescent="0.2">
      <c r="A19" s="41"/>
      <c r="B19" s="41" t="s">
        <v>347</v>
      </c>
      <c r="C19" s="41" t="s">
        <v>348</v>
      </c>
      <c r="D19" s="54" t="s">
        <v>115</v>
      </c>
      <c r="E19" s="26" t="s">
        <v>116</v>
      </c>
    </row>
    <row r="20" spans="1:11" s="17" customFormat="1" ht="12.75" x14ac:dyDescent="0.2">
      <c r="A20" s="41"/>
      <c r="B20" s="41" t="s">
        <v>310</v>
      </c>
      <c r="C20" s="41" t="s">
        <v>324</v>
      </c>
      <c r="D20" s="54" t="s">
        <v>115</v>
      </c>
      <c r="E20" s="26" t="s">
        <v>116</v>
      </c>
    </row>
    <row r="21" spans="1:11" s="17" customFormat="1" ht="12.75" x14ac:dyDescent="0.2">
      <c r="A21" s="41"/>
      <c r="B21" s="41" t="s">
        <v>311</v>
      </c>
      <c r="C21" s="41" t="s">
        <v>325</v>
      </c>
      <c r="D21" s="54" t="s">
        <v>115</v>
      </c>
      <c r="E21" s="26" t="s">
        <v>116</v>
      </c>
    </row>
    <row r="22" spans="1:11" s="17" customFormat="1" ht="12.75" x14ac:dyDescent="0.2">
      <c r="A22" s="41"/>
      <c r="B22" s="41" t="s">
        <v>312</v>
      </c>
      <c r="C22" s="41" t="s">
        <v>326</v>
      </c>
      <c r="D22" s="54" t="s">
        <v>115</v>
      </c>
      <c r="E22" s="26" t="s">
        <v>116</v>
      </c>
    </row>
    <row r="23" spans="1:11" s="17" customFormat="1" ht="12.75" x14ac:dyDescent="0.2">
      <c r="A23" s="37" t="s">
        <v>170</v>
      </c>
      <c r="B23" s="41"/>
      <c r="C23" s="41"/>
      <c r="D23" s="54"/>
      <c r="E23" s="26"/>
    </row>
    <row r="24" spans="1:11" s="17" customFormat="1" ht="12.75" x14ac:dyDescent="0.2">
      <c r="A24" s="41"/>
      <c r="B24" s="41" t="s">
        <v>313</v>
      </c>
      <c r="C24" s="41" t="s">
        <v>327</v>
      </c>
      <c r="D24" s="54" t="s">
        <v>115</v>
      </c>
      <c r="E24" s="26" t="s">
        <v>116</v>
      </c>
      <c r="K24" s="51"/>
    </row>
    <row r="25" spans="1:11" ht="12.75" x14ac:dyDescent="0.2">
      <c r="A25" s="40"/>
      <c r="B25" s="41"/>
      <c r="C25" s="41"/>
      <c r="D25" s="54"/>
    </row>
    <row r="26" spans="1:11" ht="12.75" x14ac:dyDescent="0.2">
      <c r="A26" s="41"/>
      <c r="B26" s="41"/>
      <c r="C26" s="41"/>
      <c r="D26" s="54"/>
      <c r="E26" s="26"/>
    </row>
    <row r="27" spans="1:11" ht="12.75" x14ac:dyDescent="0.2">
      <c r="A27" s="41"/>
      <c r="B27" s="41"/>
      <c r="C27" s="41"/>
      <c r="D27" s="54"/>
      <c r="E27" s="26"/>
    </row>
    <row r="28" spans="1:11" ht="12.75" x14ac:dyDescent="0.2">
      <c r="A28" s="41"/>
      <c r="B28" s="41"/>
      <c r="C28" s="41"/>
      <c r="D28" s="54"/>
      <c r="E28" s="26"/>
    </row>
    <row r="29" spans="1:11" ht="12.75" x14ac:dyDescent="0.2">
      <c r="B29" s="41"/>
      <c r="C29" s="41"/>
      <c r="D29" s="54"/>
      <c r="E29" s="26"/>
    </row>
    <row r="30" spans="1:11" ht="12.75" x14ac:dyDescent="0.2">
      <c r="B30" s="41"/>
      <c r="C30" s="41"/>
      <c r="D30" s="54"/>
      <c r="E30" s="26"/>
    </row>
    <row r="31" spans="1:11" ht="12.75" x14ac:dyDescent="0.2">
      <c r="B31" s="41"/>
      <c r="C31" s="41"/>
      <c r="D31" s="54"/>
      <c r="E31" s="26"/>
    </row>
    <row r="32" spans="1:11" ht="12.75" x14ac:dyDescent="0.2">
      <c r="B32" s="41"/>
      <c r="C32" s="41"/>
      <c r="D32" s="54"/>
      <c r="E32" s="26"/>
    </row>
    <row r="33" spans="1:5" ht="12.75" x14ac:dyDescent="0.2">
      <c r="B33" s="41"/>
      <c r="C33" s="41"/>
      <c r="D33" s="54"/>
      <c r="E33" s="26"/>
    </row>
    <row r="34" spans="1:5" ht="12" x14ac:dyDescent="0.2">
      <c r="A34" s="40"/>
    </row>
    <row r="35" spans="1:5" x14ac:dyDescent="0.2">
      <c r="E35" s="26"/>
    </row>
    <row r="36" spans="1:5" x14ac:dyDescent="0.2">
      <c r="E36" s="26"/>
    </row>
    <row r="37" spans="1:5" x14ac:dyDescent="0.2">
      <c r="E37" s="26"/>
    </row>
    <row r="38" spans="1:5" x14ac:dyDescent="0.2">
      <c r="E38" s="26"/>
    </row>
    <row r="39" spans="1:5" ht="12.75" x14ac:dyDescent="0.2">
      <c r="B39" s="41"/>
      <c r="C39" s="41"/>
      <c r="D39" s="54"/>
      <c r="E39" s="26"/>
    </row>
    <row r="40" spans="1:5" x14ac:dyDescent="0.2">
      <c r="E40" s="26"/>
    </row>
    <row r="41" spans="1:5" x14ac:dyDescent="0.2">
      <c r="E41" s="26"/>
    </row>
    <row r="42" spans="1:5" x14ac:dyDescent="0.2">
      <c r="E42" s="26"/>
    </row>
    <row r="43" spans="1:5" x14ac:dyDescent="0.2">
      <c r="E43" s="26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40705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840705" r:id="rId4" name="cmdSpecifySets"/>
      </mc:Fallback>
    </mc:AlternateContent>
    <mc:AlternateContent xmlns:mc="http://schemas.openxmlformats.org/markup-compatibility/2006">
      <mc:Choice Requires="x14">
        <control shapeId="840706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40706" r:id="rId6" name="cmdCheckCommoditiesSheet"/>
      </mc:Fallback>
    </mc:AlternateContent>
    <mc:AlternateContent xmlns:mc="http://schemas.openxmlformats.org/markup-compatibility/2006">
      <mc:Choice Requires="x14">
        <control shapeId="840707" r:id="rId8" name="cmdCommUnit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840707" r:id="rId8" name="cmdCommUni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2381-F146-4EEA-85A7-746CF70C17C9}">
  <sheetPr codeName="Sheet33">
    <tabColor rgb="FF00B0F0"/>
  </sheetPr>
  <dimension ref="A1:AG39"/>
  <sheetViews>
    <sheetView workbookViewId="0">
      <pane xSplit="7" ySplit="9" topLeftCell="H10" activePane="bottomRight" state="frozen"/>
      <selection pane="topRight" activeCell="H1" sqref="H1"/>
      <selection pane="bottomLeft" activeCell="A10" sqref="A10"/>
      <selection pane="bottomRight" activeCell="H10" sqref="H10"/>
    </sheetView>
    <sheetView tabSelected="1" topLeftCell="B1" workbookViewId="1">
      <selection activeCell="C26" sqref="C26"/>
    </sheetView>
  </sheetViews>
  <sheetFormatPr defaultColWidth="9.140625" defaultRowHeight="11.25" customHeight="1" x14ac:dyDescent="0.2"/>
  <cols>
    <col min="1" max="1" width="12.28515625" style="39" customWidth="1"/>
    <col min="2" max="2" width="15.28515625" style="39" customWidth="1"/>
    <col min="3" max="3" width="36.140625" style="39" customWidth="1"/>
    <col min="4" max="4" width="8.5703125" style="39" customWidth="1"/>
    <col min="5" max="5" width="12.28515625" style="39" customWidth="1"/>
    <col min="6" max="6" width="10.140625" style="39" customWidth="1"/>
    <col min="7" max="7" width="6.85546875" style="45" customWidth="1"/>
    <col min="8" max="16384" width="9.140625" style="39"/>
  </cols>
  <sheetData>
    <row r="1" spans="1:33" ht="11.25" customHeight="1" x14ac:dyDescent="0.2">
      <c r="A1" s="53" t="s">
        <v>300</v>
      </c>
      <c r="B1" s="18" t="s">
        <v>122</v>
      </c>
    </row>
    <row r="2" spans="1:33" ht="11.25" customHeight="1" x14ac:dyDescent="0.2">
      <c r="A2" s="51" t="str">
        <f ca="1">MID(CELL("filename",A1),FIND("]",CELL("filename",A1))+1,255)</f>
        <v>ProcDataRetirement</v>
      </c>
    </row>
    <row r="3" spans="1:33" ht="34.5" customHeight="1" x14ac:dyDescent="0.2">
      <c r="H3" s="39" t="s">
        <v>126</v>
      </c>
      <c r="I3" s="39" t="s">
        <v>126</v>
      </c>
    </row>
    <row r="4" spans="1:33" ht="21.75" customHeight="1" x14ac:dyDescent="0.2">
      <c r="E4" s="60"/>
      <c r="F4" s="60"/>
      <c r="G4" s="60"/>
      <c r="H4" s="59" t="s">
        <v>129</v>
      </c>
      <c r="I4" s="59" t="s">
        <v>129</v>
      </c>
      <c r="J4" s="59" t="s">
        <v>129</v>
      </c>
      <c r="K4" s="59" t="s">
        <v>129</v>
      </c>
      <c r="L4" s="59" t="s">
        <v>129</v>
      </c>
      <c r="M4" s="59" t="s">
        <v>129</v>
      </c>
      <c r="N4" s="59" t="s">
        <v>129</v>
      </c>
      <c r="O4" s="59" t="s">
        <v>129</v>
      </c>
      <c r="P4" s="59" t="s">
        <v>129</v>
      </c>
      <c r="Q4" s="59" t="s">
        <v>129</v>
      </c>
      <c r="R4" s="59" t="s">
        <v>129</v>
      </c>
      <c r="S4" s="59" t="s">
        <v>129</v>
      </c>
      <c r="T4" s="59" t="s">
        <v>129</v>
      </c>
      <c r="U4" s="59" t="s">
        <v>129</v>
      </c>
      <c r="V4" s="59" t="s">
        <v>129</v>
      </c>
      <c r="W4" s="59" t="s">
        <v>129</v>
      </c>
      <c r="X4" s="59" t="s">
        <v>129</v>
      </c>
      <c r="Y4" s="59" t="s">
        <v>129</v>
      </c>
      <c r="Z4" s="59" t="s">
        <v>129</v>
      </c>
      <c r="AA4" s="59" t="s">
        <v>129</v>
      </c>
      <c r="AB4" s="59" t="s">
        <v>129</v>
      </c>
      <c r="AC4" s="59" t="s">
        <v>129</v>
      </c>
      <c r="AD4" s="59" t="s">
        <v>129</v>
      </c>
      <c r="AE4" s="59" t="s">
        <v>129</v>
      </c>
      <c r="AF4" s="59" t="s">
        <v>129</v>
      </c>
      <c r="AG4" s="59" t="s">
        <v>129</v>
      </c>
    </row>
    <row r="5" spans="1:33" ht="16.5" customHeight="1" x14ac:dyDescent="0.2">
      <c r="J5" s="52"/>
      <c r="K5" s="52"/>
    </row>
    <row r="6" spans="1:33" ht="17.25" customHeight="1" x14ac:dyDescent="0.2">
      <c r="H6" s="52"/>
      <c r="I6" s="52"/>
    </row>
    <row r="7" spans="1:33" ht="21.75" customHeight="1" x14ac:dyDescent="0.2">
      <c r="B7" s="53" t="s">
        <v>56</v>
      </c>
      <c r="C7" s="53" t="s">
        <v>57</v>
      </c>
      <c r="D7" s="57" t="s">
        <v>93</v>
      </c>
      <c r="E7" s="53" t="s">
        <v>80</v>
      </c>
      <c r="F7" s="53" t="s">
        <v>81</v>
      </c>
      <c r="G7" s="57" t="s">
        <v>94</v>
      </c>
      <c r="H7" s="39">
        <v>2019</v>
      </c>
      <c r="I7" s="39">
        <v>2020</v>
      </c>
      <c r="J7" s="39">
        <v>2021</v>
      </c>
      <c r="K7" s="39">
        <v>2022</v>
      </c>
      <c r="L7" s="39">
        <v>2023</v>
      </c>
      <c r="M7" s="39">
        <v>2024</v>
      </c>
      <c r="N7" s="39">
        <v>2025</v>
      </c>
      <c r="O7" s="39">
        <v>2026</v>
      </c>
      <c r="P7" s="39">
        <v>2027</v>
      </c>
      <c r="Q7" s="39">
        <v>2028</v>
      </c>
      <c r="R7" s="39">
        <v>2029</v>
      </c>
      <c r="S7" s="39">
        <v>2030</v>
      </c>
      <c r="T7" s="39">
        <v>2031</v>
      </c>
      <c r="U7" s="39">
        <v>2032</v>
      </c>
      <c r="V7" s="39">
        <v>2033</v>
      </c>
      <c r="W7" s="39">
        <v>2034</v>
      </c>
      <c r="X7" s="39">
        <v>2035</v>
      </c>
      <c r="Y7" s="39">
        <v>2036</v>
      </c>
      <c r="Z7" s="39">
        <v>2037</v>
      </c>
      <c r="AA7" s="39">
        <v>2038</v>
      </c>
      <c r="AB7" s="39">
        <v>2039</v>
      </c>
      <c r="AC7" s="39">
        <v>2040</v>
      </c>
      <c r="AD7" s="39">
        <v>2045</v>
      </c>
      <c r="AE7" s="39">
        <v>2050</v>
      </c>
      <c r="AF7" s="39">
        <v>2060</v>
      </c>
      <c r="AG7" s="39">
        <v>2070</v>
      </c>
    </row>
    <row r="8" spans="1:33" ht="11.25" customHeight="1" x14ac:dyDescent="0.2">
      <c r="A8" s="42" t="s">
        <v>232</v>
      </c>
      <c r="F8" s="44"/>
      <c r="J8" s="45"/>
    </row>
    <row r="9" spans="1:33" s="45" customFormat="1" ht="11.25" customHeight="1" x14ac:dyDescent="0.2">
      <c r="A9" s="39"/>
      <c r="B9" s="39" t="str">
        <f>Processes!B9</f>
        <v>ETCLECAMD-E</v>
      </c>
      <c r="C9" s="39" t="str">
        <f>Processes!C9</f>
        <v>CAMDEN</v>
      </c>
      <c r="D9" s="39" t="str">
        <f>Processes!D9</f>
        <v>PJ,GW</v>
      </c>
      <c r="E9" s="49" t="str">
        <f t="shared" ref="E9:E17" si="0">"PWR"&amp;MID(B9,3,7)</f>
        <v>PWRCLECAMD</v>
      </c>
      <c r="F9" s="39" t="s">
        <v>121</v>
      </c>
      <c r="H9" s="55">
        <f>'retirement scenarios'!R18</f>
        <v>1.4810000000000001</v>
      </c>
      <c r="I9" s="55">
        <f>'retirement scenarios'!S18</f>
        <v>1.4810000000000001</v>
      </c>
      <c r="J9" s="55">
        <f>'retirement scenarios'!T18</f>
        <v>1.4810000000000001</v>
      </c>
      <c r="K9" s="55">
        <f>'retirement scenarios'!U18</f>
        <v>1.4810000000000001</v>
      </c>
      <c r="L9" s="55">
        <f>'retirement scenarios'!V18</f>
        <v>1.4810000000000001</v>
      </c>
      <c r="M9" s="55">
        <f>'retirement scenarios'!W18</f>
        <v>1.0578571428571428</v>
      </c>
      <c r="N9" s="55">
        <f>'retirement scenarios'!X18</f>
        <v>0.63471428571428568</v>
      </c>
      <c r="O9" s="55">
        <f>'retirement scenarios'!Y18</f>
        <v>0</v>
      </c>
      <c r="P9" s="55">
        <f>'retirement scenarios'!Z18</f>
        <v>0</v>
      </c>
      <c r="Q9" s="55">
        <f>'retirement scenarios'!AA18</f>
        <v>0</v>
      </c>
      <c r="R9" s="55">
        <f>'retirement scenarios'!AB18</f>
        <v>0</v>
      </c>
      <c r="S9" s="55">
        <f>'retirement scenarios'!AC18</f>
        <v>0</v>
      </c>
      <c r="T9" s="55">
        <f>'retirement scenarios'!AD18</f>
        <v>0</v>
      </c>
      <c r="U9" s="55">
        <f>'retirement scenarios'!AE18</f>
        <v>0</v>
      </c>
      <c r="V9" s="55">
        <f>'retirement scenarios'!AF18</f>
        <v>0</v>
      </c>
      <c r="W9" s="55">
        <f>'retirement scenarios'!AG18</f>
        <v>0</v>
      </c>
      <c r="X9" s="55">
        <f>'retirement scenarios'!AH18</f>
        <v>0</v>
      </c>
      <c r="Y9" s="55">
        <f>'retirement scenarios'!AI18</f>
        <v>0</v>
      </c>
      <c r="Z9" s="55">
        <f>'retirement scenarios'!AJ18</f>
        <v>0</v>
      </c>
      <c r="AA9" s="55">
        <f>'retirement scenarios'!AK18</f>
        <v>0</v>
      </c>
      <c r="AB9" s="55">
        <f>'retirement scenarios'!AL18</f>
        <v>0</v>
      </c>
      <c r="AC9" s="55">
        <f>'retirement scenarios'!AM18</f>
        <v>0</v>
      </c>
      <c r="AD9" s="55">
        <f>'retirement scenarios'!AR18</f>
        <v>0</v>
      </c>
      <c r="AE9" s="55">
        <f>'retirement scenarios'!AW18</f>
        <v>0</v>
      </c>
      <c r="AF9" s="55">
        <v>0</v>
      </c>
      <c r="AG9" s="55">
        <v>0</v>
      </c>
    </row>
    <row r="10" spans="1:33" s="45" customFormat="1" ht="11.25" customHeight="1" x14ac:dyDescent="0.2">
      <c r="A10" s="39"/>
      <c r="B10" s="39" t="str">
        <f>Processes!B10</f>
        <v>ETCLEGROO-E</v>
      </c>
      <c r="C10" s="39" t="str">
        <f>Processes!C10</f>
        <v>GROOTVLEI</v>
      </c>
      <c r="D10" s="39" t="str">
        <f>Processes!D10</f>
        <v>PJ,GW</v>
      </c>
      <c r="E10" s="49" t="str">
        <f t="shared" si="0"/>
        <v>PWRCLEGROO</v>
      </c>
      <c r="F10" s="39" t="s">
        <v>121</v>
      </c>
      <c r="H10" s="55">
        <f>'retirement scenarios'!R19</f>
        <v>0.56999999999999995</v>
      </c>
      <c r="I10" s="55">
        <f>'retirement scenarios'!S19</f>
        <v>0.56999999999999995</v>
      </c>
      <c r="J10" s="55">
        <f>'retirement scenarios'!T19</f>
        <v>0.56999999999999995</v>
      </c>
      <c r="K10" s="55">
        <f>'retirement scenarios'!U19</f>
        <v>0.56999999999999995</v>
      </c>
      <c r="L10" s="55">
        <f>'retirement scenarios'!V19</f>
        <v>0.56999999999999995</v>
      </c>
      <c r="M10" s="55">
        <f>'retirement scenarios'!W19</f>
        <v>0.56999999999999995</v>
      </c>
      <c r="N10" s="55">
        <f>'retirement scenarios'!X19</f>
        <v>0.56999999999999995</v>
      </c>
      <c r="O10" s="55">
        <f>'retirement scenarios'!Y19</f>
        <v>0.38</v>
      </c>
      <c r="P10" s="55">
        <f>'retirement scenarios'!Z19</f>
        <v>0.19000000000000003</v>
      </c>
      <c r="Q10" s="55">
        <f>'retirement scenarios'!AA19</f>
        <v>0</v>
      </c>
      <c r="R10" s="55">
        <f>'retirement scenarios'!AB19</f>
        <v>0</v>
      </c>
      <c r="S10" s="55">
        <f>'retirement scenarios'!AC19</f>
        <v>0</v>
      </c>
      <c r="T10" s="55">
        <f>'retirement scenarios'!AD19</f>
        <v>0</v>
      </c>
      <c r="U10" s="55">
        <f>'retirement scenarios'!AE19</f>
        <v>0</v>
      </c>
      <c r="V10" s="55">
        <f>'retirement scenarios'!AF19</f>
        <v>0</v>
      </c>
      <c r="W10" s="55">
        <f>'retirement scenarios'!AG19</f>
        <v>0</v>
      </c>
      <c r="X10" s="55">
        <f>'retirement scenarios'!AH19</f>
        <v>0</v>
      </c>
      <c r="Y10" s="55">
        <f>'retirement scenarios'!AI19</f>
        <v>0</v>
      </c>
      <c r="Z10" s="55">
        <f>'retirement scenarios'!AJ19</f>
        <v>0</v>
      </c>
      <c r="AA10" s="55">
        <f>'retirement scenarios'!AK19</f>
        <v>0</v>
      </c>
      <c r="AB10" s="55">
        <f>'retirement scenarios'!AL19</f>
        <v>0</v>
      </c>
      <c r="AC10" s="55">
        <f>'retirement scenarios'!AM19</f>
        <v>0</v>
      </c>
      <c r="AD10" s="55">
        <f>'retirement scenarios'!AR19</f>
        <v>0</v>
      </c>
      <c r="AE10" s="55">
        <f>'retirement scenarios'!AW19</f>
        <v>0</v>
      </c>
      <c r="AF10" s="55">
        <v>0</v>
      </c>
      <c r="AG10" s="55">
        <v>0</v>
      </c>
    </row>
    <row r="11" spans="1:33" s="45" customFormat="1" ht="11.25" customHeight="1" x14ac:dyDescent="0.2">
      <c r="A11" s="39"/>
      <c r="B11" s="39" t="str">
        <f>Processes!B11</f>
        <v>ETCLEKOMA-E</v>
      </c>
      <c r="C11" s="39" t="str">
        <f>Processes!C11</f>
        <v>KOMATI</v>
      </c>
      <c r="D11" s="39" t="str">
        <f>Processes!D11</f>
        <v>PJ,GW</v>
      </c>
      <c r="E11" s="49" t="str">
        <f t="shared" si="0"/>
        <v>PWRCLEKOMA</v>
      </c>
      <c r="F11" s="39" t="s">
        <v>121</v>
      </c>
      <c r="H11" s="55">
        <f>'retirement scenarios'!R20</f>
        <v>0.41</v>
      </c>
      <c r="I11" s="55">
        <f>'retirement scenarios'!S20</f>
        <v>0.13666666666666666</v>
      </c>
      <c r="J11" s="55">
        <f>'retirement scenarios'!T20</f>
        <v>0</v>
      </c>
      <c r="K11" s="55">
        <f>'retirement scenarios'!U20</f>
        <v>0</v>
      </c>
      <c r="L11" s="55">
        <f>'retirement scenarios'!V20</f>
        <v>0</v>
      </c>
      <c r="M11" s="55">
        <f>'retirement scenarios'!W20</f>
        <v>0</v>
      </c>
      <c r="N11" s="55">
        <f>'retirement scenarios'!X20</f>
        <v>0</v>
      </c>
      <c r="O11" s="55">
        <f>'retirement scenarios'!Y20</f>
        <v>0</v>
      </c>
      <c r="P11" s="55">
        <f>'retirement scenarios'!Z20</f>
        <v>0</v>
      </c>
      <c r="Q11" s="55">
        <f>'retirement scenarios'!AA20</f>
        <v>0</v>
      </c>
      <c r="R11" s="55">
        <f>'retirement scenarios'!AB20</f>
        <v>0</v>
      </c>
      <c r="S11" s="55">
        <f>'retirement scenarios'!AC20</f>
        <v>0</v>
      </c>
      <c r="T11" s="55">
        <f>'retirement scenarios'!AD20</f>
        <v>0</v>
      </c>
      <c r="U11" s="55">
        <f>'retirement scenarios'!AE20</f>
        <v>0</v>
      </c>
      <c r="V11" s="55">
        <f>'retirement scenarios'!AF20</f>
        <v>0</v>
      </c>
      <c r="W11" s="55">
        <f>'retirement scenarios'!AG20</f>
        <v>0</v>
      </c>
      <c r="X11" s="55">
        <f>'retirement scenarios'!AH20</f>
        <v>0</v>
      </c>
      <c r="Y11" s="55">
        <f>'retirement scenarios'!AI20</f>
        <v>0</v>
      </c>
      <c r="Z11" s="55">
        <f>'retirement scenarios'!AJ20</f>
        <v>0</v>
      </c>
      <c r="AA11" s="55">
        <f>'retirement scenarios'!AK20</f>
        <v>0</v>
      </c>
      <c r="AB11" s="55">
        <f>'retirement scenarios'!AL20</f>
        <v>0</v>
      </c>
      <c r="AC11" s="55">
        <f>'retirement scenarios'!AM20</f>
        <v>0</v>
      </c>
      <c r="AD11" s="55">
        <f>'retirement scenarios'!AR20</f>
        <v>0</v>
      </c>
      <c r="AE11" s="55">
        <f>'retirement scenarios'!AW20</f>
        <v>0</v>
      </c>
      <c r="AF11" s="55">
        <v>0</v>
      </c>
      <c r="AG11" s="55">
        <v>0</v>
      </c>
    </row>
    <row r="12" spans="1:33" ht="11.25" customHeight="1" x14ac:dyDescent="0.2">
      <c r="B12" s="39" t="str">
        <f>Processes!B12</f>
        <v>ETCLEARNO-E</v>
      </c>
      <c r="C12" s="39" t="str">
        <f>Processes!C12</f>
        <v>ARNOT</v>
      </c>
      <c r="D12" s="39" t="str">
        <f>Processes!D12</f>
        <v>PJ,GW</v>
      </c>
      <c r="E12" s="49" t="str">
        <f t="shared" si="0"/>
        <v>PWRCLEARNO</v>
      </c>
      <c r="F12" s="39" t="s">
        <v>121</v>
      </c>
      <c r="H12" s="55">
        <f>'retirement scenarios'!R21</f>
        <v>2.2320000000000002</v>
      </c>
      <c r="I12" s="55">
        <f>'retirement scenarios'!S21</f>
        <v>2.2320000000000002</v>
      </c>
      <c r="J12" s="55">
        <f>'retirement scenarios'!T21</f>
        <v>2.2320000000000002</v>
      </c>
      <c r="K12" s="55">
        <f>'retirement scenarios'!U21</f>
        <v>2.2320000000000002</v>
      </c>
      <c r="L12" s="55">
        <f>'retirement scenarios'!V21</f>
        <v>2.2320000000000002</v>
      </c>
      <c r="M12" s="55">
        <f>'retirement scenarios'!W21</f>
        <v>2.2320000000000002</v>
      </c>
      <c r="N12" s="55">
        <f>'retirement scenarios'!X21</f>
        <v>2.2320000000000002</v>
      </c>
      <c r="O12" s="55">
        <f>'retirement scenarios'!Y21</f>
        <v>1.488</v>
      </c>
      <c r="P12" s="55">
        <f>'retirement scenarios'!Z21</f>
        <v>0.74399999999999988</v>
      </c>
      <c r="Q12" s="55">
        <f>'retirement scenarios'!AA21</f>
        <v>0.74399999999999988</v>
      </c>
      <c r="R12" s="55">
        <f>'retirement scenarios'!AB21</f>
        <v>0</v>
      </c>
      <c r="S12" s="55">
        <f>'retirement scenarios'!AC21</f>
        <v>0</v>
      </c>
      <c r="T12" s="55">
        <f>'retirement scenarios'!AD21</f>
        <v>0</v>
      </c>
      <c r="U12" s="55">
        <f>'retirement scenarios'!AE21</f>
        <v>0</v>
      </c>
      <c r="V12" s="55">
        <f>'retirement scenarios'!AF21</f>
        <v>0</v>
      </c>
      <c r="W12" s="55">
        <f>'retirement scenarios'!AG21</f>
        <v>0</v>
      </c>
      <c r="X12" s="55">
        <f>'retirement scenarios'!AH21</f>
        <v>0</v>
      </c>
      <c r="Y12" s="55">
        <f>'retirement scenarios'!AI21</f>
        <v>0</v>
      </c>
      <c r="Z12" s="55">
        <f>'retirement scenarios'!AJ21</f>
        <v>0</v>
      </c>
      <c r="AA12" s="55">
        <f>'retirement scenarios'!AK21</f>
        <v>0</v>
      </c>
      <c r="AB12" s="55">
        <f>'retirement scenarios'!AL21</f>
        <v>0</v>
      </c>
      <c r="AC12" s="55">
        <f>'retirement scenarios'!AM21</f>
        <v>0</v>
      </c>
      <c r="AD12" s="55">
        <f>'retirement scenarios'!AR21</f>
        <v>0</v>
      </c>
      <c r="AE12" s="55">
        <f>'retirement scenarios'!AW21</f>
        <v>0</v>
      </c>
      <c r="AF12" s="55">
        <v>0</v>
      </c>
      <c r="AG12" s="55">
        <v>0</v>
      </c>
    </row>
    <row r="13" spans="1:33" ht="11.25" customHeight="1" x14ac:dyDescent="0.2">
      <c r="B13" s="39" t="str">
        <f>Processes!B13</f>
        <v>ETCLEDUVH-E</v>
      </c>
      <c r="C13" s="39" t="str">
        <f>Processes!C13</f>
        <v>DUVHA</v>
      </c>
      <c r="D13" s="39" t="str">
        <f>Processes!D13</f>
        <v>PJ,GW</v>
      </c>
      <c r="E13" s="49" t="str">
        <f t="shared" si="0"/>
        <v>PWRCLEDUVH</v>
      </c>
      <c r="F13" s="39" t="s">
        <v>121</v>
      </c>
      <c r="H13" s="55">
        <f>'retirement scenarios'!R22</f>
        <v>2.875</v>
      </c>
      <c r="I13" s="55">
        <f>'retirement scenarios'!S22</f>
        <v>2.875</v>
      </c>
      <c r="J13" s="55">
        <f>'retirement scenarios'!T22</f>
        <v>2.875</v>
      </c>
      <c r="K13" s="55">
        <f>'retirement scenarios'!U22</f>
        <v>2.875</v>
      </c>
      <c r="L13" s="55">
        <f>'retirement scenarios'!V22</f>
        <v>2.875</v>
      </c>
      <c r="M13" s="55">
        <f>'retirement scenarios'!W22</f>
        <v>2.875</v>
      </c>
      <c r="N13" s="55">
        <f>'retirement scenarios'!X22</f>
        <v>2.875</v>
      </c>
      <c r="O13" s="55">
        <f>'retirement scenarios'!Y22</f>
        <v>2.875</v>
      </c>
      <c r="P13" s="55">
        <f>'retirement scenarios'!Z22</f>
        <v>2.875</v>
      </c>
      <c r="Q13" s="55">
        <f>'retirement scenarios'!AA22</f>
        <v>2.875</v>
      </c>
      <c r="R13" s="55">
        <f>'retirement scenarios'!AB22</f>
        <v>2.875</v>
      </c>
      <c r="S13" s="55">
        <f>'retirement scenarios'!AC22</f>
        <v>2.875</v>
      </c>
      <c r="T13" s="55">
        <f>'retirement scenarios'!AD22</f>
        <v>0</v>
      </c>
      <c r="U13" s="55">
        <f>'retirement scenarios'!AE22</f>
        <v>0</v>
      </c>
      <c r="V13" s="55">
        <f>'retirement scenarios'!AF22</f>
        <v>0</v>
      </c>
      <c r="W13" s="55">
        <f>'retirement scenarios'!AG22</f>
        <v>0</v>
      </c>
      <c r="X13" s="55">
        <f>'retirement scenarios'!AH22</f>
        <v>0</v>
      </c>
      <c r="Y13" s="55">
        <f>'retirement scenarios'!AI22</f>
        <v>0</v>
      </c>
      <c r="Z13" s="55">
        <f>'retirement scenarios'!AJ22</f>
        <v>0</v>
      </c>
      <c r="AA13" s="55">
        <f>'retirement scenarios'!AK22</f>
        <v>0</v>
      </c>
      <c r="AB13" s="55">
        <f>'retirement scenarios'!AL22</f>
        <v>0</v>
      </c>
      <c r="AC13" s="55">
        <f>'retirement scenarios'!AM22</f>
        <v>0</v>
      </c>
      <c r="AD13" s="55">
        <f>'retirement scenarios'!AR22</f>
        <v>0</v>
      </c>
      <c r="AE13" s="55">
        <f>'retirement scenarios'!AW22</f>
        <v>0</v>
      </c>
      <c r="AF13" s="55">
        <v>0</v>
      </c>
      <c r="AG13" s="55">
        <v>0</v>
      </c>
    </row>
    <row r="14" spans="1:33" ht="11.25" customHeight="1" x14ac:dyDescent="0.2">
      <c r="B14" s="39" t="str">
        <f>Processes!B14</f>
        <v>ETCLEHEND-E</v>
      </c>
      <c r="C14" s="39" t="str">
        <f>Processes!C14</f>
        <v>HENDRINA</v>
      </c>
      <c r="D14" s="39" t="str">
        <f>Processes!D14</f>
        <v>PJ,GW</v>
      </c>
      <c r="E14" s="49" t="str">
        <f t="shared" si="0"/>
        <v>PWRCLEHEND</v>
      </c>
      <c r="F14" s="39" t="s">
        <v>121</v>
      </c>
      <c r="H14" s="55">
        <f>'retirement scenarios'!R23</f>
        <v>1.2929999999999999</v>
      </c>
      <c r="I14" s="55">
        <f>'retirement scenarios'!S23</f>
        <v>1.2929999999999999</v>
      </c>
      <c r="J14" s="55">
        <f>'retirement scenarios'!T23</f>
        <v>1.0774999999999999</v>
      </c>
      <c r="K14" s="55">
        <f>'retirement scenarios'!U23</f>
        <v>1.0774999999999999</v>
      </c>
      <c r="L14" s="55">
        <f>'retirement scenarios'!V23</f>
        <v>1.0774999999999999</v>
      </c>
      <c r="M14" s="55">
        <f>'retirement scenarios'!W23</f>
        <v>0.86199999999999988</v>
      </c>
      <c r="N14" s="55">
        <f>'retirement scenarios'!X23</f>
        <v>0</v>
      </c>
      <c r="O14" s="55">
        <f>'retirement scenarios'!Y23</f>
        <v>0</v>
      </c>
      <c r="P14" s="55">
        <f>'retirement scenarios'!Z23</f>
        <v>0</v>
      </c>
      <c r="Q14" s="55">
        <f>'retirement scenarios'!AA23</f>
        <v>0</v>
      </c>
      <c r="R14" s="55">
        <f>'retirement scenarios'!AB23</f>
        <v>0</v>
      </c>
      <c r="S14" s="55">
        <f>'retirement scenarios'!AC23</f>
        <v>0</v>
      </c>
      <c r="T14" s="55">
        <f>'retirement scenarios'!AD23</f>
        <v>0</v>
      </c>
      <c r="U14" s="55">
        <f>'retirement scenarios'!AE23</f>
        <v>0</v>
      </c>
      <c r="V14" s="55">
        <f>'retirement scenarios'!AF23</f>
        <v>0</v>
      </c>
      <c r="W14" s="55">
        <f>'retirement scenarios'!AG23</f>
        <v>0</v>
      </c>
      <c r="X14" s="55">
        <f>'retirement scenarios'!AH23</f>
        <v>0</v>
      </c>
      <c r="Y14" s="55">
        <f>'retirement scenarios'!AI23</f>
        <v>0</v>
      </c>
      <c r="Z14" s="55">
        <f>'retirement scenarios'!AJ23</f>
        <v>0</v>
      </c>
      <c r="AA14" s="55">
        <f>'retirement scenarios'!AK23</f>
        <v>0</v>
      </c>
      <c r="AB14" s="55">
        <f>'retirement scenarios'!AL23</f>
        <v>0</v>
      </c>
      <c r="AC14" s="55">
        <f>'retirement scenarios'!AM23</f>
        <v>0</v>
      </c>
      <c r="AD14" s="55">
        <f>'retirement scenarios'!AR23</f>
        <v>0</v>
      </c>
      <c r="AE14" s="55">
        <f>'retirement scenarios'!AW23</f>
        <v>0</v>
      </c>
      <c r="AF14" s="55">
        <v>0</v>
      </c>
      <c r="AG14" s="55">
        <v>0</v>
      </c>
    </row>
    <row r="15" spans="1:33" ht="11.25" customHeight="1" x14ac:dyDescent="0.2">
      <c r="B15" s="39" t="str">
        <f>Processes!B15</f>
        <v>ETCLEKEND-E</v>
      </c>
      <c r="C15" s="39" t="str">
        <f>Processes!C15</f>
        <v>KENDAL</v>
      </c>
      <c r="D15" s="39" t="str">
        <f>Processes!D15</f>
        <v>PJ,GW</v>
      </c>
      <c r="E15" s="49" t="str">
        <f t="shared" si="0"/>
        <v>PWRCLEKEND</v>
      </c>
      <c r="F15" s="39" t="s">
        <v>121</v>
      </c>
      <c r="H15" s="55">
        <f>'retirement scenarios'!R24</f>
        <v>3.84</v>
      </c>
      <c r="I15" s="55">
        <f>'retirement scenarios'!S24</f>
        <v>3.84</v>
      </c>
      <c r="J15" s="55">
        <f>'retirement scenarios'!T24</f>
        <v>3.84</v>
      </c>
      <c r="K15" s="55">
        <f>'retirement scenarios'!U24</f>
        <v>3.84</v>
      </c>
      <c r="L15" s="55">
        <f>'retirement scenarios'!V24</f>
        <v>3.84</v>
      </c>
      <c r="M15" s="55">
        <f>'retirement scenarios'!W24</f>
        <v>3.84</v>
      </c>
      <c r="N15" s="55">
        <f>'retirement scenarios'!X24</f>
        <v>3.84</v>
      </c>
      <c r="O15" s="55">
        <f>'retirement scenarios'!Y24</f>
        <v>3.84</v>
      </c>
      <c r="P15" s="55">
        <f>'retirement scenarios'!Z24</f>
        <v>3.84</v>
      </c>
      <c r="Q15" s="55">
        <f>'retirement scenarios'!AA24</f>
        <v>3.84</v>
      </c>
      <c r="R15" s="55">
        <f>'retirement scenarios'!AB24</f>
        <v>3.84</v>
      </c>
      <c r="S15" s="55">
        <f>'retirement scenarios'!AC24</f>
        <v>3.84</v>
      </c>
      <c r="T15" s="55">
        <f>'retirement scenarios'!AD24</f>
        <v>3.84</v>
      </c>
      <c r="U15" s="55">
        <f>'retirement scenarios'!AE24</f>
        <v>3.84</v>
      </c>
      <c r="V15" s="55">
        <f>'retirement scenarios'!AF24</f>
        <v>3.84</v>
      </c>
      <c r="W15" s="55">
        <f>'retirement scenarios'!AG24</f>
        <v>3.84</v>
      </c>
      <c r="X15" s="55">
        <f>'retirement scenarios'!AH24</f>
        <v>3.84</v>
      </c>
      <c r="Y15" s="55">
        <f>'retirement scenarios'!AI24</f>
        <v>3.84</v>
      </c>
      <c r="Z15" s="55">
        <f>'retirement scenarios'!AJ24</f>
        <v>3.84</v>
      </c>
      <c r="AA15" s="55">
        <f>'retirement scenarios'!AK24</f>
        <v>3.84</v>
      </c>
      <c r="AB15" s="55">
        <f>'retirement scenarios'!AL24</f>
        <v>3.1999999999999997</v>
      </c>
      <c r="AC15" s="55">
        <f>'retirement scenarios'!AM24</f>
        <v>3.1999999999999997</v>
      </c>
      <c r="AD15" s="55">
        <f>'retirement scenarios'!AR24</f>
        <v>0</v>
      </c>
      <c r="AE15" s="55">
        <f>'retirement scenarios'!AW24</f>
        <v>0</v>
      </c>
      <c r="AF15" s="55">
        <v>0</v>
      </c>
      <c r="AG15" s="55">
        <v>0</v>
      </c>
    </row>
    <row r="16" spans="1:33" ht="11.25" customHeight="1" x14ac:dyDescent="0.2">
      <c r="B16" s="39" t="str">
        <f>Processes!B16</f>
        <v>ETCLEKRIE-E</v>
      </c>
      <c r="C16" s="39" t="str">
        <f>Processes!C16</f>
        <v>KRIEL</v>
      </c>
      <c r="D16" s="39" t="str">
        <f>Processes!D16</f>
        <v>PJ,GW</v>
      </c>
      <c r="E16" s="49" t="str">
        <f t="shared" si="0"/>
        <v>PWRCLEKRIE</v>
      </c>
      <c r="F16" s="39" t="s">
        <v>121</v>
      </c>
      <c r="H16" s="55">
        <f>'retirement scenarios'!R25</f>
        <v>2.85</v>
      </c>
      <c r="I16" s="55">
        <f>'retirement scenarios'!S25</f>
        <v>2.85</v>
      </c>
      <c r="J16" s="55">
        <f>'retirement scenarios'!T25</f>
        <v>2.85</v>
      </c>
      <c r="K16" s="55">
        <f>'retirement scenarios'!U25</f>
        <v>2.85</v>
      </c>
      <c r="L16" s="55">
        <f>'retirement scenarios'!V25</f>
        <v>2.85</v>
      </c>
      <c r="M16" s="55">
        <f>'retirement scenarios'!W25</f>
        <v>2.85</v>
      </c>
      <c r="N16" s="55">
        <f>'retirement scenarios'!X25</f>
        <v>2.85</v>
      </c>
      <c r="O16" s="55">
        <f>'retirement scenarios'!Y25</f>
        <v>2.375</v>
      </c>
      <c r="P16" s="55">
        <f>'retirement scenarios'!Z25</f>
        <v>1.9</v>
      </c>
      <c r="Q16" s="55">
        <f>'retirement scenarios'!AA25</f>
        <v>1.4249999999999998</v>
      </c>
      <c r="R16" s="55">
        <f>'retirement scenarios'!AB25</f>
        <v>0.47499999999999976</v>
      </c>
      <c r="S16" s="55">
        <f>'retirement scenarios'!AC25</f>
        <v>0</v>
      </c>
      <c r="T16" s="55">
        <f>'retirement scenarios'!AD25</f>
        <v>0</v>
      </c>
      <c r="U16" s="55">
        <f>'retirement scenarios'!AE25</f>
        <v>0</v>
      </c>
      <c r="V16" s="55">
        <f>'retirement scenarios'!AF25</f>
        <v>0</v>
      </c>
      <c r="W16" s="55">
        <f>'retirement scenarios'!AG25</f>
        <v>0</v>
      </c>
      <c r="X16" s="55">
        <f>'retirement scenarios'!AH25</f>
        <v>0</v>
      </c>
      <c r="Y16" s="55">
        <f>'retirement scenarios'!AI25</f>
        <v>0</v>
      </c>
      <c r="Z16" s="55">
        <f>'retirement scenarios'!AJ25</f>
        <v>0</v>
      </c>
      <c r="AA16" s="55">
        <f>'retirement scenarios'!AK25</f>
        <v>0</v>
      </c>
      <c r="AB16" s="55">
        <f>'retirement scenarios'!AL25</f>
        <v>0</v>
      </c>
      <c r="AC16" s="55">
        <f>'retirement scenarios'!AM25</f>
        <v>0</v>
      </c>
      <c r="AD16" s="55">
        <f>'retirement scenarios'!AR25</f>
        <v>0</v>
      </c>
      <c r="AE16" s="55">
        <f>'retirement scenarios'!AW25</f>
        <v>0</v>
      </c>
      <c r="AF16" s="55">
        <v>0</v>
      </c>
      <c r="AG16" s="55">
        <v>0</v>
      </c>
    </row>
    <row r="17" spans="2:33" ht="11.25" customHeight="1" x14ac:dyDescent="0.2">
      <c r="B17" s="39" t="str">
        <f>Processes!B17</f>
        <v>ETCLELETH-E</v>
      </c>
      <c r="C17" s="39" t="str">
        <f>Processes!C17</f>
        <v>LETHABO</v>
      </c>
      <c r="D17" s="39" t="str">
        <f>Processes!D17</f>
        <v>PJ,GW</v>
      </c>
      <c r="E17" s="49" t="str">
        <f t="shared" si="0"/>
        <v>PWRCLELETH</v>
      </c>
      <c r="F17" s="39" t="s">
        <v>121</v>
      </c>
      <c r="H17" s="55">
        <f>'retirement scenarios'!R26</f>
        <v>3.5579999999999998</v>
      </c>
      <c r="I17" s="55">
        <f>'retirement scenarios'!S26</f>
        <v>3.5579999999999998</v>
      </c>
      <c r="J17" s="55">
        <f>'retirement scenarios'!T26</f>
        <v>3.5579999999999998</v>
      </c>
      <c r="K17" s="55">
        <f>'retirement scenarios'!U26</f>
        <v>3.5579999999999998</v>
      </c>
      <c r="L17" s="55">
        <f>'retirement scenarios'!V26</f>
        <v>3.5579999999999998</v>
      </c>
      <c r="M17" s="55">
        <f>'retirement scenarios'!W26</f>
        <v>3.5579999999999998</v>
      </c>
      <c r="N17" s="55">
        <f>'retirement scenarios'!X26</f>
        <v>3.5579999999999998</v>
      </c>
      <c r="O17" s="55">
        <f>'retirement scenarios'!Y26</f>
        <v>3.5579999999999998</v>
      </c>
      <c r="P17" s="55">
        <f>'retirement scenarios'!Z26</f>
        <v>3.5579999999999998</v>
      </c>
      <c r="Q17" s="55">
        <f>'retirement scenarios'!AA26</f>
        <v>3.5579999999999998</v>
      </c>
      <c r="R17" s="55">
        <f>'retirement scenarios'!AB26</f>
        <v>3.5579999999999998</v>
      </c>
      <c r="S17" s="55">
        <f>'retirement scenarios'!AC26</f>
        <v>3.5579999999999998</v>
      </c>
      <c r="T17" s="55">
        <f>'retirement scenarios'!AD26</f>
        <v>3.5579999999999998</v>
      </c>
      <c r="U17" s="55">
        <f>'retirement scenarios'!AE26</f>
        <v>3.5579999999999998</v>
      </c>
      <c r="V17" s="55">
        <f>'retirement scenarios'!AF26</f>
        <v>3.5579999999999998</v>
      </c>
      <c r="W17" s="55">
        <f>'retirement scenarios'!AG26</f>
        <v>3.5579999999999998</v>
      </c>
      <c r="X17" s="55">
        <f>'retirement scenarios'!AH26</f>
        <v>3.5579999999999998</v>
      </c>
      <c r="Y17" s="55">
        <f>'retirement scenarios'!AI26</f>
        <v>2.9649999999999999</v>
      </c>
      <c r="Z17" s="55">
        <f>'retirement scenarios'!AJ26</f>
        <v>1.7789999999999999</v>
      </c>
      <c r="AA17" s="55">
        <f>'retirement scenarios'!AK26</f>
        <v>1.1859999999999999</v>
      </c>
      <c r="AB17" s="55">
        <f>'retirement scenarios'!AL26</f>
        <v>1.1859999999999999</v>
      </c>
      <c r="AC17" s="55">
        <f>'retirement scenarios'!AM26</f>
        <v>0.59299999999999997</v>
      </c>
      <c r="AD17" s="55">
        <f>'retirement scenarios'!AR26</f>
        <v>0</v>
      </c>
      <c r="AE17" s="55">
        <f>'retirement scenarios'!AW26</f>
        <v>0</v>
      </c>
      <c r="AF17" s="55">
        <v>0</v>
      </c>
      <c r="AG17" s="55">
        <v>0</v>
      </c>
    </row>
    <row r="18" spans="2:33" ht="11.25" customHeight="1" x14ac:dyDescent="0.2">
      <c r="B18" s="39" t="str">
        <f>Processes!B18</f>
        <v>ETCLEMAJD-E</v>
      </c>
      <c r="C18" s="39" t="str">
        <f>Processes!C18</f>
        <v>MAJUBA DRY</v>
      </c>
      <c r="D18" s="39" t="str">
        <f>Processes!D18</f>
        <v>PJ,GW</v>
      </c>
      <c r="E18" s="49" t="s">
        <v>175</v>
      </c>
      <c r="F18" s="39" t="s">
        <v>121</v>
      </c>
      <c r="H18" s="55">
        <f>'retirement scenarios'!R27</f>
        <v>1.8330000000000002</v>
      </c>
      <c r="I18" s="55">
        <f>'retirement scenarios'!S27</f>
        <v>1.8330000000000002</v>
      </c>
      <c r="J18" s="55">
        <f>'retirement scenarios'!T27</f>
        <v>1.8330000000000002</v>
      </c>
      <c r="K18" s="55">
        <f>'retirement scenarios'!U27</f>
        <v>1.8330000000000002</v>
      </c>
      <c r="L18" s="55">
        <f>'retirement scenarios'!V27</f>
        <v>1.8330000000000002</v>
      </c>
      <c r="M18" s="55">
        <f>'retirement scenarios'!W27</f>
        <v>1.8330000000000002</v>
      </c>
      <c r="N18" s="55">
        <f>'retirement scenarios'!X27</f>
        <v>1.8330000000000002</v>
      </c>
      <c r="O18" s="55">
        <f>'retirement scenarios'!Y27</f>
        <v>1.8330000000000002</v>
      </c>
      <c r="P18" s="55">
        <f>'retirement scenarios'!Z27</f>
        <v>1.8330000000000002</v>
      </c>
      <c r="Q18" s="55">
        <f>'retirement scenarios'!AA27</f>
        <v>1.8330000000000002</v>
      </c>
      <c r="R18" s="55">
        <f>'retirement scenarios'!AB27</f>
        <v>1.8330000000000002</v>
      </c>
      <c r="S18" s="55">
        <f>'retirement scenarios'!AC27</f>
        <v>1.8330000000000002</v>
      </c>
      <c r="T18" s="55">
        <f>'retirement scenarios'!AD27</f>
        <v>1.8330000000000002</v>
      </c>
      <c r="U18" s="55">
        <f>'retirement scenarios'!AE27</f>
        <v>1.8330000000000002</v>
      </c>
      <c r="V18" s="55">
        <f>'retirement scenarios'!AF27</f>
        <v>1.8330000000000002</v>
      </c>
      <c r="W18" s="55">
        <f>'retirement scenarios'!AG27</f>
        <v>1.8330000000000002</v>
      </c>
      <c r="X18" s="55">
        <f>'retirement scenarios'!AH27</f>
        <v>1.8330000000000002</v>
      </c>
      <c r="Y18" s="55">
        <f>'retirement scenarios'!AI27</f>
        <v>1.8330000000000002</v>
      </c>
      <c r="Z18" s="55">
        <f>'retirement scenarios'!AJ27</f>
        <v>1.8330000000000002</v>
      </c>
      <c r="AA18" s="55">
        <f>'retirement scenarios'!AK27</f>
        <v>1.8330000000000002</v>
      </c>
      <c r="AB18" s="55">
        <f>'retirement scenarios'!AL27</f>
        <v>1.8330000000000002</v>
      </c>
      <c r="AC18" s="55">
        <f>'retirement scenarios'!AM27</f>
        <v>1.8330000000000002</v>
      </c>
      <c r="AD18" s="55">
        <f>'retirement scenarios'!AR27</f>
        <v>1.8330000000000002</v>
      </c>
      <c r="AE18" s="55">
        <f>'retirement scenarios'!AW27</f>
        <v>0</v>
      </c>
      <c r="AF18" s="55">
        <v>0</v>
      </c>
      <c r="AG18" s="55">
        <v>0</v>
      </c>
    </row>
    <row r="19" spans="2:33" ht="11.25" customHeight="1" x14ac:dyDescent="0.2">
      <c r="B19" s="39" t="str">
        <f>Processes!B19</f>
        <v>ETCLEMAJW-E</v>
      </c>
      <c r="C19" s="39" t="str">
        <f>Processes!C19</f>
        <v>MAJUBA WET</v>
      </c>
      <c r="D19" s="39" t="str">
        <f>Processes!D19</f>
        <v>PJ,GW</v>
      </c>
      <c r="E19" s="49" t="s">
        <v>175</v>
      </c>
      <c r="F19" s="39" t="s">
        <v>121</v>
      </c>
      <c r="H19" s="55">
        <f>'retirement scenarios'!R28</f>
        <v>2.0099999999999998</v>
      </c>
      <c r="I19" s="55">
        <f>'retirement scenarios'!S28</f>
        <v>2.0099999999999998</v>
      </c>
      <c r="J19" s="55">
        <f>'retirement scenarios'!T28</f>
        <v>2.0099999999999998</v>
      </c>
      <c r="K19" s="55">
        <f>'retirement scenarios'!U28</f>
        <v>2.0099999999999998</v>
      </c>
      <c r="L19" s="55">
        <f>'retirement scenarios'!V28</f>
        <v>2.0099999999999998</v>
      </c>
      <c r="M19" s="55">
        <f>'retirement scenarios'!W28</f>
        <v>2.0099999999999998</v>
      </c>
      <c r="N19" s="55">
        <f>'retirement scenarios'!X28</f>
        <v>2.0099999999999998</v>
      </c>
      <c r="O19" s="55">
        <f>'retirement scenarios'!Y28</f>
        <v>2.0099999999999998</v>
      </c>
      <c r="P19" s="55">
        <f>'retirement scenarios'!Z28</f>
        <v>2.0099999999999998</v>
      </c>
      <c r="Q19" s="55">
        <f>'retirement scenarios'!AA28</f>
        <v>2.0099999999999998</v>
      </c>
      <c r="R19" s="55">
        <f>'retirement scenarios'!AB28</f>
        <v>2.0099999999999998</v>
      </c>
      <c r="S19" s="55">
        <f>'retirement scenarios'!AC28</f>
        <v>2.0099999999999998</v>
      </c>
      <c r="T19" s="55">
        <f>'retirement scenarios'!AD28</f>
        <v>2.0099999999999998</v>
      </c>
      <c r="U19" s="55">
        <f>'retirement scenarios'!AE28</f>
        <v>2.0099999999999998</v>
      </c>
      <c r="V19" s="55">
        <f>'retirement scenarios'!AF28</f>
        <v>2.0099999999999998</v>
      </c>
      <c r="W19" s="55">
        <f>'retirement scenarios'!AG28</f>
        <v>2.0099999999999998</v>
      </c>
      <c r="X19" s="55">
        <f>'retirement scenarios'!AH28</f>
        <v>2.0099999999999998</v>
      </c>
      <c r="Y19" s="55">
        <f>'retirement scenarios'!AI28</f>
        <v>2.0099999999999998</v>
      </c>
      <c r="Z19" s="55">
        <f>'retirement scenarios'!AJ28</f>
        <v>2.0099999999999998</v>
      </c>
      <c r="AA19" s="55">
        <f>'retirement scenarios'!AK28</f>
        <v>2.0099999999999998</v>
      </c>
      <c r="AB19" s="55">
        <f>'retirement scenarios'!AL28</f>
        <v>2.0099999999999998</v>
      </c>
      <c r="AC19" s="55">
        <f>'retirement scenarios'!AM28</f>
        <v>2.0099999999999998</v>
      </c>
      <c r="AD19" s="55">
        <f>'retirement scenarios'!AR28</f>
        <v>2.0099999999999998</v>
      </c>
      <c r="AE19" s="55">
        <f>'retirement scenarios'!AW28</f>
        <v>0.66999999999999993</v>
      </c>
      <c r="AF19" s="55">
        <v>0</v>
      </c>
      <c r="AG19" s="55">
        <v>0</v>
      </c>
    </row>
    <row r="20" spans="2:33" ht="11.25" customHeight="1" x14ac:dyDescent="0.2">
      <c r="B20" s="39" t="str">
        <f>Processes!B20</f>
        <v>ETCLEMATI-E</v>
      </c>
      <c r="C20" s="39" t="str">
        <f>Processes!C20</f>
        <v>MATIMBA</v>
      </c>
      <c r="D20" s="39" t="str">
        <f>Processes!D20</f>
        <v>PJ,GW</v>
      </c>
      <c r="E20" s="49" t="str">
        <f>"PWR"&amp;MID(B20,3,7)</f>
        <v>PWRCLEMATI</v>
      </c>
      <c r="F20" s="39" t="s">
        <v>121</v>
      </c>
      <c r="H20" s="55">
        <f>'retirement scenarios'!R29</f>
        <v>3.69</v>
      </c>
      <c r="I20" s="55">
        <f>'retirement scenarios'!S29</f>
        <v>3.69</v>
      </c>
      <c r="J20" s="55">
        <f>'retirement scenarios'!T29</f>
        <v>3.69</v>
      </c>
      <c r="K20" s="55">
        <f>'retirement scenarios'!U29</f>
        <v>3.69</v>
      </c>
      <c r="L20" s="55">
        <f>'retirement scenarios'!V29</f>
        <v>3.69</v>
      </c>
      <c r="M20" s="55">
        <f>'retirement scenarios'!W29</f>
        <v>3.69</v>
      </c>
      <c r="N20" s="55">
        <f>'retirement scenarios'!X29</f>
        <v>3.69</v>
      </c>
      <c r="O20" s="55">
        <f>'retirement scenarios'!Y29</f>
        <v>3.69</v>
      </c>
      <c r="P20" s="55">
        <f>'retirement scenarios'!Z29</f>
        <v>3.69</v>
      </c>
      <c r="Q20" s="55">
        <f>'retirement scenarios'!AA29</f>
        <v>3.69</v>
      </c>
      <c r="R20" s="55">
        <f>'retirement scenarios'!AB29</f>
        <v>3.69</v>
      </c>
      <c r="S20" s="55">
        <f>'retirement scenarios'!AC29</f>
        <v>3.69</v>
      </c>
      <c r="T20" s="55">
        <f>'retirement scenarios'!AD29</f>
        <v>3.69</v>
      </c>
      <c r="U20" s="55">
        <f>'retirement scenarios'!AE29</f>
        <v>3.69</v>
      </c>
      <c r="V20" s="55">
        <f>'retirement scenarios'!AF29</f>
        <v>3.69</v>
      </c>
      <c r="W20" s="55">
        <f>'retirement scenarios'!AG29</f>
        <v>3.69</v>
      </c>
      <c r="X20" s="55">
        <f>'retirement scenarios'!AH29</f>
        <v>3.69</v>
      </c>
      <c r="Y20" s="55">
        <f>'retirement scenarios'!AI29</f>
        <v>3.69</v>
      </c>
      <c r="Z20" s="55">
        <f>'retirement scenarios'!AJ29</f>
        <v>3.69</v>
      </c>
      <c r="AA20" s="55">
        <f>'retirement scenarios'!AK29</f>
        <v>2.46</v>
      </c>
      <c r="AB20" s="55">
        <f>'retirement scenarios'!AL29</f>
        <v>1.845</v>
      </c>
      <c r="AC20" s="55">
        <f>'retirement scenarios'!AM29</f>
        <v>1.23</v>
      </c>
      <c r="AD20" s="55">
        <f>'retirement scenarios'!AR29</f>
        <v>0</v>
      </c>
      <c r="AE20" s="55">
        <f>'retirement scenarios'!AW29</f>
        <v>0</v>
      </c>
      <c r="AF20" s="55">
        <v>0</v>
      </c>
      <c r="AG20" s="55">
        <v>0</v>
      </c>
    </row>
    <row r="21" spans="2:33" ht="11.25" customHeight="1" x14ac:dyDescent="0.2">
      <c r="B21" s="39" t="str">
        <f>Processes!B21</f>
        <v>ETCLEMATL-E</v>
      </c>
      <c r="C21" s="39" t="str">
        <f>Processes!C21</f>
        <v>MATLA</v>
      </c>
      <c r="D21" s="39" t="str">
        <f>Processes!D21</f>
        <v>PJ,GW</v>
      </c>
      <c r="E21" s="49" t="str">
        <f>"PWR"&amp;MID(B21,3,7)</f>
        <v>PWRCLEMATL</v>
      </c>
      <c r="F21" s="39" t="s">
        <v>121</v>
      </c>
      <c r="H21" s="55">
        <f>'retirement scenarios'!R30</f>
        <v>3.45</v>
      </c>
      <c r="I21" s="55">
        <f>'retirement scenarios'!S30</f>
        <v>3.45</v>
      </c>
      <c r="J21" s="55">
        <f>'retirement scenarios'!T30</f>
        <v>3.45</v>
      </c>
      <c r="K21" s="55">
        <f>'retirement scenarios'!U30</f>
        <v>3.45</v>
      </c>
      <c r="L21" s="55">
        <f>'retirement scenarios'!V30</f>
        <v>3.45</v>
      </c>
      <c r="M21" s="55">
        <f>'retirement scenarios'!W30</f>
        <v>3.45</v>
      </c>
      <c r="N21" s="55">
        <f>'retirement scenarios'!X30</f>
        <v>3.45</v>
      </c>
      <c r="O21" s="55">
        <f>'retirement scenarios'!Y30</f>
        <v>3.45</v>
      </c>
      <c r="P21" s="55">
        <f>'retirement scenarios'!Z30</f>
        <v>3.45</v>
      </c>
      <c r="Q21" s="55">
        <f>'retirement scenarios'!AA30</f>
        <v>3.45</v>
      </c>
      <c r="R21" s="55">
        <f>'retirement scenarios'!AB30</f>
        <v>3.45</v>
      </c>
      <c r="S21" s="55">
        <f>'retirement scenarios'!AC30</f>
        <v>3.45</v>
      </c>
      <c r="T21" s="55">
        <f>'retirement scenarios'!AD30</f>
        <v>0</v>
      </c>
      <c r="U21" s="55">
        <f>'retirement scenarios'!AE30</f>
        <v>0</v>
      </c>
      <c r="V21" s="55">
        <f>'retirement scenarios'!AF30</f>
        <v>0</v>
      </c>
      <c r="W21" s="55">
        <f>'retirement scenarios'!AG30</f>
        <v>0</v>
      </c>
      <c r="X21" s="55">
        <f>'retirement scenarios'!AH30</f>
        <v>0</v>
      </c>
      <c r="Y21" s="55">
        <f>'retirement scenarios'!AI30</f>
        <v>0</v>
      </c>
      <c r="Z21" s="55">
        <f>'retirement scenarios'!AJ30</f>
        <v>0</v>
      </c>
      <c r="AA21" s="55">
        <f>'retirement scenarios'!AK30</f>
        <v>0</v>
      </c>
      <c r="AB21" s="55">
        <f>'retirement scenarios'!AL30</f>
        <v>0</v>
      </c>
      <c r="AC21" s="55">
        <f>'retirement scenarios'!AM30</f>
        <v>0</v>
      </c>
      <c r="AD21" s="55">
        <f>'retirement scenarios'!AR30</f>
        <v>0</v>
      </c>
      <c r="AE21" s="55">
        <f>'retirement scenarios'!AW30</f>
        <v>0</v>
      </c>
      <c r="AF21" s="55">
        <v>0</v>
      </c>
      <c r="AG21" s="55">
        <v>0</v>
      </c>
    </row>
    <row r="22" spans="2:33" ht="11.25" customHeight="1" x14ac:dyDescent="0.2">
      <c r="B22" s="39" t="str">
        <f>Processes!B22</f>
        <v>ETCLETUTU-E</v>
      </c>
      <c r="C22" s="39" t="str">
        <f>Processes!C22</f>
        <v>TUTUKA</v>
      </c>
      <c r="D22" s="39" t="str">
        <f>Processes!D22</f>
        <v>PJ,GW</v>
      </c>
      <c r="E22" s="49" t="str">
        <f>"PWR"&amp;MID(B22,3,7)</f>
        <v>PWRCLETUTU</v>
      </c>
      <c r="F22" s="39" t="s">
        <v>121</v>
      </c>
      <c r="H22" s="55">
        <f>'retirement scenarios'!R31</f>
        <v>3.51</v>
      </c>
      <c r="I22" s="55">
        <f>'retirement scenarios'!S31</f>
        <v>3.51</v>
      </c>
      <c r="J22" s="55">
        <f>'retirement scenarios'!T31</f>
        <v>3.51</v>
      </c>
      <c r="K22" s="55">
        <f>'retirement scenarios'!U31</f>
        <v>3.51</v>
      </c>
      <c r="L22" s="55">
        <f>'retirement scenarios'!V31</f>
        <v>3.51</v>
      </c>
      <c r="M22" s="55">
        <f>'retirement scenarios'!W31</f>
        <v>3.51</v>
      </c>
      <c r="N22" s="55">
        <f>'retirement scenarios'!X31</f>
        <v>3.51</v>
      </c>
      <c r="O22" s="55">
        <f>'retirement scenarios'!Y31</f>
        <v>3.51</v>
      </c>
      <c r="P22" s="55">
        <f>'retirement scenarios'!Z31</f>
        <v>3.51</v>
      </c>
      <c r="Q22" s="55">
        <f>'retirement scenarios'!AA31</f>
        <v>3.51</v>
      </c>
      <c r="R22" s="55">
        <f>'retirement scenarios'!AB31</f>
        <v>3.51</v>
      </c>
      <c r="S22" s="55">
        <f>'retirement scenarios'!AC31</f>
        <v>3.51</v>
      </c>
      <c r="T22" s="55">
        <f>'retirement scenarios'!AD31</f>
        <v>0</v>
      </c>
      <c r="U22" s="55">
        <f>'retirement scenarios'!AE31</f>
        <v>0</v>
      </c>
      <c r="V22" s="55">
        <f>'retirement scenarios'!AF31</f>
        <v>0</v>
      </c>
      <c r="W22" s="55">
        <f>'retirement scenarios'!AG31</f>
        <v>0</v>
      </c>
      <c r="X22" s="55">
        <f>'retirement scenarios'!AH31</f>
        <v>0</v>
      </c>
      <c r="Y22" s="55">
        <f>'retirement scenarios'!AI31</f>
        <v>0</v>
      </c>
      <c r="Z22" s="55">
        <f>'retirement scenarios'!AJ31</f>
        <v>0</v>
      </c>
      <c r="AA22" s="55">
        <f>'retirement scenarios'!AK31</f>
        <v>0</v>
      </c>
      <c r="AB22" s="55">
        <f>'retirement scenarios'!AL31</f>
        <v>0</v>
      </c>
      <c r="AC22" s="55">
        <f>'retirement scenarios'!AM31</f>
        <v>0</v>
      </c>
      <c r="AD22" s="55">
        <f>'retirement scenarios'!AR31</f>
        <v>0</v>
      </c>
      <c r="AE22" s="55">
        <f>'retirement scenarios'!AW31</f>
        <v>0</v>
      </c>
      <c r="AF22" s="55">
        <v>0</v>
      </c>
      <c r="AG22" s="55">
        <v>0</v>
      </c>
    </row>
    <row r="24" spans="2:33" ht="11.25" customHeight="1" x14ac:dyDescent="0.2"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</row>
    <row r="25" spans="2:33" ht="11.25" customHeight="1" x14ac:dyDescent="0.2"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</row>
    <row r="26" spans="2:33" ht="11.25" customHeight="1" x14ac:dyDescent="0.2"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</row>
    <row r="27" spans="2:33" ht="11.25" customHeight="1" x14ac:dyDescent="0.2"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</row>
    <row r="28" spans="2:33" ht="11.25" customHeight="1" x14ac:dyDescent="0.2">
      <c r="T28" s="110"/>
      <c r="U28" s="110"/>
      <c r="V28" s="110"/>
      <c r="W28" s="110"/>
      <c r="X28" s="48"/>
      <c r="Y28" s="48"/>
      <c r="Z28" s="48"/>
      <c r="AA28" s="48"/>
      <c r="AB28" s="48"/>
      <c r="AC28" s="48"/>
      <c r="AD28" s="48"/>
      <c r="AE28" s="48"/>
      <c r="AF28" s="48"/>
      <c r="AG28" s="48"/>
    </row>
    <row r="29" spans="2:33" ht="11.25" customHeight="1" x14ac:dyDescent="0.2"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</row>
    <row r="30" spans="2:33" ht="11.25" customHeight="1" x14ac:dyDescent="0.2"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</row>
    <row r="31" spans="2:33" ht="11.25" customHeight="1" x14ac:dyDescent="0.2"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</row>
    <row r="32" spans="2:33" ht="11.25" customHeight="1" x14ac:dyDescent="0.2"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</row>
    <row r="33" spans="20:33" ht="11.25" customHeight="1" x14ac:dyDescent="0.2"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</row>
    <row r="34" spans="20:33" ht="11.25" customHeight="1" x14ac:dyDescent="0.2"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</row>
    <row r="35" spans="20:33" ht="11.25" customHeight="1" x14ac:dyDescent="0.2"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</row>
    <row r="36" spans="20:33" ht="11.25" customHeight="1" x14ac:dyDescent="0.2"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</row>
    <row r="37" spans="20:33" ht="11.25" customHeight="1" x14ac:dyDescent="0.2"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</row>
    <row r="38" spans="20:33" ht="11.25" customHeight="1" x14ac:dyDescent="0.2"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</row>
    <row r="39" spans="20:33" ht="11.25" customHeight="1" x14ac:dyDescent="0.2">
      <c r="T39" s="48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48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9092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259092" r:id="rId4" name="cmdAddParamQualifier2"/>
      </mc:Fallback>
    </mc:AlternateContent>
    <mc:AlternateContent xmlns:mc="http://schemas.openxmlformats.org/markup-compatibility/2006">
      <mc:Choice Requires="x14">
        <control shapeId="259091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259091" r:id="rId6" name="cmdCheckTechDataSheet"/>
      </mc:Fallback>
    </mc:AlternateContent>
    <mc:AlternateContent xmlns:mc="http://schemas.openxmlformats.org/markup-compatibility/2006">
      <mc:Choice Requires="x14">
        <control shapeId="259090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259090" r:id="rId8" name="cmdAddParamQualifier1"/>
      </mc:Fallback>
    </mc:AlternateContent>
    <mc:AlternateContent xmlns:mc="http://schemas.openxmlformats.org/markup-compatibility/2006">
      <mc:Choice Requires="x14">
        <control shapeId="259089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259089" r:id="rId10" name="cmdAddParameter"/>
      </mc:Fallback>
    </mc:AlternateContent>
    <mc:AlternateContent xmlns:mc="http://schemas.openxmlformats.org/markup-compatibility/2006">
      <mc:Choice Requires="x14">
        <control shapeId="259088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259088" r:id="rId12" name="cmdCommOUT"/>
      </mc:Fallback>
    </mc:AlternateContent>
    <mc:AlternateContent xmlns:mc="http://schemas.openxmlformats.org/markup-compatibility/2006">
      <mc:Choice Requires="x14">
        <control shapeId="259087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259087" r:id="rId14" name="cmdCommIN"/>
      </mc:Fallback>
    </mc:AlternateContent>
    <mc:AlternateContent xmlns:mc="http://schemas.openxmlformats.org/markup-compatibility/2006">
      <mc:Choice Requires="x14">
        <control shapeId="259086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259086" r:id="rId16" name="cmdTechNameAndDesc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CA9AC-E8EE-4E75-9D64-C1306185BBA5}">
  <sheetPr codeName="Sheet34">
    <tabColor rgb="FF00B0F0"/>
  </sheetPr>
  <dimension ref="A1:Q39"/>
  <sheetViews>
    <sheetView topLeftCell="A3" workbookViewId="0">
      <selection activeCell="H39" sqref="H39"/>
    </sheetView>
    <sheetView topLeftCell="A7" workbookViewId="1">
      <selection activeCell="P31" sqref="P31"/>
    </sheetView>
  </sheetViews>
  <sheetFormatPr defaultColWidth="9.140625" defaultRowHeight="11.25" customHeight="1" x14ac:dyDescent="0.2"/>
  <cols>
    <col min="1" max="1" width="12.28515625" style="39" customWidth="1"/>
    <col min="2" max="2" width="15.28515625" style="39" customWidth="1"/>
    <col min="3" max="3" width="36.140625" style="39" customWidth="1"/>
    <col min="4" max="4" width="8.5703125" style="39" customWidth="1"/>
    <col min="5" max="5" width="12.28515625" style="39" customWidth="1"/>
    <col min="6" max="6" width="10.140625" style="39" customWidth="1"/>
    <col min="7" max="7" width="6.85546875" style="45" customWidth="1"/>
    <col min="8" max="9" width="9.140625" style="39"/>
    <col min="10" max="14" width="11.140625" style="39" customWidth="1"/>
    <col min="15" max="16384" width="9.140625" style="39"/>
  </cols>
  <sheetData>
    <row r="1" spans="1:17" ht="11.25" customHeight="1" x14ac:dyDescent="0.2">
      <c r="A1" s="53" t="s">
        <v>300</v>
      </c>
      <c r="B1" s="18" t="s">
        <v>122</v>
      </c>
      <c r="P1" s="39" t="s">
        <v>92</v>
      </c>
    </row>
    <row r="2" spans="1:17" ht="11.25" customHeight="1" x14ac:dyDescent="0.2">
      <c r="A2" s="51" t="str">
        <f ca="1">MID(CELL("filename",A1),FIND("]",CELL("filename",A1))+1,255)</f>
        <v>ProcDataFGD</v>
      </c>
    </row>
    <row r="3" spans="1:17" ht="34.5" customHeight="1" x14ac:dyDescent="0.2">
      <c r="J3" s="61" t="s">
        <v>192</v>
      </c>
      <c r="K3" s="61" t="s">
        <v>128</v>
      </c>
      <c r="L3" s="61" t="s">
        <v>130</v>
      </c>
      <c r="M3" s="61" t="s">
        <v>194</v>
      </c>
      <c r="N3" s="61" t="s">
        <v>193</v>
      </c>
      <c r="O3" s="61" t="s">
        <v>133</v>
      </c>
      <c r="P3" s="39" t="s">
        <v>349</v>
      </c>
      <c r="Q3" s="61" t="s">
        <v>127</v>
      </c>
    </row>
    <row r="4" spans="1:17" ht="21.75" customHeight="1" x14ac:dyDescent="0.2">
      <c r="E4" s="60"/>
      <c r="F4" s="60"/>
      <c r="G4" s="60"/>
      <c r="H4" s="59" t="s">
        <v>187</v>
      </c>
      <c r="I4" s="59" t="s">
        <v>187</v>
      </c>
      <c r="J4" s="59" t="s">
        <v>190</v>
      </c>
      <c r="K4" s="52" t="s">
        <v>118</v>
      </c>
      <c r="L4" s="52" t="s">
        <v>131</v>
      </c>
      <c r="M4" s="52" t="s">
        <v>189</v>
      </c>
      <c r="N4" s="52" t="s">
        <v>191</v>
      </c>
      <c r="O4" s="52" t="s">
        <v>188</v>
      </c>
      <c r="Q4" s="52" t="s">
        <v>117</v>
      </c>
    </row>
    <row r="5" spans="1:17" ht="16.5" customHeight="1" x14ac:dyDescent="0.2">
      <c r="H5" s="52" t="s">
        <v>186</v>
      </c>
      <c r="I5" s="52" t="s">
        <v>186</v>
      </c>
      <c r="Q5" s="58"/>
    </row>
    <row r="6" spans="1:17" ht="17.25" customHeight="1" x14ac:dyDescent="0.2">
      <c r="H6" s="52" t="s">
        <v>119</v>
      </c>
      <c r="I6" s="52" t="s">
        <v>119</v>
      </c>
      <c r="Q6" s="58"/>
    </row>
    <row r="7" spans="1:17" ht="21.75" customHeight="1" x14ac:dyDescent="0.2">
      <c r="B7" s="53" t="s">
        <v>56</v>
      </c>
      <c r="C7" s="53" t="s">
        <v>57</v>
      </c>
      <c r="D7" s="57" t="s">
        <v>93</v>
      </c>
      <c r="E7" s="53" t="s">
        <v>80</v>
      </c>
      <c r="F7" s="53" t="s">
        <v>81</v>
      </c>
      <c r="G7" s="57" t="s">
        <v>94</v>
      </c>
      <c r="H7" s="39">
        <v>2030</v>
      </c>
      <c r="I7" s="39">
        <v>2031</v>
      </c>
      <c r="J7" s="39">
        <v>2031</v>
      </c>
      <c r="Q7" s="56" t="s">
        <v>44</v>
      </c>
    </row>
    <row r="8" spans="1:17" ht="11.25" customHeight="1" x14ac:dyDescent="0.2">
      <c r="A8" s="42" t="s">
        <v>232</v>
      </c>
      <c r="F8" s="44"/>
    </row>
    <row r="9" spans="1:17" s="45" customFormat="1" ht="11.25" customHeight="1" x14ac:dyDescent="0.2">
      <c r="A9" s="39"/>
      <c r="B9" s="39" t="str">
        <f>Processes!B9</f>
        <v>ETCLECAMD-E</v>
      </c>
      <c r="C9" s="39" t="str">
        <f>Processes!C9</f>
        <v>CAMDEN</v>
      </c>
      <c r="D9" s="39" t="str">
        <f>Processes!D9</f>
        <v>PJ,GW</v>
      </c>
      <c r="E9" s="49" t="str">
        <f t="shared" ref="E9:E17" si="0">"PWR"&amp;MID(B9,3,7)</f>
        <v>PWRCLECAMD</v>
      </c>
      <c r="F9" s="39" t="s">
        <v>121</v>
      </c>
      <c r="H9" s="55" t="str">
        <f>IF(P25&gt;5,0.868,"")</f>
        <v/>
      </c>
      <c r="I9" s="55" t="str">
        <f>IF(P25&gt;5,0.06514,"")</f>
        <v/>
      </c>
    </row>
    <row r="10" spans="1:17" s="45" customFormat="1" ht="11.25" customHeight="1" x14ac:dyDescent="0.2">
      <c r="A10" s="39"/>
      <c r="B10" s="39" t="str">
        <f>Processes!B10</f>
        <v>ETCLEGROO-E</v>
      </c>
      <c r="C10" s="39" t="str">
        <f>Processes!C10</f>
        <v>GROOTVLEI</v>
      </c>
      <c r="D10" s="39" t="str">
        <f>Processes!D10</f>
        <v>PJ,GW</v>
      </c>
      <c r="E10" s="49" t="str">
        <f t="shared" si="0"/>
        <v>PWRCLEGROO</v>
      </c>
      <c r="F10" s="39" t="s">
        <v>121</v>
      </c>
      <c r="H10" s="55" t="str">
        <f t="shared" ref="H10:H22" si="1">IF(P26&gt;5,0.868,"")</f>
        <v/>
      </c>
      <c r="I10" s="55" t="str">
        <f t="shared" ref="I10:I23" si="2">IF(P26&gt;5,0.06514,"")</f>
        <v/>
      </c>
    </row>
    <row r="11" spans="1:17" s="45" customFormat="1" ht="11.25" customHeight="1" x14ac:dyDescent="0.2">
      <c r="A11" s="39"/>
      <c r="B11" s="39" t="str">
        <f>Processes!B11</f>
        <v>ETCLEKOMA-E</v>
      </c>
      <c r="C11" s="39" t="str">
        <f>Processes!C11</f>
        <v>KOMATI</v>
      </c>
      <c r="D11" s="39" t="str">
        <f>Processes!D11</f>
        <v>PJ,GW</v>
      </c>
      <c r="E11" s="49" t="str">
        <f t="shared" si="0"/>
        <v>PWRCLEKOMA</v>
      </c>
      <c r="F11" s="39" t="s">
        <v>121</v>
      </c>
      <c r="H11" s="55" t="str">
        <f t="shared" si="1"/>
        <v/>
      </c>
      <c r="I11" s="55" t="str">
        <f t="shared" si="2"/>
        <v/>
      </c>
    </row>
    <row r="12" spans="1:17" ht="11.25" customHeight="1" x14ac:dyDescent="0.2">
      <c r="B12" s="39" t="str">
        <f>Processes!B12</f>
        <v>ETCLEARNO-E</v>
      </c>
      <c r="C12" s="39" t="str">
        <f>Processes!C12</f>
        <v>ARNOT</v>
      </c>
      <c r="D12" s="39" t="str">
        <f>Processes!D12</f>
        <v>PJ,GW</v>
      </c>
      <c r="E12" s="49" t="str">
        <f t="shared" si="0"/>
        <v>PWRCLEARNO</v>
      </c>
      <c r="F12" s="39" t="s">
        <v>121</v>
      </c>
      <c r="H12" s="55" t="str">
        <f t="shared" si="1"/>
        <v/>
      </c>
      <c r="I12" s="55" t="str">
        <f t="shared" si="2"/>
        <v/>
      </c>
    </row>
    <row r="13" spans="1:17" ht="11.25" customHeight="1" x14ac:dyDescent="0.2">
      <c r="B13" s="39" t="str">
        <f>Processes!B13</f>
        <v>ETCLEDUVH-E</v>
      </c>
      <c r="C13" s="39" t="str">
        <f>Processes!C13</f>
        <v>DUVHA</v>
      </c>
      <c r="D13" s="39" t="str">
        <f>Processes!D13</f>
        <v>PJ,GW</v>
      </c>
      <c r="E13" s="49" t="str">
        <f t="shared" si="0"/>
        <v>PWRCLEDUVH</v>
      </c>
      <c r="F13" s="39" t="s">
        <v>121</v>
      </c>
      <c r="H13" s="55">
        <f t="shared" si="1"/>
        <v>0.86799999999999999</v>
      </c>
      <c r="I13" s="55">
        <f t="shared" si="2"/>
        <v>6.5140000000000003E-2</v>
      </c>
    </row>
    <row r="14" spans="1:17" ht="11.25" customHeight="1" x14ac:dyDescent="0.2">
      <c r="B14" s="39" t="str">
        <f>Processes!B14</f>
        <v>ETCLEHEND-E</v>
      </c>
      <c r="C14" s="39" t="str">
        <f>Processes!C14</f>
        <v>HENDRINA</v>
      </c>
      <c r="D14" s="39" t="str">
        <f>Processes!D14</f>
        <v>PJ,GW</v>
      </c>
      <c r="E14" s="49" t="str">
        <f t="shared" si="0"/>
        <v>PWRCLEHEND</v>
      </c>
      <c r="F14" s="39" t="s">
        <v>121</v>
      </c>
      <c r="H14" s="55" t="str">
        <f t="shared" si="1"/>
        <v/>
      </c>
      <c r="I14" s="55" t="str">
        <f t="shared" si="2"/>
        <v/>
      </c>
    </row>
    <row r="15" spans="1:17" ht="11.25" customHeight="1" x14ac:dyDescent="0.2">
      <c r="B15" s="39" t="str">
        <f>Processes!B15</f>
        <v>ETCLEKEND-E</v>
      </c>
      <c r="C15" s="39" t="str">
        <f>Processes!C15</f>
        <v>KENDAL</v>
      </c>
      <c r="D15" s="39" t="str">
        <f>Processes!D15</f>
        <v>PJ,GW</v>
      </c>
      <c r="E15" s="49" t="str">
        <f t="shared" si="0"/>
        <v>PWRCLEKEND</v>
      </c>
      <c r="F15" s="39" t="s">
        <v>121</v>
      </c>
      <c r="H15" s="55">
        <f t="shared" si="1"/>
        <v>0.86799999999999999</v>
      </c>
      <c r="I15" s="55">
        <f t="shared" si="2"/>
        <v>6.5140000000000003E-2</v>
      </c>
    </row>
    <row r="16" spans="1:17" ht="11.25" customHeight="1" x14ac:dyDescent="0.2">
      <c r="B16" s="39" t="str">
        <f>Processes!B16</f>
        <v>ETCLEKRIE-E</v>
      </c>
      <c r="C16" s="39" t="str">
        <f>Processes!C16</f>
        <v>KRIEL</v>
      </c>
      <c r="D16" s="39" t="str">
        <f>Processes!D16</f>
        <v>PJ,GW</v>
      </c>
      <c r="E16" s="49" t="str">
        <f t="shared" si="0"/>
        <v>PWRCLEKRIE</v>
      </c>
      <c r="F16" s="39" t="s">
        <v>121</v>
      </c>
      <c r="H16" s="55" t="str">
        <f t="shared" si="1"/>
        <v/>
      </c>
      <c r="I16" s="55" t="str">
        <f t="shared" si="2"/>
        <v/>
      </c>
    </row>
    <row r="17" spans="1:17" ht="11.25" customHeight="1" x14ac:dyDescent="0.2">
      <c r="B17" s="39" t="str">
        <f>Processes!B17</f>
        <v>ETCLELETH-E</v>
      </c>
      <c r="C17" s="39" t="str">
        <f>Processes!C17</f>
        <v>LETHABO</v>
      </c>
      <c r="D17" s="39" t="str">
        <f>Processes!D17</f>
        <v>PJ,GW</v>
      </c>
      <c r="E17" s="49" t="str">
        <f t="shared" si="0"/>
        <v>PWRCLELETH</v>
      </c>
      <c r="F17" s="39" t="s">
        <v>121</v>
      </c>
      <c r="H17" s="55">
        <f t="shared" si="1"/>
        <v>0.86799999999999999</v>
      </c>
      <c r="I17" s="55">
        <f t="shared" si="2"/>
        <v>6.5140000000000003E-2</v>
      </c>
    </row>
    <row r="18" spans="1:17" ht="11.25" customHeight="1" x14ac:dyDescent="0.2">
      <c r="B18" s="39" t="str">
        <f>Processes!B18</f>
        <v>ETCLEMAJD-E</v>
      </c>
      <c r="C18" s="39" t="str">
        <f>Processes!C18</f>
        <v>MAJUBA DRY</v>
      </c>
      <c r="D18" s="39" t="str">
        <f>Processes!D18</f>
        <v>PJ,GW</v>
      </c>
      <c r="E18" s="49" t="s">
        <v>175</v>
      </c>
      <c r="F18" s="39" t="s">
        <v>121</v>
      </c>
      <c r="H18" s="55">
        <f t="shared" si="1"/>
        <v>0.86799999999999999</v>
      </c>
      <c r="I18" s="55">
        <f t="shared" si="2"/>
        <v>6.5140000000000003E-2</v>
      </c>
    </row>
    <row r="19" spans="1:17" ht="11.25" customHeight="1" x14ac:dyDescent="0.2">
      <c r="B19" s="39" t="str">
        <f>Processes!B19</f>
        <v>ETCLEMAJW-E</v>
      </c>
      <c r="C19" s="39" t="str">
        <f>Processes!C19</f>
        <v>MAJUBA WET</v>
      </c>
      <c r="D19" s="39" t="str">
        <f>Processes!D19</f>
        <v>PJ,GW</v>
      </c>
      <c r="E19" s="49" t="s">
        <v>175</v>
      </c>
      <c r="F19" s="39" t="s">
        <v>121</v>
      </c>
      <c r="H19" s="55">
        <f t="shared" si="1"/>
        <v>0.86799999999999999</v>
      </c>
      <c r="I19" s="55">
        <f t="shared" si="2"/>
        <v>6.5140000000000003E-2</v>
      </c>
    </row>
    <row r="20" spans="1:17" ht="11.25" customHeight="1" x14ac:dyDescent="0.2">
      <c r="B20" s="39" t="str">
        <f>Processes!B20</f>
        <v>ETCLEMATI-E</v>
      </c>
      <c r="C20" s="39" t="str">
        <f>Processes!C20</f>
        <v>MATIMBA</v>
      </c>
      <c r="D20" s="39" t="str">
        <f>Processes!D20</f>
        <v>PJ,GW</v>
      </c>
      <c r="E20" s="49" t="str">
        <f>"PWR"&amp;MID(B20,3,7)</f>
        <v>PWRCLEMATI</v>
      </c>
      <c r="F20" s="39" t="s">
        <v>121</v>
      </c>
      <c r="H20" s="55">
        <f t="shared" si="1"/>
        <v>0.86799999999999999</v>
      </c>
      <c r="I20" s="55">
        <f t="shared" si="2"/>
        <v>6.5140000000000003E-2</v>
      </c>
    </row>
    <row r="21" spans="1:17" ht="11.25" customHeight="1" x14ac:dyDescent="0.2">
      <c r="B21" s="39" t="str">
        <f>Processes!B21</f>
        <v>ETCLEMATL-E</v>
      </c>
      <c r="C21" s="39" t="str">
        <f>Processes!C21</f>
        <v>MATLA</v>
      </c>
      <c r="D21" s="39" t="str">
        <f>Processes!D21</f>
        <v>PJ,GW</v>
      </c>
      <c r="E21" s="49" t="str">
        <f>"PWR"&amp;MID(B21,3,7)</f>
        <v>PWRCLEMATL</v>
      </c>
      <c r="F21" s="39" t="s">
        <v>121</v>
      </c>
      <c r="H21" s="55">
        <f t="shared" si="1"/>
        <v>0.86799999999999999</v>
      </c>
      <c r="I21" s="55">
        <f t="shared" si="2"/>
        <v>6.5140000000000003E-2</v>
      </c>
    </row>
    <row r="22" spans="1:17" ht="11.25" customHeight="1" x14ac:dyDescent="0.2">
      <c r="B22" s="39" t="str">
        <f>Processes!B22</f>
        <v>ETCLETUTU-E</v>
      </c>
      <c r="C22" s="39" t="str">
        <f>Processes!C22</f>
        <v>TUTUKA</v>
      </c>
      <c r="D22" s="39" t="str">
        <f>Processes!D22</f>
        <v>PJ,GW</v>
      </c>
      <c r="E22" s="49" t="str">
        <f>"PWR"&amp;MID(B22,3,7)</f>
        <v>PWRCLETUTU</v>
      </c>
      <c r="F22" s="39" t="s">
        <v>121</v>
      </c>
      <c r="H22" s="55" t="str">
        <f t="shared" si="1"/>
        <v/>
      </c>
      <c r="I22" s="55" t="str">
        <f t="shared" si="2"/>
        <v/>
      </c>
    </row>
    <row r="23" spans="1:17" ht="11.25" customHeight="1" x14ac:dyDescent="0.2">
      <c r="B23" s="39" t="str">
        <f>Processes!B24</f>
        <v>ETCLEMEDU-N</v>
      </c>
      <c r="C23" s="39" t="str">
        <f>Processes!C24</f>
        <v>MEDUPI</v>
      </c>
      <c r="D23" s="39" t="str">
        <f>Processes!D24</f>
        <v>PJ,GW</v>
      </c>
      <c r="E23" s="49" t="str">
        <f>"PWR"&amp;MID(B23,3,7)</f>
        <v>PWRCLEMEDU</v>
      </c>
      <c r="F23" s="39" t="s">
        <v>121</v>
      </c>
      <c r="H23" s="55">
        <f>IF(P39&gt;5,0.93,"")</f>
        <v>0.93</v>
      </c>
      <c r="I23" s="55">
        <f t="shared" si="2"/>
        <v>6.5140000000000003E-2</v>
      </c>
    </row>
    <row r="24" spans="1:17" ht="11.25" customHeight="1" x14ac:dyDescent="0.2">
      <c r="A24" s="42" t="s">
        <v>345</v>
      </c>
    </row>
    <row r="25" spans="1:17" ht="11.25" customHeight="1" x14ac:dyDescent="0.25">
      <c r="B25" s="39" t="str">
        <f>Processes!B27</f>
        <v>FGDCAMD-E</v>
      </c>
      <c r="C25" s="111" t="str">
        <f>Processes!C27</f>
        <v>FGD for CAMDEN</v>
      </c>
      <c r="D25" s="39" t="str">
        <f>Processes!D27</f>
        <v>PJ,GW</v>
      </c>
      <c r="F25" s="39" t="str">
        <f>Commodities!B9</f>
        <v>PWRFGDCAMD</v>
      </c>
      <c r="J25" s="39" t="str">
        <f>IF(P25&gt;5,ProcDataRetirement!T9,"")</f>
        <v/>
      </c>
      <c r="K25" s="47" t="str">
        <f>IF(P25&gt;5,FGD!$D$32,"")</f>
        <v/>
      </c>
      <c r="L25" s="90" t="str">
        <f>IF(P25&gt;5,FGD!$D$33,"")</f>
        <v/>
      </c>
      <c r="M25" s="46" t="str">
        <f>IF(P25&gt;5,FGD!$D$34,"")</f>
        <v/>
      </c>
      <c r="N25" s="39">
        <v>-2</v>
      </c>
      <c r="O25" s="39" t="str">
        <f>IF(P25&gt;5,P25,"")</f>
        <v/>
      </c>
      <c r="P25" s="39">
        <f>COUNTIF(ProcDataRetirement!S9:AC9,"&gt;0")+5*IF(ProcDataRetirement!AD9&gt;1,1,0)+5*IF(ProcDataRetirement!AE9&gt;1,1,0)</f>
        <v>0</v>
      </c>
      <c r="Q25" s="39">
        <v>31.536000000000001</v>
      </c>
    </row>
    <row r="26" spans="1:17" ht="11.25" customHeight="1" x14ac:dyDescent="0.25">
      <c r="B26" s="39" t="str">
        <f>Processes!B28</f>
        <v>FGDGROO-E</v>
      </c>
      <c r="C26" s="111" t="str">
        <f>Processes!C28</f>
        <v>FGD for GROOTVLEI</v>
      </c>
      <c r="D26" s="39" t="str">
        <f>Processes!D28</f>
        <v>PJ,GW</v>
      </c>
      <c r="F26" s="39" t="str">
        <f>Commodities!B10</f>
        <v>PWRFGDGROO</v>
      </c>
      <c r="J26" s="39" t="str">
        <f>IF(P26&gt;5,ProcDataRetirement!T10,"")</f>
        <v/>
      </c>
      <c r="K26" s="47" t="str">
        <f>IF(P26&gt;5,FGD!$D$32,"")</f>
        <v/>
      </c>
      <c r="L26" s="90" t="str">
        <f>IF(P26&gt;5,FGD!$D$33,"")</f>
        <v/>
      </c>
      <c r="M26" s="46" t="str">
        <f>IF(P26&gt;5,FGD!$D$34,"")</f>
        <v/>
      </c>
      <c r="N26" s="39">
        <v>-2</v>
      </c>
      <c r="O26" s="39" t="str">
        <f t="shared" ref="O26:O39" si="3">IF(P26&gt;5,P26,"")</f>
        <v/>
      </c>
      <c r="P26" s="39">
        <f>COUNTIF(ProcDataRetirement!S10:AC10,"&gt;0")+5*IF(ProcDataRetirement!AD10&gt;1,1,0)+5*IF(ProcDataRetirement!AE10&gt;1,1,0)</f>
        <v>0</v>
      </c>
      <c r="Q26" s="39">
        <v>31.536000000000001</v>
      </c>
    </row>
    <row r="27" spans="1:17" ht="11.25" customHeight="1" x14ac:dyDescent="0.25">
      <c r="B27" s="39" t="str">
        <f>Processes!B29</f>
        <v>FGDKOMA-E</v>
      </c>
      <c r="C27" s="111" t="str">
        <f>Processes!C29</f>
        <v>FGD for KOMATI</v>
      </c>
      <c r="D27" s="39" t="str">
        <f>Processes!D29</f>
        <v>PJ,GW</v>
      </c>
      <c r="F27" s="39" t="str">
        <f>Commodities!B11</f>
        <v>PWRFGDKOMA</v>
      </c>
      <c r="J27" s="39" t="str">
        <f>IF(P27&gt;5,ProcDataRetirement!T11,"")</f>
        <v/>
      </c>
      <c r="K27" s="47" t="str">
        <f>IF(P27&gt;5,FGD!$D$32,"")</f>
        <v/>
      </c>
      <c r="L27" s="90" t="str">
        <f>IF(P27&gt;5,FGD!$D$33,"")</f>
        <v/>
      </c>
      <c r="M27" s="46" t="str">
        <f>IF(P27&gt;5,FGD!$D$34,"")</f>
        <v/>
      </c>
      <c r="N27" s="39">
        <v>-2</v>
      </c>
      <c r="O27" s="39" t="str">
        <f t="shared" si="3"/>
        <v/>
      </c>
      <c r="P27" s="39">
        <f>COUNTIF(ProcDataRetirement!S11:AC11,"&gt;0")+5*IF(ProcDataRetirement!AD11&gt;1,1,0)+5*IF(ProcDataRetirement!AE11&gt;1,1,0)</f>
        <v>0</v>
      </c>
      <c r="Q27" s="39">
        <v>31.536000000000001</v>
      </c>
    </row>
    <row r="28" spans="1:17" ht="11.25" customHeight="1" x14ac:dyDescent="0.25">
      <c r="B28" s="39" t="str">
        <f>Processes!B30</f>
        <v>FGDARNO-E</v>
      </c>
      <c r="C28" s="111" t="str">
        <f>Processes!C30</f>
        <v>FGD for ARNOT</v>
      </c>
      <c r="D28" s="39" t="str">
        <f>Processes!D30</f>
        <v>PJ,GW</v>
      </c>
      <c r="F28" s="39" t="str">
        <f>Commodities!B12</f>
        <v>PWRFGDARNO</v>
      </c>
      <c r="J28" s="39" t="str">
        <f>IF(P28&gt;5,ProcDataRetirement!T12,"")</f>
        <v/>
      </c>
      <c r="K28" s="47" t="str">
        <f>IF(P28&gt;5,FGD!$D$32,"")</f>
        <v/>
      </c>
      <c r="L28" s="90" t="str">
        <f>IF(P28&gt;5,FGD!$D$33,"")</f>
        <v/>
      </c>
      <c r="M28" s="46" t="str">
        <f>IF(P28&gt;5,FGD!$D$34,"")</f>
        <v/>
      </c>
      <c r="N28" s="39">
        <v>-2</v>
      </c>
      <c r="O28" s="39" t="str">
        <f t="shared" si="3"/>
        <v/>
      </c>
      <c r="P28" s="39">
        <f>COUNTIF(ProcDataRetirement!S12:AC12,"&gt;0")+5*IF(ProcDataRetirement!AD12&gt;1,1,0)+5*IF(ProcDataRetirement!AE12&gt;1,1,0)</f>
        <v>0</v>
      </c>
      <c r="Q28" s="39">
        <v>31.536000000000001</v>
      </c>
    </row>
    <row r="29" spans="1:17" ht="11.25" customHeight="1" x14ac:dyDescent="0.2">
      <c r="B29" s="39" t="str">
        <f>Processes!B31</f>
        <v>FGDDUVH-E</v>
      </c>
      <c r="C29" s="39" t="str">
        <f>Processes!C31</f>
        <v>FGD for DUVHA</v>
      </c>
      <c r="D29" s="39" t="str">
        <f>Processes!D31</f>
        <v>PJ,GW</v>
      </c>
      <c r="F29" s="39" t="str">
        <f>Commodities!B13</f>
        <v>PWRFGDDUVH</v>
      </c>
      <c r="J29" s="39">
        <f>IF(P29&gt;5,ProcDataRetirement!T13,"")</f>
        <v>0</v>
      </c>
      <c r="K29" s="47">
        <f>IF(P29&gt;5,FGD!$D$32,"")</f>
        <v>3.6826838586802784</v>
      </c>
      <c r="L29" s="90">
        <f>IF(P29&gt;5,FGD!$D$33,"")</f>
        <v>239.07259148153946</v>
      </c>
      <c r="M29" s="46">
        <f>IF(P29&gt;5,FGD!$D$34,"")</f>
        <v>7138.4504880542208</v>
      </c>
      <c r="N29" s="39">
        <v>-2</v>
      </c>
      <c r="O29" s="39">
        <f t="shared" si="3"/>
        <v>6</v>
      </c>
      <c r="P29" s="112">
        <v>6</v>
      </c>
      <c r="Q29" s="39">
        <v>31.536000000000001</v>
      </c>
    </row>
    <row r="30" spans="1:17" ht="11.25" customHeight="1" x14ac:dyDescent="0.25">
      <c r="B30" s="39" t="str">
        <f>Processes!B32</f>
        <v>FGDHEND-E</v>
      </c>
      <c r="C30" s="111" t="str">
        <f>Processes!C32</f>
        <v>FGD for HENDRINA</v>
      </c>
      <c r="D30" s="39" t="str">
        <f>Processes!D32</f>
        <v>PJ,GW</v>
      </c>
      <c r="F30" s="39" t="str">
        <f>Commodities!B14</f>
        <v>PWRFGDHEND</v>
      </c>
      <c r="J30" s="39" t="str">
        <f>IF(P30&gt;5,ProcDataRetirement!T14,"")</f>
        <v/>
      </c>
      <c r="K30" s="47" t="str">
        <f>IF(P30&gt;5,FGD!$D$32,"")</f>
        <v/>
      </c>
      <c r="L30" s="90" t="str">
        <f>IF(P30&gt;5,FGD!$D$33,"")</f>
        <v/>
      </c>
      <c r="M30" s="46" t="str">
        <f>IF(P30&gt;5,FGD!$D$34,"")</f>
        <v/>
      </c>
      <c r="N30" s="39">
        <v>-2</v>
      </c>
      <c r="O30" s="39" t="str">
        <f t="shared" si="3"/>
        <v/>
      </c>
      <c r="P30" s="39">
        <f>COUNTIF(ProcDataRetirement!S14:AC14,"&gt;0")+5*IF(ProcDataRetirement!AD14&gt;1,1,0)+5*IF(ProcDataRetirement!AE14&gt;1,1,0)</f>
        <v>0</v>
      </c>
      <c r="Q30" s="39">
        <v>31.536000000000001</v>
      </c>
    </row>
    <row r="31" spans="1:17" ht="11.25" customHeight="1" x14ac:dyDescent="0.2">
      <c r="B31" s="39" t="str">
        <f>Processes!B33</f>
        <v>FGDKEND-E</v>
      </c>
      <c r="C31" s="39" t="str">
        <f>Processes!C33</f>
        <v>FGD for KENDAL</v>
      </c>
      <c r="D31" s="39" t="str">
        <f>Processes!D33</f>
        <v>PJ,GW</v>
      </c>
      <c r="F31" s="39" t="str">
        <f>Commodities!B15</f>
        <v>PWRFGDKEND</v>
      </c>
      <c r="J31" s="39">
        <f>IF(P31&gt;5,ProcDataRetirement!T15,"")</f>
        <v>3.84</v>
      </c>
      <c r="K31" s="47">
        <f>IF(P31&gt;5,FGD!$D$32,"")</f>
        <v>3.6826838586802784</v>
      </c>
      <c r="L31" s="90">
        <f>IF(P31&gt;5,FGD!$D$33,"")</f>
        <v>239.07259148153946</v>
      </c>
      <c r="M31" s="46">
        <f>IF(P31&gt;5,FGD!$D$34,"")</f>
        <v>7138.4504880542208</v>
      </c>
      <c r="N31" s="39">
        <v>-2</v>
      </c>
      <c r="O31" s="39">
        <f t="shared" si="3"/>
        <v>11</v>
      </c>
      <c r="P31" s="39">
        <f>COUNTIF(ProcDataRetirement!S15:AC15,"&gt;0")+5*IF(ProcDataRetirement!AD15&gt;1,1,0)+5*IF(ProcDataRetirement!AE15&gt;1,1,0)</f>
        <v>11</v>
      </c>
      <c r="Q31" s="39">
        <v>31.536000000000001</v>
      </c>
    </row>
    <row r="32" spans="1:17" ht="11.25" customHeight="1" x14ac:dyDescent="0.2">
      <c r="B32" s="39" t="str">
        <f>Processes!B34</f>
        <v>FGDKRIE-E</v>
      </c>
      <c r="C32" s="39" t="str">
        <f>Processes!C34</f>
        <v>FGD for KRIEL</v>
      </c>
      <c r="D32" s="39" t="str">
        <f>Processes!D34</f>
        <v>PJ,GW</v>
      </c>
      <c r="F32" s="39" t="str">
        <f>Commodities!B16</f>
        <v>PWRFGDKRIE</v>
      </c>
      <c r="J32" s="39" t="str">
        <f>IF(P32&gt;5,ProcDataRetirement!T16,"")</f>
        <v/>
      </c>
      <c r="K32" s="47" t="str">
        <f>IF(P32&gt;5,FGD!$D$32,"")</f>
        <v/>
      </c>
      <c r="L32" s="90" t="str">
        <f>IF(P32&gt;5,FGD!$D$33,"")</f>
        <v/>
      </c>
      <c r="M32" s="46" t="str">
        <f>IF(P32&gt;5,FGD!$D$34,"")</f>
        <v/>
      </c>
      <c r="N32" s="39">
        <v>-2</v>
      </c>
      <c r="O32" s="39" t="str">
        <f t="shared" si="3"/>
        <v/>
      </c>
      <c r="P32" s="39">
        <f>COUNTIF(ProcDataRetirement!S16:AC16,"&gt;0")+5*IF(ProcDataRetirement!AD16&gt;1,1,0)+5*IF(ProcDataRetirement!AE16&gt;1,1,0)</f>
        <v>0</v>
      </c>
      <c r="Q32" s="39">
        <v>31.536000000000001</v>
      </c>
    </row>
    <row r="33" spans="2:17" ht="11.25" customHeight="1" x14ac:dyDescent="0.2">
      <c r="B33" s="39" t="str">
        <f>Processes!B35</f>
        <v>FGDLETH-E</v>
      </c>
      <c r="C33" s="39" t="str">
        <f>Processes!C35</f>
        <v>FGD for LETHABO</v>
      </c>
      <c r="D33" s="39" t="str">
        <f>Processes!D35</f>
        <v>PJ,GW</v>
      </c>
      <c r="F33" s="39" t="str">
        <f>Commodities!B17</f>
        <v>PWRFGDLETH</v>
      </c>
      <c r="J33" s="39">
        <f>IF(P33&gt;5,ProcDataRetirement!T17,"")</f>
        <v>3.5579999999999998</v>
      </c>
      <c r="K33" s="47">
        <f>IF(P33&gt;5,FGD!$D$32,"")</f>
        <v>3.6826838586802784</v>
      </c>
      <c r="L33" s="90">
        <f>IF(P33&gt;5,FGD!$D$33,"")</f>
        <v>239.07259148153946</v>
      </c>
      <c r="M33" s="46">
        <f>IF(P33&gt;5,FGD!$D$34,"")</f>
        <v>7138.4504880542208</v>
      </c>
      <c r="N33" s="39">
        <v>-2</v>
      </c>
      <c r="O33" s="39">
        <f t="shared" si="3"/>
        <v>11</v>
      </c>
      <c r="P33" s="39">
        <f>COUNTIF(ProcDataRetirement!S17:AC17,"&gt;0")+5*IF(ProcDataRetirement!AD17&gt;1,1,0)+5*IF(ProcDataRetirement!AE17&gt;1,1,0)</f>
        <v>11</v>
      </c>
      <c r="Q33" s="39">
        <v>31.536000000000001</v>
      </c>
    </row>
    <row r="34" spans="2:17" ht="11.25" customHeight="1" x14ac:dyDescent="0.2">
      <c r="B34" s="39" t="str">
        <f>Processes!B36</f>
        <v>FGDMAJD-E</v>
      </c>
      <c r="C34" s="39" t="str">
        <f>Processes!C36</f>
        <v>FGD for MAJUBA DRY</v>
      </c>
      <c r="D34" s="39" t="str">
        <f>Processes!D36</f>
        <v>PJ,GW</v>
      </c>
      <c r="F34" s="39" t="str">
        <f>Commodities!B18</f>
        <v>PWRFGDMAJD</v>
      </c>
      <c r="J34" s="39">
        <f>IF(P34&gt;5,ProcDataRetirement!T18,"")</f>
        <v>1.8330000000000002</v>
      </c>
      <c r="K34" s="47">
        <f>IF(P34&gt;5,FGD!$D$32,"")</f>
        <v>3.6826838586802784</v>
      </c>
      <c r="L34" s="90">
        <f>IF(P34&gt;5,FGD!$D$33,"")</f>
        <v>239.07259148153946</v>
      </c>
      <c r="M34" s="46">
        <f>IF(P34&gt;5,FGD!$D$34,"")</f>
        <v>7138.4504880542208</v>
      </c>
      <c r="N34" s="39">
        <v>-2</v>
      </c>
      <c r="O34" s="39">
        <f t="shared" si="3"/>
        <v>16</v>
      </c>
      <c r="P34" s="39">
        <f>COUNTIF(ProcDataRetirement!S18:AC18,"&gt;0")+5*IF(ProcDataRetirement!AD18&gt;1,1,0)+5*IF(ProcDataRetirement!AE18&gt;1,1,0)</f>
        <v>16</v>
      </c>
      <c r="Q34" s="39">
        <v>31.536000000000001</v>
      </c>
    </row>
    <row r="35" spans="2:17" ht="11.25" customHeight="1" x14ac:dyDescent="0.2">
      <c r="B35" s="39" t="str">
        <f>Processes!B37</f>
        <v>FGDMAJW-E</v>
      </c>
      <c r="C35" s="39" t="str">
        <f>Processes!C37</f>
        <v>FGD for MAJUBA WET</v>
      </c>
      <c r="D35" s="39" t="str">
        <f>Processes!D37</f>
        <v>PJ,GW</v>
      </c>
      <c r="F35" s="39" t="str">
        <f>Commodities!B19</f>
        <v>PWRFGDMAJW</v>
      </c>
      <c r="J35" s="39">
        <f>IF(P35&gt;5,ProcDataRetirement!T19,"")</f>
        <v>2.0099999999999998</v>
      </c>
      <c r="K35" s="47">
        <f>IF(P35&gt;5,FGD!$D$32,"")</f>
        <v>3.6826838586802784</v>
      </c>
      <c r="L35" s="90">
        <f>IF(P35&gt;5,FGD!$D$33,"")</f>
        <v>239.07259148153946</v>
      </c>
      <c r="M35" s="46">
        <f>IF(P35&gt;5,FGD!$D$34,"")</f>
        <v>7138.4504880542208</v>
      </c>
      <c r="N35" s="39">
        <v>-2</v>
      </c>
      <c r="O35" s="39">
        <f t="shared" si="3"/>
        <v>16</v>
      </c>
      <c r="P35" s="39">
        <f>COUNTIF(ProcDataRetirement!S19:AC19,"&gt;0")+5*IF(ProcDataRetirement!AD19&gt;1,1,0)+5*IF(ProcDataRetirement!AE19&gt;1,1,0)</f>
        <v>16</v>
      </c>
      <c r="Q35" s="39">
        <v>31.536000000000001</v>
      </c>
    </row>
    <row r="36" spans="2:17" ht="11.25" customHeight="1" x14ac:dyDescent="0.2">
      <c r="B36" s="39" t="str">
        <f>Processes!B38</f>
        <v>FGDMATI-E</v>
      </c>
      <c r="C36" s="39" t="str">
        <f>Processes!C38</f>
        <v>FGD for MATIMBA</v>
      </c>
      <c r="D36" s="39" t="str">
        <f>Processes!D38</f>
        <v>PJ,GW</v>
      </c>
      <c r="F36" s="39" t="str">
        <f>Commodities!B20</f>
        <v>PWRFGDMATI</v>
      </c>
      <c r="J36" s="39">
        <f>IF(P36&gt;5,ProcDataRetirement!T20,"")</f>
        <v>3.69</v>
      </c>
      <c r="K36" s="47">
        <f>IF(P36&gt;5,FGD!$D$32,"")</f>
        <v>3.6826838586802784</v>
      </c>
      <c r="L36" s="90">
        <f>IF(P36&gt;5,FGD!$D$33,"")</f>
        <v>239.07259148153946</v>
      </c>
      <c r="M36" s="46">
        <f>IF(P36&gt;5,FGD!$D$34,"")</f>
        <v>7138.4504880542208</v>
      </c>
      <c r="N36" s="39">
        <v>-2</v>
      </c>
      <c r="O36" s="39">
        <f t="shared" si="3"/>
        <v>11</v>
      </c>
      <c r="P36" s="39">
        <f>COUNTIF(ProcDataRetirement!S20:AC20,"&gt;0")+5*IF(ProcDataRetirement!AD20&gt;1,1,0)+5*IF(ProcDataRetirement!AE20&gt;1,1,0)</f>
        <v>11</v>
      </c>
      <c r="Q36" s="39">
        <v>31.536000000000001</v>
      </c>
    </row>
    <row r="37" spans="2:17" ht="11.25" customHeight="1" x14ac:dyDescent="0.2">
      <c r="B37" s="39" t="str">
        <f>Processes!B39</f>
        <v>FGDMATL-E</v>
      </c>
      <c r="C37" s="39" t="str">
        <f>Processes!C39</f>
        <v>FGD for MATLA</v>
      </c>
      <c r="D37" s="39" t="str">
        <f>Processes!D39</f>
        <v>PJ,GW</v>
      </c>
      <c r="F37" s="39" t="str">
        <f>Commodities!B21</f>
        <v>PWRFGDMATL</v>
      </c>
      <c r="J37" s="39">
        <f>IF(P37&gt;5,ProcDataRetirement!T21,"")</f>
        <v>0</v>
      </c>
      <c r="K37" s="47">
        <f>IF(P37&gt;5,FGD!$D$32,"")</f>
        <v>3.6826838586802784</v>
      </c>
      <c r="L37" s="90">
        <f>IF(P37&gt;5,FGD!$D$33,"")</f>
        <v>239.07259148153946</v>
      </c>
      <c r="M37" s="46">
        <f>IF(P37&gt;5,FGD!$D$34,"")</f>
        <v>7138.4504880542208</v>
      </c>
      <c r="N37" s="39">
        <v>-2</v>
      </c>
      <c r="O37" s="39">
        <f t="shared" si="3"/>
        <v>6</v>
      </c>
      <c r="P37" s="112">
        <v>6</v>
      </c>
      <c r="Q37" s="39">
        <v>31.536000000000001</v>
      </c>
    </row>
    <row r="38" spans="2:17" ht="11.25" customHeight="1" x14ac:dyDescent="0.2">
      <c r="B38" s="39" t="str">
        <f>Processes!B40</f>
        <v>FGDTUTU-E</v>
      </c>
      <c r="C38" s="39" t="str">
        <f>Processes!C40</f>
        <v>FGD for TUTUKA</v>
      </c>
      <c r="D38" s="39" t="str">
        <f>Processes!D40</f>
        <v>PJ,GW</v>
      </c>
      <c r="F38" s="39" t="str">
        <f>Commodities!B22</f>
        <v>PWRFGDTUTU</v>
      </c>
      <c r="J38" s="39" t="str">
        <f>IF(P38&gt;5,ProcDataRetirement!T22,"")</f>
        <v/>
      </c>
      <c r="K38" s="47" t="str">
        <f>IF(P38&gt;5,FGD!$D$32,"")</f>
        <v/>
      </c>
      <c r="L38" s="90" t="str">
        <f>IF(P38&gt;5,FGD!$D$33,"")</f>
        <v/>
      </c>
      <c r="M38" s="46" t="str">
        <f>IF(P38&gt;5,FGD!$D$34,"")</f>
        <v/>
      </c>
      <c r="N38" s="39">
        <v>-2</v>
      </c>
      <c r="O38" s="39" t="str">
        <f t="shared" si="3"/>
        <v/>
      </c>
      <c r="P38" s="39">
        <f>COUNTIF(ProcDataRetirement!S22:AC22,"&gt;0")+5*IF(ProcDataRetirement!AD22&gt;1,1,0)+5*IF(ProcDataRetirement!AE22&gt;1,1,0)</f>
        <v>1</v>
      </c>
      <c r="Q38" s="39">
        <v>31.536000000000001</v>
      </c>
    </row>
    <row r="39" spans="2:17" ht="11.25" customHeight="1" x14ac:dyDescent="0.2">
      <c r="B39" s="39" t="str">
        <f>Processes!B42</f>
        <v>FGDMEDU-N</v>
      </c>
      <c r="C39" s="39" t="str">
        <f>Processes!C42</f>
        <v>FGD for MEDUPI</v>
      </c>
      <c r="D39" s="39" t="str">
        <f>Processes!D42</f>
        <v>PJ,GW</v>
      </c>
      <c r="F39" s="39" t="str">
        <f>Commodities!B24</f>
        <v>PWRFGDMEDU</v>
      </c>
      <c r="J39" s="39">
        <v>4.33</v>
      </c>
      <c r="K39" s="47">
        <f>IF(P39&gt;5,FGD!$D$32,"")</f>
        <v>3.6826838586802784</v>
      </c>
      <c r="L39" s="90">
        <f>IF(P39&gt;5,FGD!$D$33,"")</f>
        <v>239.07259148153946</v>
      </c>
      <c r="M39" s="46">
        <f>IF(P39&gt;5,FGD!$D$34,"")</f>
        <v>7138.4504880542208</v>
      </c>
      <c r="N39" s="39">
        <v>-2</v>
      </c>
      <c r="O39" s="39">
        <f t="shared" si="3"/>
        <v>30</v>
      </c>
      <c r="P39" s="39">
        <v>30</v>
      </c>
      <c r="Q39" s="39">
        <v>31.536000000000001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37633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37633" r:id="rId4" name="cmdTechNameAndDesc"/>
      </mc:Fallback>
    </mc:AlternateContent>
    <mc:AlternateContent xmlns:mc="http://schemas.openxmlformats.org/markup-compatibility/2006">
      <mc:Choice Requires="x14">
        <control shapeId="837634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7634" r:id="rId6" name="cmdCommIN"/>
      </mc:Fallback>
    </mc:AlternateContent>
    <mc:AlternateContent xmlns:mc="http://schemas.openxmlformats.org/markup-compatibility/2006">
      <mc:Choice Requires="x14">
        <control shapeId="837635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7635" r:id="rId8" name="cmdCommOUT"/>
      </mc:Fallback>
    </mc:AlternateContent>
    <mc:AlternateContent xmlns:mc="http://schemas.openxmlformats.org/markup-compatibility/2006">
      <mc:Choice Requires="x14">
        <control shapeId="837636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37636" r:id="rId10" name="cmdAddParameter"/>
      </mc:Fallback>
    </mc:AlternateContent>
    <mc:AlternateContent xmlns:mc="http://schemas.openxmlformats.org/markup-compatibility/2006">
      <mc:Choice Requires="x14">
        <control shapeId="837637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37637" r:id="rId12" name="cmdAddParamQualifier1"/>
      </mc:Fallback>
    </mc:AlternateContent>
    <mc:AlternateContent xmlns:mc="http://schemas.openxmlformats.org/markup-compatibility/2006">
      <mc:Choice Requires="x14">
        <control shapeId="837638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37638" r:id="rId14" name="cmdCheckTechDataSheet"/>
      </mc:Fallback>
    </mc:AlternateContent>
    <mc:AlternateContent xmlns:mc="http://schemas.openxmlformats.org/markup-compatibility/2006">
      <mc:Choice Requires="x14">
        <control shapeId="837639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37639" r:id="rId16" name="cmdAddParamQualifier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78C8F-2BC3-490F-A732-D7A6344A54D3}">
  <sheetPr codeName="Sheet46">
    <tabColor theme="8"/>
  </sheetPr>
  <dimension ref="A1:AM68"/>
  <sheetViews>
    <sheetView workbookViewId="0">
      <selection activeCell="H13" sqref="H13"/>
    </sheetView>
    <sheetView workbookViewId="1"/>
  </sheetViews>
  <sheetFormatPr defaultColWidth="9.140625" defaultRowHeight="11.25" customHeight="1" x14ac:dyDescent="0.2"/>
  <cols>
    <col min="1" max="1" width="12.28515625" style="39" customWidth="1"/>
    <col min="2" max="2" width="15.28515625" style="39" customWidth="1"/>
    <col min="3" max="3" width="36.140625" style="39" customWidth="1"/>
    <col min="4" max="4" width="8.5703125" style="39" customWidth="1"/>
    <col min="5" max="5" width="12.28515625" style="39" customWidth="1"/>
    <col min="6" max="6" width="10.140625" style="39" customWidth="1"/>
    <col min="7" max="8" width="6.85546875" style="45" customWidth="1"/>
    <col min="9" max="10" width="10.5703125" style="39" customWidth="1"/>
    <col min="11" max="23" width="9.140625" style="39"/>
    <col min="24" max="25" width="10.5703125" style="39" customWidth="1"/>
    <col min="26" max="16384" width="9.140625" style="39"/>
  </cols>
  <sheetData>
    <row r="1" spans="1:39" ht="11.25" customHeight="1" x14ac:dyDescent="0.2">
      <c r="A1" s="53" t="str">
        <f ca="1">IF(INDEX([6]Index!$C$18:$C$48,MATCH(A2,[6]Index!B18:B48,0)),"ProcData","")</f>
        <v>ProcData</v>
      </c>
      <c r="B1" s="18" t="s">
        <v>122</v>
      </c>
      <c r="H1" s="45" t="s">
        <v>92</v>
      </c>
    </row>
    <row r="2" spans="1:39" ht="11.25" customHeight="1" x14ac:dyDescent="0.2">
      <c r="A2" s="51" t="str">
        <f ca="1">MID(CELL("filename",A1),FIND("]",CELL("filename",A1))+1,255)</f>
        <v>ProcDataAux</v>
      </c>
    </row>
    <row r="3" spans="1:39" ht="56.25" customHeight="1" x14ac:dyDescent="0.2">
      <c r="H3" s="45" t="s">
        <v>371</v>
      </c>
      <c r="I3" s="61" t="s">
        <v>243</v>
      </c>
      <c r="J3" s="61" t="s">
        <v>243</v>
      </c>
      <c r="K3" s="61" t="s">
        <v>243</v>
      </c>
      <c r="L3" s="61" t="s">
        <v>243</v>
      </c>
      <c r="M3" s="61" t="s">
        <v>243</v>
      </c>
      <c r="N3" s="61" t="s">
        <v>243</v>
      </c>
      <c r="O3" s="61" t="s">
        <v>243</v>
      </c>
      <c r="P3" s="61" t="s">
        <v>243</v>
      </c>
      <c r="Q3" s="61" t="s">
        <v>243</v>
      </c>
      <c r="R3" s="61" t="s">
        <v>243</v>
      </c>
      <c r="S3" s="61" t="s">
        <v>243</v>
      </c>
      <c r="T3" s="61" t="s">
        <v>243</v>
      </c>
      <c r="U3" s="61" t="s">
        <v>243</v>
      </c>
      <c r="V3" s="61" t="s">
        <v>243</v>
      </c>
      <c r="W3" s="61" t="s">
        <v>243</v>
      </c>
      <c r="X3" s="61" t="s">
        <v>243</v>
      </c>
      <c r="Y3" s="61" t="s">
        <v>243</v>
      </c>
      <c r="Z3" s="61" t="s">
        <v>243</v>
      </c>
      <c r="AA3" s="61" t="s">
        <v>243</v>
      </c>
      <c r="AB3" s="61" t="s">
        <v>243</v>
      </c>
      <c r="AC3" s="61" t="s">
        <v>243</v>
      </c>
      <c r="AD3" s="61" t="s">
        <v>243</v>
      </c>
      <c r="AE3" s="61" t="s">
        <v>243</v>
      </c>
      <c r="AF3" s="61" t="s">
        <v>243</v>
      </c>
      <c r="AG3" s="61" t="s">
        <v>243</v>
      </c>
      <c r="AH3" s="61" t="s">
        <v>243</v>
      </c>
      <c r="AI3" s="61" t="s">
        <v>243</v>
      </c>
      <c r="AJ3" s="61" t="s">
        <v>243</v>
      </c>
      <c r="AK3" s="61" t="s">
        <v>243</v>
      </c>
      <c r="AL3" s="61" t="s">
        <v>243</v>
      </c>
      <c r="AM3" s="61"/>
    </row>
    <row r="4" spans="1:39" ht="21.75" customHeight="1" x14ac:dyDescent="0.2">
      <c r="E4" s="60"/>
      <c r="F4" s="60"/>
      <c r="G4" s="60"/>
      <c r="H4" s="60"/>
      <c r="I4" s="59" t="s">
        <v>240</v>
      </c>
      <c r="J4" s="59" t="s">
        <v>240</v>
      </c>
      <c r="K4" s="59" t="s">
        <v>240</v>
      </c>
      <c r="L4" s="59" t="s">
        <v>240</v>
      </c>
      <c r="M4" s="59" t="s">
        <v>240</v>
      </c>
      <c r="N4" s="59" t="s">
        <v>240</v>
      </c>
      <c r="O4" s="59" t="s">
        <v>240</v>
      </c>
      <c r="P4" s="59" t="s">
        <v>240</v>
      </c>
      <c r="Q4" s="59" t="s">
        <v>240</v>
      </c>
      <c r="R4" s="59" t="s">
        <v>240</v>
      </c>
      <c r="S4" s="59" t="s">
        <v>240</v>
      </c>
      <c r="T4" s="59" t="s">
        <v>240</v>
      </c>
      <c r="U4" s="59" t="s">
        <v>240</v>
      </c>
      <c r="V4" s="59" t="s">
        <v>240</v>
      </c>
      <c r="W4" s="59" t="s">
        <v>240</v>
      </c>
      <c r="X4" s="59" t="s">
        <v>240</v>
      </c>
      <c r="Y4" s="59" t="s">
        <v>240</v>
      </c>
      <c r="Z4" s="59" t="s">
        <v>240</v>
      </c>
      <c r="AA4" s="59" t="s">
        <v>240</v>
      </c>
      <c r="AB4" s="59" t="s">
        <v>240</v>
      </c>
      <c r="AC4" s="59" t="s">
        <v>240</v>
      </c>
      <c r="AD4" s="59" t="s">
        <v>240</v>
      </c>
      <c r="AE4" s="59" t="s">
        <v>240</v>
      </c>
      <c r="AF4" s="59" t="s">
        <v>240</v>
      </c>
      <c r="AG4" s="59" t="s">
        <v>240</v>
      </c>
      <c r="AH4" s="59" t="s">
        <v>240</v>
      </c>
      <c r="AI4" s="59" t="s">
        <v>240</v>
      </c>
      <c r="AJ4" s="59" t="s">
        <v>240</v>
      </c>
      <c r="AK4" s="59" t="s">
        <v>240</v>
      </c>
      <c r="AL4" s="59" t="s">
        <v>240</v>
      </c>
      <c r="AM4" s="59"/>
    </row>
    <row r="5" spans="1:39" ht="16.5" customHeight="1" x14ac:dyDescent="0.2">
      <c r="I5" s="39" t="s">
        <v>302</v>
      </c>
      <c r="J5" s="39" t="s">
        <v>304</v>
      </c>
      <c r="K5" s="39" t="s">
        <v>307</v>
      </c>
      <c r="L5" s="39" t="s">
        <v>301</v>
      </c>
      <c r="M5" s="39" t="s">
        <v>303</v>
      </c>
      <c r="N5" s="39" t="s">
        <v>305</v>
      </c>
      <c r="O5" s="39" t="s">
        <v>306</v>
      </c>
      <c r="P5" s="39" t="s">
        <v>308</v>
      </c>
      <c r="Q5" s="39" t="s">
        <v>309</v>
      </c>
      <c r="R5" s="39" t="s">
        <v>346</v>
      </c>
      <c r="S5" s="39" t="s">
        <v>347</v>
      </c>
      <c r="T5" s="39" t="s">
        <v>310</v>
      </c>
      <c r="U5" s="39" t="s">
        <v>311</v>
      </c>
      <c r="V5" s="39" t="s">
        <v>312</v>
      </c>
      <c r="W5" s="39" t="s">
        <v>313</v>
      </c>
      <c r="X5" s="39" t="s">
        <v>302</v>
      </c>
      <c r="Y5" s="39" t="s">
        <v>304</v>
      </c>
      <c r="Z5" s="39" t="s">
        <v>307</v>
      </c>
      <c r="AA5" s="39" t="s">
        <v>301</v>
      </c>
      <c r="AB5" s="39" t="s">
        <v>303</v>
      </c>
      <c r="AC5" s="39" t="s">
        <v>305</v>
      </c>
      <c r="AD5" s="39" t="s">
        <v>306</v>
      </c>
      <c r="AE5" s="39" t="s">
        <v>308</v>
      </c>
      <c r="AF5" s="39" t="s">
        <v>309</v>
      </c>
      <c r="AG5" s="39" t="s">
        <v>346</v>
      </c>
      <c r="AH5" s="39" t="s">
        <v>347</v>
      </c>
      <c r="AI5" s="39" t="s">
        <v>310</v>
      </c>
      <c r="AJ5" s="39" t="s">
        <v>311</v>
      </c>
      <c r="AK5" s="39" t="s">
        <v>312</v>
      </c>
      <c r="AL5" s="39" t="s">
        <v>313</v>
      </c>
    </row>
    <row r="6" spans="1:39" ht="17.25" customHeight="1" x14ac:dyDescent="0.2"/>
    <row r="7" spans="1:39" ht="21.75" customHeight="1" x14ac:dyDescent="0.2">
      <c r="B7" s="53" t="s">
        <v>56</v>
      </c>
      <c r="C7" s="53" t="s">
        <v>57</v>
      </c>
      <c r="D7" s="57" t="s">
        <v>93</v>
      </c>
      <c r="E7" s="53" t="s">
        <v>80</v>
      </c>
      <c r="F7" s="53" t="s">
        <v>81</v>
      </c>
      <c r="G7" s="57" t="s">
        <v>94</v>
      </c>
      <c r="H7" s="57"/>
      <c r="I7" s="39">
        <v>2030</v>
      </c>
      <c r="J7" s="39">
        <v>2030</v>
      </c>
      <c r="K7" s="39">
        <v>2030</v>
      </c>
      <c r="L7" s="39">
        <v>2030</v>
      </c>
      <c r="M7" s="39">
        <v>2030</v>
      </c>
      <c r="N7" s="39">
        <v>2030</v>
      </c>
      <c r="O7" s="39">
        <v>2030</v>
      </c>
      <c r="P7" s="39">
        <v>2030</v>
      </c>
      <c r="Q7" s="39">
        <v>2030</v>
      </c>
      <c r="R7" s="39">
        <v>2030</v>
      </c>
      <c r="S7" s="39">
        <v>2030</v>
      </c>
      <c r="T7" s="39">
        <v>2030</v>
      </c>
      <c r="U7" s="39">
        <v>2030</v>
      </c>
      <c r="V7" s="39">
        <v>2030</v>
      </c>
      <c r="W7" s="39">
        <v>2030</v>
      </c>
      <c r="X7" s="39">
        <v>2031</v>
      </c>
      <c r="Y7" s="39">
        <v>2031</v>
      </c>
      <c r="Z7" s="39">
        <v>2031</v>
      </c>
      <c r="AA7" s="39">
        <v>2031</v>
      </c>
      <c r="AB7" s="39">
        <v>2031</v>
      </c>
      <c r="AC7" s="39">
        <v>2031</v>
      </c>
      <c r="AD7" s="39">
        <v>2031</v>
      </c>
      <c r="AE7" s="39">
        <v>2031</v>
      </c>
      <c r="AF7" s="39">
        <v>2031</v>
      </c>
      <c r="AG7" s="39">
        <v>2031</v>
      </c>
      <c r="AH7" s="39">
        <v>2031</v>
      </c>
      <c r="AI7" s="39">
        <v>2031</v>
      </c>
      <c r="AJ7" s="39">
        <v>2031</v>
      </c>
      <c r="AK7" s="39">
        <v>2031</v>
      </c>
      <c r="AL7" s="39">
        <v>2031</v>
      </c>
    </row>
    <row r="8" spans="1:39" ht="11.25" customHeight="1" x14ac:dyDescent="0.2">
      <c r="A8" s="42" t="str">
        <f>[6]ProcDataGenPre2012!A8</f>
        <v>* Existing Power Plants</v>
      </c>
      <c r="F8" s="44"/>
    </row>
    <row r="9" spans="1:39" ht="11.25" customHeight="1" x14ac:dyDescent="0.2">
      <c r="B9" s="39" t="str">
        <f>Processes!B9</f>
        <v>ETCLECAMD-E</v>
      </c>
      <c r="C9" s="39" t="str">
        <f>Processes!C9</f>
        <v>CAMDEN</v>
      </c>
      <c r="D9" s="39" t="str">
        <f>[6]ProcDataGenPre2012!D9</f>
        <v>PJ,GW</v>
      </c>
      <c r="E9" s="39" t="str">
        <f>Commodities!B9</f>
        <v>PWRFGDCAMD</v>
      </c>
      <c r="F9" s="39" t="str">
        <f>[6]ProcDataGenPre2012!F9</f>
        <v>ELCC</v>
      </c>
      <c r="H9" s="45" t="str">
        <f>ProcDataFGD!I9</f>
        <v/>
      </c>
      <c r="I9" s="90">
        <v>0</v>
      </c>
      <c r="J9" s="90"/>
      <c r="X9" s="90" t="str">
        <f>IF($H9="","",1)</f>
        <v/>
      </c>
      <c r="Y9" s="90"/>
    </row>
    <row r="10" spans="1:39" ht="11.25" customHeight="1" x14ac:dyDescent="0.2">
      <c r="B10" s="39" t="str">
        <f>Processes!B10</f>
        <v>ETCLEGROO-E</v>
      </c>
      <c r="C10" s="39" t="str">
        <f>Processes!C10</f>
        <v>GROOTVLEI</v>
      </c>
      <c r="D10" s="39" t="str">
        <f>[6]ProcDataGenPre2012!D10</f>
        <v>PJ,GW</v>
      </c>
      <c r="E10" s="39" t="str">
        <f>Commodities!B10</f>
        <v>PWRFGDGROO</v>
      </c>
      <c r="F10" s="39" t="str">
        <f>[6]ProcDataGenPre2012!F10</f>
        <v>ELCC</v>
      </c>
      <c r="H10" s="45" t="str">
        <f>ProcDataFGD!I10</f>
        <v/>
      </c>
      <c r="I10" s="90"/>
      <c r="J10" s="90">
        <v>0</v>
      </c>
      <c r="X10" s="90"/>
      <c r="Y10" s="90" t="str">
        <f>IF($H10="","",1)</f>
        <v/>
      </c>
    </row>
    <row r="11" spans="1:39" ht="11.25" customHeight="1" x14ac:dyDescent="0.2">
      <c r="B11" s="39" t="str">
        <f>Processes!B11</f>
        <v>ETCLEKOMA-E</v>
      </c>
      <c r="C11" s="39" t="str">
        <f>Processes!C11</f>
        <v>KOMATI</v>
      </c>
      <c r="D11" s="39" t="str">
        <f>[6]ProcDataGenPre2012!D11</f>
        <v>PJ,GW</v>
      </c>
      <c r="E11" s="39" t="str">
        <f>Commodities!B11</f>
        <v>PWRFGDKOMA</v>
      </c>
      <c r="F11" s="39" t="str">
        <f>[6]ProcDataGenPre2012!F11</f>
        <v>ELCC</v>
      </c>
      <c r="H11" s="45" t="str">
        <f>ProcDataFGD!I11</f>
        <v/>
      </c>
      <c r="I11" s="90"/>
      <c r="J11" s="90"/>
      <c r="K11" s="39">
        <v>0</v>
      </c>
      <c r="X11" s="90"/>
      <c r="Y11" s="90"/>
      <c r="Z11" s="90" t="str">
        <f>IF($H11="","",1)</f>
        <v/>
      </c>
    </row>
    <row r="12" spans="1:39" ht="11.25" customHeight="1" x14ac:dyDescent="0.2">
      <c r="B12" s="39" t="str">
        <f>Processes!B12</f>
        <v>ETCLEARNO-E</v>
      </c>
      <c r="C12" s="39" t="str">
        <f>Processes!C12</f>
        <v>ARNOT</v>
      </c>
      <c r="D12" s="39" t="str">
        <f>[6]ProcDataGenPre2012!D12</f>
        <v>PJ,GW</v>
      </c>
      <c r="E12" s="39" t="str">
        <f>Commodities!B12</f>
        <v>PWRFGDARNO</v>
      </c>
      <c r="F12" s="39" t="str">
        <f>[6]ProcDataGenPre2012!F12</f>
        <v>ELCC</v>
      </c>
      <c r="H12" s="45" t="str">
        <f>ProcDataFGD!I12</f>
        <v/>
      </c>
      <c r="I12" s="90"/>
      <c r="J12" s="90"/>
      <c r="L12" s="39">
        <v>0</v>
      </c>
      <c r="X12" s="90"/>
      <c r="Y12" s="90"/>
      <c r="AA12" s="90" t="str">
        <f>IF($H12="","",1)</f>
        <v/>
      </c>
    </row>
    <row r="13" spans="1:39" ht="11.25" customHeight="1" x14ac:dyDescent="0.2">
      <c r="B13" s="39" t="str">
        <f>Processes!B13</f>
        <v>ETCLEDUVH-E</v>
      </c>
      <c r="C13" s="39" t="str">
        <f>Processes!C13</f>
        <v>DUVHA</v>
      </c>
      <c r="D13" s="39" t="str">
        <f>[6]ProcDataGenPre2012!D13</f>
        <v>PJ,GW</v>
      </c>
      <c r="E13" s="39" t="str">
        <f>Commodities!B13</f>
        <v>PWRFGDDUVH</v>
      </c>
      <c r="F13" s="39" t="str">
        <f>[6]ProcDataGenPre2012!F13</f>
        <v>ELCC</v>
      </c>
      <c r="H13" s="45">
        <f>ProcDataFGD!I13</f>
        <v>6.5140000000000003E-2</v>
      </c>
      <c r="I13" s="90"/>
      <c r="J13" s="90"/>
      <c r="M13" s="39">
        <v>0</v>
      </c>
      <c r="X13" s="90"/>
      <c r="Y13" s="90"/>
      <c r="AB13" s="90">
        <f>IF($H13="","",1)</f>
        <v>1</v>
      </c>
    </row>
    <row r="14" spans="1:39" ht="11.25" customHeight="1" x14ac:dyDescent="0.2">
      <c r="B14" s="39" t="str">
        <f>Processes!B14</f>
        <v>ETCLEHEND-E</v>
      </c>
      <c r="C14" s="39" t="str">
        <f>Processes!C14</f>
        <v>HENDRINA</v>
      </c>
      <c r="D14" s="39" t="str">
        <f>[6]ProcDataGenPre2012!D14</f>
        <v>PJ,GW</v>
      </c>
      <c r="E14" s="39" t="str">
        <f>Commodities!B14</f>
        <v>PWRFGDHEND</v>
      </c>
      <c r="F14" s="39" t="str">
        <f>[6]ProcDataGenPre2012!F14</f>
        <v>ELCC</v>
      </c>
      <c r="H14" s="45" t="str">
        <f>ProcDataFGD!I14</f>
        <v/>
      </c>
      <c r="I14" s="90"/>
      <c r="J14" s="90"/>
      <c r="N14" s="39">
        <v>0</v>
      </c>
      <c r="X14" s="90"/>
      <c r="Y14" s="90"/>
      <c r="AC14" s="90" t="str">
        <f>IF($H14="","",1)</f>
        <v/>
      </c>
    </row>
    <row r="15" spans="1:39" ht="11.25" customHeight="1" x14ac:dyDescent="0.2">
      <c r="B15" s="39" t="str">
        <f>Processes!B15</f>
        <v>ETCLEKEND-E</v>
      </c>
      <c r="C15" s="39" t="str">
        <f>Processes!C15</f>
        <v>KENDAL</v>
      </c>
      <c r="D15" s="39" t="str">
        <f>[6]ProcDataGenPre2012!D15</f>
        <v>PJ,GW</v>
      </c>
      <c r="E15" s="39" t="str">
        <f>Commodities!B15</f>
        <v>PWRFGDKEND</v>
      </c>
      <c r="F15" s="39" t="str">
        <f>[6]ProcDataGenPre2012!F15</f>
        <v>ELCC</v>
      </c>
      <c r="H15" s="45">
        <f>ProcDataFGD!I15</f>
        <v>6.5140000000000003E-2</v>
      </c>
      <c r="I15" s="90"/>
      <c r="J15" s="90"/>
      <c r="O15" s="39">
        <v>0</v>
      </c>
      <c r="X15" s="90"/>
      <c r="Y15" s="90"/>
      <c r="AD15" s="90">
        <f>IF($H15="","",1)</f>
        <v>1</v>
      </c>
    </row>
    <row r="16" spans="1:39" ht="11.25" customHeight="1" x14ac:dyDescent="0.2">
      <c r="B16" s="39" t="str">
        <f>Processes!B16</f>
        <v>ETCLEKRIE-E</v>
      </c>
      <c r="C16" s="39" t="str">
        <f>Processes!C16</f>
        <v>KRIEL</v>
      </c>
      <c r="D16" s="39" t="str">
        <f>[6]ProcDataGenPre2012!D16</f>
        <v>PJ,GW</v>
      </c>
      <c r="E16" s="39" t="str">
        <f>Commodities!B16</f>
        <v>PWRFGDKRIE</v>
      </c>
      <c r="F16" s="39" t="str">
        <f>[6]ProcDataGenPre2012!F16</f>
        <v>ELCC</v>
      </c>
      <c r="H16" s="45" t="str">
        <f>ProcDataFGD!I16</f>
        <v/>
      </c>
      <c r="I16" s="90"/>
      <c r="J16" s="90"/>
      <c r="P16" s="39">
        <v>0</v>
      </c>
      <c r="X16" s="90"/>
      <c r="Y16" s="90"/>
      <c r="AE16" s="90" t="str">
        <f>IF($H16="","",1)</f>
        <v/>
      </c>
    </row>
    <row r="17" spans="2:38" ht="11.25" customHeight="1" x14ac:dyDescent="0.2">
      <c r="B17" s="39" t="str">
        <f>Processes!B17</f>
        <v>ETCLELETH-E</v>
      </c>
      <c r="C17" s="39" t="str">
        <f>Processes!C17</f>
        <v>LETHABO</v>
      </c>
      <c r="D17" s="39" t="str">
        <f>[6]ProcDataGenPre2012!D17</f>
        <v>PJ,GW</v>
      </c>
      <c r="E17" s="39" t="str">
        <f>Commodities!B17</f>
        <v>PWRFGDLETH</v>
      </c>
      <c r="F17" s="39" t="str">
        <f>[6]ProcDataGenPre2012!F17</f>
        <v>ELCC</v>
      </c>
      <c r="H17" s="45">
        <f>ProcDataFGD!I17</f>
        <v>6.5140000000000003E-2</v>
      </c>
      <c r="I17" s="90"/>
      <c r="J17" s="90"/>
      <c r="Q17" s="39">
        <v>0</v>
      </c>
      <c r="X17" s="90"/>
      <c r="Y17" s="90"/>
      <c r="AF17" s="90">
        <f>IF($H17="","",1)</f>
        <v>1</v>
      </c>
    </row>
    <row r="18" spans="2:38" ht="11.25" customHeight="1" x14ac:dyDescent="0.2">
      <c r="B18" s="39" t="str">
        <f>Processes!B18</f>
        <v>ETCLEMAJD-E</v>
      </c>
      <c r="C18" s="39" t="str">
        <f>Processes!C18</f>
        <v>MAJUBA DRY</v>
      </c>
      <c r="D18" s="39" t="str">
        <f>[6]ProcDataGenPre2012!D18</f>
        <v>PJ,GW</v>
      </c>
      <c r="E18" s="39" t="str">
        <f>Commodities!B18</f>
        <v>PWRFGDMAJD</v>
      </c>
      <c r="F18" s="39" t="str">
        <f>[6]ProcDataGenPre2012!F18</f>
        <v>ELCC</v>
      </c>
      <c r="H18" s="45">
        <f>ProcDataFGD!I18</f>
        <v>6.5140000000000003E-2</v>
      </c>
      <c r="I18" s="90"/>
      <c r="J18" s="90"/>
      <c r="R18" s="39">
        <v>0</v>
      </c>
      <c r="X18" s="90"/>
      <c r="Y18" s="90"/>
      <c r="AG18" s="90">
        <f>IF($H18="","",1)</f>
        <v>1</v>
      </c>
    </row>
    <row r="19" spans="2:38" ht="11.25" customHeight="1" x14ac:dyDescent="0.2">
      <c r="B19" s="39" t="str">
        <f>Processes!B19</f>
        <v>ETCLEMAJW-E</v>
      </c>
      <c r="C19" s="39" t="str">
        <f>Processes!C19</f>
        <v>MAJUBA WET</v>
      </c>
      <c r="D19" s="39" t="str">
        <f>[6]ProcDataGenPre2012!D19</f>
        <v>PJ,GW</v>
      </c>
      <c r="E19" s="39" t="str">
        <f>Commodities!B19</f>
        <v>PWRFGDMAJW</v>
      </c>
      <c r="F19" s="39" t="str">
        <f>[6]ProcDataGenPre2012!F19</f>
        <v>ELCC</v>
      </c>
      <c r="H19" s="45">
        <f>ProcDataFGD!I19</f>
        <v>6.5140000000000003E-2</v>
      </c>
      <c r="I19" s="90"/>
      <c r="J19" s="90"/>
      <c r="S19" s="39">
        <v>0</v>
      </c>
      <c r="X19" s="90"/>
      <c r="Y19" s="90"/>
      <c r="AH19" s="90">
        <f>IF($H19="","",1)</f>
        <v>1</v>
      </c>
    </row>
    <row r="20" spans="2:38" ht="11.25" customHeight="1" x14ac:dyDescent="0.2">
      <c r="B20" s="39" t="str">
        <f>Processes!B20</f>
        <v>ETCLEMATI-E</v>
      </c>
      <c r="C20" s="39" t="str">
        <f>Processes!C20</f>
        <v>MATIMBA</v>
      </c>
      <c r="D20" s="39" t="str">
        <f>[6]ProcDataGenPre2012!D20</f>
        <v>PJ,GW</v>
      </c>
      <c r="E20" s="39" t="str">
        <f>Commodities!B20</f>
        <v>PWRFGDMATI</v>
      </c>
      <c r="F20" s="39" t="str">
        <f>[6]ProcDataGenPre2012!F20</f>
        <v>ELCC</v>
      </c>
      <c r="H20" s="45">
        <f>ProcDataFGD!I20</f>
        <v>6.5140000000000003E-2</v>
      </c>
      <c r="I20" s="90"/>
      <c r="J20" s="90"/>
      <c r="T20" s="39">
        <v>0</v>
      </c>
      <c r="X20" s="90"/>
      <c r="Y20" s="90"/>
      <c r="AI20" s="90">
        <f>IF($H20="","",1)</f>
        <v>1</v>
      </c>
    </row>
    <row r="21" spans="2:38" ht="11.25" customHeight="1" x14ac:dyDescent="0.2">
      <c r="B21" s="39" t="str">
        <f>Processes!B21</f>
        <v>ETCLEMATL-E</v>
      </c>
      <c r="C21" s="39" t="str">
        <f>Processes!C21</f>
        <v>MATLA</v>
      </c>
      <c r="D21" s="39" t="str">
        <f>[6]ProcDataGenPre2012!D21</f>
        <v>PJ,GW</v>
      </c>
      <c r="E21" s="39" t="str">
        <f>Commodities!B21</f>
        <v>PWRFGDMATL</v>
      </c>
      <c r="F21" s="39" t="str">
        <f>[6]ProcDataGenPre2012!F21</f>
        <v>ELCC</v>
      </c>
      <c r="H21" s="45">
        <f>ProcDataFGD!I21</f>
        <v>6.5140000000000003E-2</v>
      </c>
      <c r="I21" s="90"/>
      <c r="J21" s="90"/>
      <c r="U21" s="39">
        <v>0</v>
      </c>
      <c r="X21" s="90"/>
      <c r="Y21" s="90"/>
      <c r="AJ21" s="90">
        <f>IF($H21="","",1)</f>
        <v>1</v>
      </c>
    </row>
    <row r="22" spans="2:38" ht="11.25" customHeight="1" x14ac:dyDescent="0.2">
      <c r="B22" s="39" t="str">
        <f>Processes!B22</f>
        <v>ETCLETUTU-E</v>
      </c>
      <c r="C22" s="39" t="str">
        <f>Processes!C22</f>
        <v>TUTUKA</v>
      </c>
      <c r="D22" s="39" t="str">
        <f>[6]ProcDataGenPre2012!D22</f>
        <v>PJ,GW</v>
      </c>
      <c r="E22" s="39" t="str">
        <f>Commodities!B22</f>
        <v>PWRFGDTUTU</v>
      </c>
      <c r="F22" s="39" t="str">
        <f>[6]ProcDataGenPre2012!F22</f>
        <v>ELCC</v>
      </c>
      <c r="H22" s="45" t="str">
        <f>ProcDataFGD!I22</f>
        <v/>
      </c>
      <c r="I22" s="90"/>
      <c r="J22" s="90"/>
      <c r="V22" s="39">
        <v>0</v>
      </c>
      <c r="X22" s="90"/>
      <c r="Y22" s="90"/>
      <c r="AK22" s="90" t="str">
        <f>IF($H22="","",1)</f>
        <v/>
      </c>
    </row>
    <row r="23" spans="2:38" ht="11.25" customHeight="1" x14ac:dyDescent="0.2">
      <c r="B23" s="39" t="str">
        <f>Processes!B24</f>
        <v>ETCLEMEDU-N</v>
      </c>
      <c r="C23" s="39" t="str">
        <f>Processes!C24</f>
        <v>MEDUPI</v>
      </c>
      <c r="D23" s="39" t="str">
        <f>[6]ProcDataGenPre2012!D24</f>
        <v>PJ,GW</v>
      </c>
      <c r="E23" s="39" t="str">
        <f>Commodities!B24</f>
        <v>PWRFGDMEDU</v>
      </c>
      <c r="F23" s="39" t="str">
        <f>F22</f>
        <v>ELCC</v>
      </c>
      <c r="H23" s="45">
        <f>ProcDataFGD!I23</f>
        <v>6.5140000000000003E-2</v>
      </c>
      <c r="W23" s="39">
        <v>0</v>
      </c>
      <c r="AL23" s="90">
        <f>IF($H23="","",1)</f>
        <v>1</v>
      </c>
    </row>
    <row r="25" spans="2:38" ht="11.25" customHeight="1" x14ac:dyDescent="0.2">
      <c r="I25" s="90"/>
      <c r="J25" s="90"/>
      <c r="X25" s="90"/>
      <c r="Y25" s="90"/>
    </row>
    <row r="28" spans="2:38" ht="11.25" customHeight="1" x14ac:dyDescent="0.2">
      <c r="I28" s="90"/>
      <c r="J28" s="90"/>
      <c r="X28" s="90"/>
      <c r="Y28" s="90"/>
    </row>
    <row r="31" spans="2:38" ht="11.25" customHeight="1" x14ac:dyDescent="0.2">
      <c r="I31" s="90"/>
      <c r="J31" s="90"/>
      <c r="X31" s="90"/>
      <c r="Y31" s="90"/>
    </row>
    <row r="34" spans="9:25" ht="11.25" customHeight="1" x14ac:dyDescent="0.2">
      <c r="I34" s="90"/>
      <c r="J34" s="90"/>
      <c r="X34" s="90"/>
      <c r="Y34" s="90"/>
    </row>
    <row r="37" spans="9:25" ht="11.25" customHeight="1" x14ac:dyDescent="0.2">
      <c r="I37" s="90"/>
      <c r="J37" s="90"/>
      <c r="X37" s="90"/>
      <c r="Y37" s="90"/>
    </row>
    <row r="40" spans="9:25" ht="11.25" customHeight="1" x14ac:dyDescent="0.2">
      <c r="I40" s="90"/>
      <c r="J40" s="90"/>
      <c r="X40" s="90"/>
      <c r="Y40" s="90"/>
    </row>
    <row r="43" spans="9:25" ht="11.25" customHeight="1" x14ac:dyDescent="0.2">
      <c r="I43" s="90"/>
      <c r="J43" s="90"/>
      <c r="X43" s="90"/>
      <c r="Y43" s="90"/>
    </row>
    <row r="46" spans="9:25" ht="11.25" customHeight="1" x14ac:dyDescent="0.2">
      <c r="I46" s="90"/>
      <c r="J46" s="90"/>
      <c r="X46" s="90"/>
      <c r="Y46" s="90"/>
    </row>
    <row r="49" spans="1:25" ht="11.25" customHeight="1" x14ac:dyDescent="0.2">
      <c r="I49" s="90"/>
      <c r="J49" s="90"/>
      <c r="X49" s="90"/>
      <c r="Y49" s="90"/>
    </row>
    <row r="52" spans="1:25" ht="11.25" customHeight="1" x14ac:dyDescent="0.2">
      <c r="I52" s="90"/>
      <c r="J52" s="90"/>
      <c r="X52" s="90"/>
      <c r="Y52" s="90"/>
    </row>
    <row r="53" spans="1:25" ht="11.25" customHeight="1" x14ac:dyDescent="0.2">
      <c r="A53" s="42"/>
    </row>
    <row r="56" spans="1:25" ht="11.25" customHeight="1" x14ac:dyDescent="0.2">
      <c r="I56" s="90"/>
      <c r="J56" s="90"/>
      <c r="X56" s="90"/>
      <c r="Y56" s="90"/>
    </row>
    <row r="59" spans="1:25" ht="11.25" customHeight="1" x14ac:dyDescent="0.2">
      <c r="I59" s="90"/>
      <c r="J59" s="90"/>
      <c r="X59" s="90"/>
      <c r="Y59" s="90"/>
    </row>
    <row r="62" spans="1:25" ht="11.25" customHeight="1" x14ac:dyDescent="0.2">
      <c r="I62" s="90"/>
      <c r="J62" s="90"/>
      <c r="X62" s="90"/>
      <c r="Y62" s="90"/>
    </row>
    <row r="65" spans="9:25" ht="11.25" customHeight="1" x14ac:dyDescent="0.2">
      <c r="I65" s="90"/>
      <c r="J65" s="90"/>
      <c r="X65" s="90"/>
      <c r="Y65" s="90"/>
    </row>
    <row r="66" spans="9:25" ht="11.25" customHeight="1" x14ac:dyDescent="0.2">
      <c r="I66" s="90"/>
      <c r="J66" s="90"/>
      <c r="X66" s="90"/>
      <c r="Y66" s="90"/>
    </row>
    <row r="67" spans="9:25" ht="11.25" customHeight="1" x14ac:dyDescent="0.2">
      <c r="I67" s="90"/>
      <c r="J67" s="90"/>
      <c r="X67" s="90"/>
      <c r="Y67" s="90"/>
    </row>
    <row r="68" spans="9:25" ht="11.25" customHeight="1" x14ac:dyDescent="0.2">
      <c r="I68" s="90"/>
      <c r="J68" s="90"/>
      <c r="X68" s="90"/>
      <c r="Y68" s="90"/>
    </row>
  </sheetData>
  <pageMargins left="0.75" right="0.75" top="1" bottom="1" header="0.5" footer="0.5"/>
  <pageSetup paperSize="9" orientation="landscape" horizont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39681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39681" r:id="rId4" name="cmdTechNameAndDesc"/>
      </mc:Fallback>
    </mc:AlternateContent>
    <mc:AlternateContent xmlns:mc="http://schemas.openxmlformats.org/markup-compatibility/2006">
      <mc:Choice Requires="x14">
        <control shapeId="839682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9682" r:id="rId6" name="cmdCommIN"/>
      </mc:Fallback>
    </mc:AlternateContent>
    <mc:AlternateContent xmlns:mc="http://schemas.openxmlformats.org/markup-compatibility/2006">
      <mc:Choice Requires="x14">
        <control shapeId="839683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9683" r:id="rId8" name="cmdCommOUT"/>
      </mc:Fallback>
    </mc:AlternateContent>
    <mc:AlternateContent xmlns:mc="http://schemas.openxmlformats.org/markup-compatibility/2006">
      <mc:Choice Requires="x14">
        <control shapeId="839684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39684" r:id="rId10" name="cmdAddParameter"/>
      </mc:Fallback>
    </mc:AlternateContent>
    <mc:AlternateContent xmlns:mc="http://schemas.openxmlformats.org/markup-compatibility/2006">
      <mc:Choice Requires="x14">
        <control shapeId="839685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39685" r:id="rId12" name="cmdAddParamQualifier1"/>
      </mc:Fallback>
    </mc:AlternateContent>
    <mc:AlternateContent xmlns:mc="http://schemas.openxmlformats.org/markup-compatibility/2006">
      <mc:Choice Requires="x14">
        <control shapeId="839686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39686" r:id="rId14" name="cmdCheckTechDataSheet"/>
      </mc:Fallback>
    </mc:AlternateContent>
    <mc:AlternateContent xmlns:mc="http://schemas.openxmlformats.org/markup-compatibility/2006">
      <mc:Choice Requires="x14">
        <control shapeId="839687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39687" r:id="rId16" name="cmdAddParamQualifier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165FE-397F-4260-90EC-D7C8CF7F365B}">
  <sheetPr codeName="Sheet50">
    <tabColor theme="8"/>
  </sheetPr>
  <dimension ref="A1:K25"/>
  <sheetViews>
    <sheetView workbookViewId="0">
      <selection activeCell="A23" sqref="A23:XFD23"/>
    </sheetView>
    <sheetView workbookViewId="1"/>
  </sheetViews>
  <sheetFormatPr defaultColWidth="9.140625" defaultRowHeight="11.25" customHeight="1" x14ac:dyDescent="0.2"/>
  <cols>
    <col min="1" max="1" width="12.28515625" style="39" customWidth="1"/>
    <col min="2" max="2" width="15.28515625" style="39" customWidth="1"/>
    <col min="3" max="3" width="36.140625" style="39" customWidth="1"/>
    <col min="4" max="4" width="8.5703125" style="39" customWidth="1"/>
    <col min="5" max="5" width="12.28515625" style="39" customWidth="1"/>
    <col min="6" max="6" width="10.140625" style="39" customWidth="1"/>
    <col min="7" max="7" width="6.85546875" style="45" customWidth="1"/>
    <col min="8" max="16384" width="9.140625" style="39"/>
  </cols>
  <sheetData>
    <row r="1" spans="1:11" ht="11.25" customHeight="1" x14ac:dyDescent="0.2">
      <c r="A1" s="53" t="s">
        <v>300</v>
      </c>
      <c r="B1" s="18" t="s">
        <v>122</v>
      </c>
      <c r="H1" s="39" t="s">
        <v>92</v>
      </c>
    </row>
    <row r="2" spans="1:11" ht="11.25" customHeight="1" x14ac:dyDescent="0.2">
      <c r="A2" s="51" t="str">
        <f ca="1">MID(CELL("filename",A1),FIND("]",CELL("filename",A1))+1,255)</f>
        <v>ProcDataEndoRetireFX</v>
      </c>
    </row>
    <row r="3" spans="1:11" ht="34.5" customHeight="1" x14ac:dyDescent="0.2">
      <c r="H3" s="61" t="s">
        <v>233</v>
      </c>
      <c r="I3" s="61" t="s">
        <v>235</v>
      </c>
      <c r="J3" s="61" t="s">
        <v>235</v>
      </c>
      <c r="K3" s="61" t="s">
        <v>235</v>
      </c>
    </row>
    <row r="4" spans="1:11" ht="21.75" customHeight="1" x14ac:dyDescent="0.2">
      <c r="E4" s="60"/>
      <c r="F4" s="60"/>
      <c r="G4" s="60"/>
      <c r="I4" s="39" t="s">
        <v>234</v>
      </c>
      <c r="J4" s="39" t="s">
        <v>234</v>
      </c>
      <c r="K4" s="39" t="s">
        <v>234</v>
      </c>
    </row>
    <row r="5" spans="1:11" ht="16.5" customHeight="1" x14ac:dyDescent="0.2"/>
    <row r="6" spans="1:11" ht="17.25" customHeight="1" x14ac:dyDescent="0.2"/>
    <row r="7" spans="1:11" ht="21.75" customHeight="1" x14ac:dyDescent="0.2">
      <c r="B7" s="53" t="s">
        <v>56</v>
      </c>
      <c r="C7" s="53" t="s">
        <v>57</v>
      </c>
      <c r="D7" s="57" t="s">
        <v>93</v>
      </c>
      <c r="E7" s="53" t="s">
        <v>80</v>
      </c>
      <c r="F7" s="53" t="s">
        <v>81</v>
      </c>
      <c r="G7" s="57" t="s">
        <v>94</v>
      </c>
      <c r="I7" s="39">
        <v>0</v>
      </c>
      <c r="J7" s="39">
        <f>[6]ProcDataEndoRetire!J7</f>
        <v>2025</v>
      </c>
      <c r="K7" s="39">
        <f>[6]ProcDataEndoRetire!K7</f>
        <v>2026</v>
      </c>
    </row>
    <row r="8" spans="1:11" ht="11.25" customHeight="1" x14ac:dyDescent="0.2">
      <c r="A8" s="42" t="str">
        <f>[6]ProcDataGenPre2012!A8</f>
        <v>* Existing Power Plants</v>
      </c>
      <c r="F8" s="44"/>
    </row>
    <row r="9" spans="1:11" ht="11.25" customHeight="1" x14ac:dyDescent="0.2">
      <c r="B9" s="39" t="str">
        <f>[6]ProcDataGenPre2012!B9</f>
        <v>ETCLECAMD-E</v>
      </c>
      <c r="C9" s="39" t="str">
        <f>[6]ProcDataGenPre2012!C9</f>
        <v>CAMDEN</v>
      </c>
      <c r="D9" s="39" t="str">
        <f>[6]ProcDataGenPre2012!D9</f>
        <v>PJ,GW</v>
      </c>
      <c r="E9" s="39" t="s">
        <v>183</v>
      </c>
      <c r="F9" s="39" t="s">
        <v>121</v>
      </c>
      <c r="H9" s="39">
        <v>8</v>
      </c>
      <c r="I9" s="39">
        <v>3</v>
      </c>
      <c r="J9" s="39">
        <v>0</v>
      </c>
      <c r="K9" s="39">
        <v>0</v>
      </c>
    </row>
    <row r="10" spans="1:11" ht="11.25" customHeight="1" x14ac:dyDescent="0.2">
      <c r="B10" s="39" t="str">
        <f>[6]ProcDataGenPre2012!B10</f>
        <v>ETCLEGROO-E</v>
      </c>
      <c r="C10" s="39" t="str">
        <f>[6]ProcDataGenPre2012!C10</f>
        <v>GROOTVLEI</v>
      </c>
      <c r="D10" s="39" t="str">
        <f>[6]ProcDataGenPre2012!D10</f>
        <v>PJ,GW</v>
      </c>
      <c r="E10" s="39" t="s">
        <v>181</v>
      </c>
      <c r="F10" s="39" t="s">
        <v>121</v>
      </c>
      <c r="H10" s="39">
        <v>3</v>
      </c>
      <c r="I10" s="39">
        <v>3</v>
      </c>
      <c r="J10" s="39">
        <v>0</v>
      </c>
      <c r="K10" s="39">
        <v>0</v>
      </c>
    </row>
    <row r="11" spans="1:11" ht="11.25" customHeight="1" x14ac:dyDescent="0.2">
      <c r="B11" s="39" t="str">
        <f>[6]ProcDataGenPre2012!B11</f>
        <v>ETCLEKOMA-E</v>
      </c>
      <c r="C11" s="39" t="str">
        <f>[6]ProcDataGenPre2012!C11</f>
        <v>KOMATI</v>
      </c>
      <c r="D11" s="39" t="str">
        <f>[6]ProcDataGenPre2012!D11</f>
        <v>PJ,GW</v>
      </c>
      <c r="E11" s="39" t="s">
        <v>178</v>
      </c>
      <c r="F11" s="39" t="s">
        <v>121</v>
      </c>
      <c r="H11" s="39">
        <v>4</v>
      </c>
      <c r="I11" s="39">
        <v>3</v>
      </c>
      <c r="J11" s="39">
        <v>0</v>
      </c>
      <c r="K11" s="39">
        <v>0</v>
      </c>
    </row>
    <row r="12" spans="1:11" ht="11.25" customHeight="1" x14ac:dyDescent="0.2">
      <c r="B12" s="39" t="str">
        <f>[6]ProcDataGenPre2012!B12</f>
        <v>ETCLEARNO-E</v>
      </c>
      <c r="C12" s="39" t="str">
        <f>[6]ProcDataGenPre2012!C12</f>
        <v>ARNOT</v>
      </c>
      <c r="D12" s="39" t="str">
        <f>[6]ProcDataGenPre2012!D12</f>
        <v>PJ,GW</v>
      </c>
      <c r="E12" s="39" t="s">
        <v>184</v>
      </c>
      <c r="F12" s="39" t="s">
        <v>121</v>
      </c>
      <c r="H12" s="39">
        <v>6</v>
      </c>
      <c r="I12" s="39">
        <v>3</v>
      </c>
      <c r="J12" s="39">
        <v>0</v>
      </c>
      <c r="K12" s="39">
        <v>0</v>
      </c>
    </row>
    <row r="13" spans="1:11" ht="11.25" customHeight="1" x14ac:dyDescent="0.2">
      <c r="B13" s="39" t="str">
        <f>[6]ProcDataGenPre2012!B13</f>
        <v>ETCLEDUVH-E</v>
      </c>
      <c r="C13" s="39" t="str">
        <f>[6]ProcDataGenPre2012!C13</f>
        <v>DUVHA</v>
      </c>
      <c r="D13" s="39" t="str">
        <f>[6]ProcDataGenPre2012!D13</f>
        <v>PJ,GW</v>
      </c>
      <c r="E13" s="39" t="s">
        <v>182</v>
      </c>
      <c r="F13" s="39" t="s">
        <v>121</v>
      </c>
      <c r="H13" s="39">
        <v>6</v>
      </c>
      <c r="I13" s="39">
        <v>3</v>
      </c>
      <c r="J13" s="39">
        <v>0</v>
      </c>
      <c r="K13" s="39">
        <v>0</v>
      </c>
    </row>
    <row r="14" spans="1:11" ht="11.25" customHeight="1" x14ac:dyDescent="0.2">
      <c r="B14" s="39" t="str">
        <f>[6]ProcDataGenPre2012!B14</f>
        <v>ETCLEHEND-E</v>
      </c>
      <c r="C14" s="39" t="str">
        <f>[6]ProcDataGenPre2012!C14</f>
        <v>HENDRINA</v>
      </c>
      <c r="D14" s="39" t="str">
        <f>[6]ProcDataGenPre2012!D14</f>
        <v>PJ,GW</v>
      </c>
      <c r="E14" s="39" t="s">
        <v>180</v>
      </c>
      <c r="F14" s="39" t="s">
        <v>121</v>
      </c>
      <c r="H14" s="39">
        <v>7</v>
      </c>
      <c r="I14" s="39">
        <v>3</v>
      </c>
      <c r="J14" s="39">
        <v>0</v>
      </c>
      <c r="K14" s="39">
        <v>0</v>
      </c>
    </row>
    <row r="15" spans="1:11" ht="11.25" customHeight="1" x14ac:dyDescent="0.2">
      <c r="B15" s="39" t="str">
        <f>[6]ProcDataGenPre2012!B15</f>
        <v>ETCLEKEND-E</v>
      </c>
      <c r="C15" s="39" t="str">
        <f>[6]ProcDataGenPre2012!C15</f>
        <v>KENDAL</v>
      </c>
      <c r="D15" s="39" t="str">
        <f>[6]ProcDataGenPre2012!D15</f>
        <v>PJ,GW</v>
      </c>
      <c r="E15" s="39" t="s">
        <v>179</v>
      </c>
      <c r="F15" s="39" t="s">
        <v>121</v>
      </c>
      <c r="H15" s="39">
        <v>6</v>
      </c>
      <c r="I15" s="39">
        <v>3</v>
      </c>
      <c r="J15" s="39">
        <v>0</v>
      </c>
      <c r="K15" s="39">
        <v>0</v>
      </c>
    </row>
    <row r="16" spans="1:11" ht="11.25" customHeight="1" x14ac:dyDescent="0.2">
      <c r="B16" s="39" t="str">
        <f>[6]ProcDataGenPre2012!B16</f>
        <v>ETCLEKRIE-E</v>
      </c>
      <c r="C16" s="39" t="str">
        <f>[6]ProcDataGenPre2012!C16</f>
        <v>KRIEL</v>
      </c>
      <c r="D16" s="39" t="str">
        <f>[6]ProcDataGenPre2012!D16</f>
        <v>PJ,GW</v>
      </c>
      <c r="E16" s="39" t="s">
        <v>177</v>
      </c>
      <c r="F16" s="39" t="s">
        <v>121</v>
      </c>
      <c r="H16" s="39">
        <v>6</v>
      </c>
      <c r="I16" s="39">
        <v>3</v>
      </c>
      <c r="J16" s="39">
        <v>0</v>
      </c>
      <c r="K16" s="39">
        <v>0</v>
      </c>
    </row>
    <row r="17" spans="1:11" ht="11.25" customHeight="1" x14ac:dyDescent="0.2">
      <c r="B17" s="39" t="str">
        <f>[6]ProcDataGenPre2012!B17</f>
        <v>ETCLELETH-E</v>
      </c>
      <c r="C17" s="39" t="str">
        <f>[6]ProcDataGenPre2012!C17</f>
        <v>LETHABO</v>
      </c>
      <c r="D17" s="39" t="str">
        <f>[6]ProcDataGenPre2012!D17</f>
        <v>PJ,GW</v>
      </c>
      <c r="E17" s="39" t="s">
        <v>176</v>
      </c>
      <c r="F17" s="39" t="s">
        <v>121</v>
      </c>
      <c r="H17" s="39">
        <v>6</v>
      </c>
      <c r="I17" s="39">
        <v>3</v>
      </c>
      <c r="J17" s="39">
        <v>0</v>
      </c>
      <c r="K17" s="39">
        <v>0</v>
      </c>
    </row>
    <row r="18" spans="1:11" ht="11.25" customHeight="1" x14ac:dyDescent="0.2">
      <c r="B18" s="39" t="str">
        <f>[6]ProcDataGenPre2012!B18</f>
        <v>ETCLEMAJD-E</v>
      </c>
      <c r="C18" s="39" t="str">
        <f>[6]ProcDataGenPre2012!C18</f>
        <v>MAJUBA DRY</v>
      </c>
      <c r="D18" s="39" t="str">
        <f>[6]ProcDataGenPre2012!D18</f>
        <v>PJ,GW</v>
      </c>
      <c r="E18" s="39" t="s">
        <v>175</v>
      </c>
      <c r="F18" s="39" t="s">
        <v>121</v>
      </c>
      <c r="H18" s="39">
        <v>3</v>
      </c>
      <c r="I18" s="39">
        <v>3</v>
      </c>
      <c r="J18" s="39">
        <v>0</v>
      </c>
      <c r="K18" s="39">
        <v>0</v>
      </c>
    </row>
    <row r="19" spans="1:11" ht="11.25" customHeight="1" x14ac:dyDescent="0.2">
      <c r="B19" s="39" t="str">
        <f>[6]ProcDataGenPre2012!B19</f>
        <v>ETCLEMAJW-E</v>
      </c>
      <c r="C19" s="39" t="str">
        <f>[6]ProcDataGenPre2012!C19</f>
        <v>MAJUBA WET</v>
      </c>
      <c r="D19" s="39" t="str">
        <f>[6]ProcDataGenPre2012!D19</f>
        <v>PJ,GW</v>
      </c>
      <c r="E19" s="39" t="s">
        <v>175</v>
      </c>
      <c r="F19" s="39" t="s">
        <v>121</v>
      </c>
      <c r="H19" s="39">
        <v>3</v>
      </c>
      <c r="I19" s="39">
        <v>3</v>
      </c>
      <c r="J19" s="39">
        <v>0</v>
      </c>
      <c r="K19" s="39">
        <v>0</v>
      </c>
    </row>
    <row r="20" spans="1:11" ht="11.25" customHeight="1" x14ac:dyDescent="0.2">
      <c r="B20" s="39" t="str">
        <f>[6]ProcDataGenPre2012!B20</f>
        <v>ETCLEMATI-E</v>
      </c>
      <c r="C20" s="39" t="str">
        <f>[6]ProcDataGenPre2012!C20</f>
        <v>MATIMBA</v>
      </c>
      <c r="D20" s="39" t="str">
        <f>[6]ProcDataGenPre2012!D20</f>
        <v>PJ,GW</v>
      </c>
      <c r="E20" s="39" t="s">
        <v>174</v>
      </c>
      <c r="F20" s="39" t="s">
        <v>121</v>
      </c>
      <c r="H20" s="39">
        <v>6</v>
      </c>
      <c r="I20" s="39">
        <v>3</v>
      </c>
      <c r="J20" s="39">
        <v>0</v>
      </c>
      <c r="K20" s="39">
        <v>0</v>
      </c>
    </row>
    <row r="21" spans="1:11" ht="11.25" customHeight="1" x14ac:dyDescent="0.2">
      <c r="B21" s="39" t="str">
        <f>[6]ProcDataGenPre2012!B21</f>
        <v>ETCLEMATL-E</v>
      </c>
      <c r="C21" s="39" t="str">
        <f>[6]ProcDataGenPre2012!C21</f>
        <v>MATLA</v>
      </c>
      <c r="D21" s="39" t="str">
        <f>[6]ProcDataGenPre2012!D21</f>
        <v>PJ,GW</v>
      </c>
      <c r="E21" s="39" t="s">
        <v>173</v>
      </c>
      <c r="F21" s="39" t="s">
        <v>121</v>
      </c>
      <c r="H21" s="39">
        <v>6</v>
      </c>
      <c r="I21" s="39">
        <v>3</v>
      </c>
      <c r="J21" s="39">
        <v>0</v>
      </c>
      <c r="K21" s="39">
        <v>0</v>
      </c>
    </row>
    <row r="22" spans="1:11" ht="11.25" customHeight="1" x14ac:dyDescent="0.2">
      <c r="B22" s="39" t="str">
        <f>[6]ProcDataGenPre2012!B22</f>
        <v>ETCLETUTU-E</v>
      </c>
      <c r="C22" s="39" t="str">
        <f>[6]ProcDataGenPre2012!C22</f>
        <v>TUTUKA</v>
      </c>
      <c r="D22" s="39" t="str">
        <f>[6]ProcDataGenPre2012!D22</f>
        <v>PJ,GW</v>
      </c>
      <c r="E22" s="39" t="s">
        <v>172</v>
      </c>
      <c r="F22" s="39" t="s">
        <v>121</v>
      </c>
      <c r="H22" s="39">
        <v>6</v>
      </c>
      <c r="I22" s="39">
        <v>3</v>
      </c>
      <c r="J22" s="39">
        <v>0</v>
      </c>
      <c r="K22" s="39">
        <v>0</v>
      </c>
    </row>
    <row r="23" spans="1:11" ht="11.25" customHeight="1" x14ac:dyDescent="0.2">
      <c r="A23" s="42" t="str">
        <f>[6]ProcDataGen2012On!A8</f>
        <v>* New Power Plants - Grid</v>
      </c>
    </row>
    <row r="24" spans="1:11" ht="11.25" customHeight="1" x14ac:dyDescent="0.2">
      <c r="B24" s="39" t="str">
        <f>[6]ProcDataGen2012On!B9</f>
        <v>ETCLEMEDU-N</v>
      </c>
      <c r="C24" s="39" t="str">
        <f>[6]ProcDataGen2012On!C9</f>
        <v>MEDUPI</v>
      </c>
      <c r="D24" s="39" t="str">
        <f>[6]ProcDataGen2012On!D9</f>
        <v>PJ,GW</v>
      </c>
      <c r="E24" s="39" t="s">
        <v>168</v>
      </c>
      <c r="F24" s="39" t="s">
        <v>121</v>
      </c>
      <c r="H24" s="39">
        <v>6</v>
      </c>
      <c r="I24" s="39">
        <v>3</v>
      </c>
      <c r="J24" s="39">
        <v>0</v>
      </c>
      <c r="K24" s="39">
        <v>0</v>
      </c>
    </row>
    <row r="25" spans="1:11" ht="11.25" customHeight="1" x14ac:dyDescent="0.2">
      <c r="B25" s="39" t="str">
        <f>[6]ProcDataGen2012On!B10</f>
        <v>ETCLEKUSI-N</v>
      </c>
      <c r="C25" s="39" t="str">
        <f>[6]ProcDataGen2012On!C10</f>
        <v>KUSILE</v>
      </c>
      <c r="D25" s="39" t="str">
        <f>[6]ProcDataGen2012On!D10</f>
        <v>PJ,GW</v>
      </c>
      <c r="E25" s="39" t="s">
        <v>169</v>
      </c>
      <c r="F25" s="39" t="s">
        <v>121</v>
      </c>
      <c r="H25" s="39">
        <v>6</v>
      </c>
      <c r="I25" s="39">
        <v>3</v>
      </c>
      <c r="J25" s="39">
        <v>0</v>
      </c>
      <c r="K25" s="39">
        <v>0</v>
      </c>
    </row>
  </sheetData>
  <pageMargins left="0.75" right="0.75" top="1" bottom="1" header="0.5" footer="0.5"/>
  <pageSetup paperSize="9" orientation="landscape" horizont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41729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41729" r:id="rId4" name="cmdTechNameAndDesc"/>
      </mc:Fallback>
    </mc:AlternateContent>
    <mc:AlternateContent xmlns:mc="http://schemas.openxmlformats.org/markup-compatibility/2006">
      <mc:Choice Requires="x14">
        <control shapeId="841730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41730" r:id="rId6" name="cmdCommIN"/>
      </mc:Fallback>
    </mc:AlternateContent>
    <mc:AlternateContent xmlns:mc="http://schemas.openxmlformats.org/markup-compatibility/2006">
      <mc:Choice Requires="x14">
        <control shapeId="841731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41731" r:id="rId8" name="cmdCommOUT"/>
      </mc:Fallback>
    </mc:AlternateContent>
    <mc:AlternateContent xmlns:mc="http://schemas.openxmlformats.org/markup-compatibility/2006">
      <mc:Choice Requires="x14">
        <control shapeId="841732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41732" r:id="rId10" name="cmdAddParameter"/>
      </mc:Fallback>
    </mc:AlternateContent>
    <mc:AlternateContent xmlns:mc="http://schemas.openxmlformats.org/markup-compatibility/2006">
      <mc:Choice Requires="x14">
        <control shapeId="841733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41733" r:id="rId12" name="cmdAddParamQualifier1"/>
      </mc:Fallback>
    </mc:AlternateContent>
    <mc:AlternateContent xmlns:mc="http://schemas.openxmlformats.org/markup-compatibility/2006">
      <mc:Choice Requires="x14">
        <control shapeId="841734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41734" r:id="rId14" name="cmdCheckTechDataSheet"/>
      </mc:Fallback>
    </mc:AlternateContent>
    <mc:AlternateContent xmlns:mc="http://schemas.openxmlformats.org/markup-compatibility/2006">
      <mc:Choice Requires="x14">
        <control shapeId="841735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41735" r:id="rId16" name="cmdAddParamQualifier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26557-A645-49AD-ADE1-AB2AF4028055}">
  <dimension ref="B2:T34"/>
  <sheetViews>
    <sheetView workbookViewId="0">
      <selection activeCell="I34" sqref="I34"/>
    </sheetView>
    <sheetView workbookViewId="1">
      <selection activeCell="D18" sqref="D18"/>
    </sheetView>
  </sheetViews>
  <sheetFormatPr defaultRowHeight="12.75" x14ac:dyDescent="0.2"/>
  <cols>
    <col min="2" max="2" width="23.42578125" bestFit="1" customWidth="1"/>
    <col min="3" max="3" width="11" customWidth="1"/>
    <col min="4" max="4" width="11.140625" customWidth="1"/>
    <col min="8" max="8" width="12.42578125" customWidth="1"/>
    <col min="9" max="9" width="15.7109375" customWidth="1"/>
    <col min="10" max="10" width="16.42578125" customWidth="1"/>
    <col min="11" max="11" width="20" customWidth="1"/>
    <col min="12" max="12" width="21" customWidth="1"/>
    <col min="16" max="16" width="14.42578125" customWidth="1"/>
    <col min="18" max="18" width="20.140625" bestFit="1" customWidth="1"/>
    <col min="19" max="19" width="17.140625" customWidth="1"/>
    <col min="20" max="20" width="17.5703125" bestFit="1" customWidth="1"/>
  </cols>
  <sheetData>
    <row r="2" spans="2:20" x14ac:dyDescent="0.2">
      <c r="H2" s="1" t="s">
        <v>373</v>
      </c>
      <c r="J2" s="85" t="s">
        <v>374</v>
      </c>
      <c r="L2" s="113">
        <v>44958</v>
      </c>
      <c r="P2" s="1" t="s">
        <v>375</v>
      </c>
      <c r="Q2" s="1"/>
    </row>
    <row r="3" spans="2:20" x14ac:dyDescent="0.2">
      <c r="B3" s="85" t="s">
        <v>350</v>
      </c>
      <c r="C3" s="85" t="s">
        <v>244</v>
      </c>
      <c r="D3" s="114">
        <v>65.900000000000006</v>
      </c>
      <c r="H3" s="115" t="s">
        <v>376</v>
      </c>
      <c r="P3" t="s">
        <v>377</v>
      </c>
    </row>
    <row r="4" spans="2:20" x14ac:dyDescent="0.2">
      <c r="B4" s="85" t="s">
        <v>351</v>
      </c>
      <c r="C4" s="85" t="s">
        <v>244</v>
      </c>
      <c r="D4" s="114">
        <v>90.3</v>
      </c>
      <c r="P4" s="115" t="s">
        <v>378</v>
      </c>
      <c r="Q4" s="115"/>
    </row>
    <row r="5" spans="2:20" x14ac:dyDescent="0.2">
      <c r="B5" s="85" t="s">
        <v>354</v>
      </c>
      <c r="C5" s="85" t="s">
        <v>244</v>
      </c>
      <c r="D5">
        <f>D4-D3</f>
        <v>24.399999999999991</v>
      </c>
      <c r="H5" s="85" t="s">
        <v>379</v>
      </c>
      <c r="J5" s="116">
        <v>300</v>
      </c>
    </row>
    <row r="6" spans="2:20" x14ac:dyDescent="0.2">
      <c r="B6" s="85" t="s">
        <v>352</v>
      </c>
      <c r="C6" s="85" t="s">
        <v>358</v>
      </c>
      <c r="D6" s="114">
        <v>789</v>
      </c>
      <c r="H6" s="85" t="s">
        <v>380</v>
      </c>
      <c r="J6">
        <f>2.875+3.558+3.45+3.69+4.32+3.51+3.84+0.8+3.843</f>
        <v>29.885999999999999</v>
      </c>
    </row>
    <row r="7" spans="2:20" x14ac:dyDescent="0.2">
      <c r="B7" s="85" t="s">
        <v>353</v>
      </c>
      <c r="C7" s="85" t="s">
        <v>358</v>
      </c>
      <c r="D7" s="114">
        <v>1229</v>
      </c>
      <c r="H7" s="85" t="s">
        <v>381</v>
      </c>
      <c r="P7" s="85" t="s">
        <v>382</v>
      </c>
      <c r="Q7" s="85"/>
    </row>
    <row r="8" spans="2:20" x14ac:dyDescent="0.2">
      <c r="B8" s="85" t="s">
        <v>354</v>
      </c>
      <c r="C8" s="85" t="s">
        <v>358</v>
      </c>
      <c r="D8">
        <f>D7-D6</f>
        <v>440</v>
      </c>
      <c r="H8" s="85" t="s">
        <v>383</v>
      </c>
      <c r="I8" s="85" t="s">
        <v>241</v>
      </c>
      <c r="J8" s="117">
        <f>J5/J6*1000</f>
        <v>10038.14495081309</v>
      </c>
      <c r="R8" s="85"/>
    </row>
    <row r="9" spans="2:20" x14ac:dyDescent="0.2">
      <c r="H9" s="85" t="s">
        <v>384</v>
      </c>
      <c r="I9" s="85" t="s">
        <v>241</v>
      </c>
      <c r="J9" s="117">
        <f>J8*74.1/104.2</f>
        <v>7138.4504880542208</v>
      </c>
      <c r="K9" s="85" t="s">
        <v>385</v>
      </c>
      <c r="R9" s="85" t="s">
        <v>386</v>
      </c>
      <c r="S9" s="85" t="s">
        <v>387</v>
      </c>
      <c r="T9" s="85" t="s">
        <v>388</v>
      </c>
    </row>
    <row r="10" spans="2:20" x14ac:dyDescent="0.2">
      <c r="B10" s="85" t="s">
        <v>355</v>
      </c>
      <c r="K10" t="s">
        <v>230</v>
      </c>
      <c r="R10" s="85" t="s">
        <v>389</v>
      </c>
      <c r="S10" s="85" t="s">
        <v>390</v>
      </c>
      <c r="T10" s="85" t="s">
        <v>391</v>
      </c>
    </row>
    <row r="11" spans="2:20" x14ac:dyDescent="0.2">
      <c r="B11" s="85" t="s">
        <v>211</v>
      </c>
      <c r="C11" s="85" t="s">
        <v>132</v>
      </c>
      <c r="D11">
        <v>4.33</v>
      </c>
      <c r="P11" s="85" t="s">
        <v>392</v>
      </c>
      <c r="Q11" s="85" t="s">
        <v>393</v>
      </c>
      <c r="R11" s="118">
        <f>17677732*1000</f>
        <v>17677732000</v>
      </c>
      <c r="S11" s="118">
        <f>18122432*1000</f>
        <v>18122432000</v>
      </c>
      <c r="T11" s="118">
        <f>19277632*1000</f>
        <v>19277632000</v>
      </c>
    </row>
    <row r="12" spans="2:20" x14ac:dyDescent="0.2">
      <c r="B12" s="85" t="s">
        <v>356</v>
      </c>
      <c r="D12" s="91">
        <v>0.8</v>
      </c>
      <c r="F12" s="85" t="s">
        <v>372</v>
      </c>
      <c r="P12" s="85" t="s">
        <v>394</v>
      </c>
      <c r="Q12" s="85" t="s">
        <v>395</v>
      </c>
      <c r="R12" s="118">
        <v>1213335037</v>
      </c>
      <c r="S12" s="118">
        <v>1170979109</v>
      </c>
      <c r="T12" s="118">
        <v>1887352330</v>
      </c>
    </row>
    <row r="13" spans="2:20" x14ac:dyDescent="0.2">
      <c r="B13" s="85" t="s">
        <v>359</v>
      </c>
      <c r="C13" s="85" t="s">
        <v>123</v>
      </c>
      <c r="D13" s="92">
        <f>D12*D11*8.76</f>
        <v>30.344640000000002</v>
      </c>
      <c r="P13" s="85" t="s">
        <v>396</v>
      </c>
      <c r="Q13" s="85" t="s">
        <v>395</v>
      </c>
      <c r="R13" s="118">
        <f>R12*$D$14/$D$17</f>
        <v>873766956.4016217</v>
      </c>
      <c r="S13" s="118">
        <f t="shared" ref="S13:T13" si="0">S12*$D$14/$D$17</f>
        <v>843264902.83393407</v>
      </c>
      <c r="T13" s="118">
        <f t="shared" si="0"/>
        <v>1359151471.5663891</v>
      </c>
    </row>
    <row r="14" spans="2:20" x14ac:dyDescent="0.2">
      <c r="B14" s="85" t="s">
        <v>361</v>
      </c>
      <c r="C14" s="85" t="s">
        <v>360</v>
      </c>
      <c r="D14">
        <f>D11*D8/1000</f>
        <v>1.9052</v>
      </c>
      <c r="F14">
        <v>320.8965</v>
      </c>
      <c r="P14" s="85" t="s">
        <v>397</v>
      </c>
      <c r="Q14" s="85" t="s">
        <v>395</v>
      </c>
      <c r="R14" s="118">
        <f>R12*$D$15/$D$17</f>
        <v>339568080.59837848</v>
      </c>
      <c r="S14" s="118">
        <f t="shared" ref="S14:T14" si="1">S12*$D$15/$D$17</f>
        <v>327714206.16606605</v>
      </c>
      <c r="T14" s="118">
        <f t="shared" si="1"/>
        <v>528200858.43361121</v>
      </c>
    </row>
    <row r="15" spans="2:20" x14ac:dyDescent="0.2">
      <c r="B15" s="85" t="s">
        <v>362</v>
      </c>
      <c r="C15" s="85" t="s">
        <v>360</v>
      </c>
      <c r="D15">
        <f>D13*D5/1000</f>
        <v>0.74040921599999976</v>
      </c>
      <c r="F15">
        <v>850.93489999999997</v>
      </c>
    </row>
    <row r="16" spans="2:20" x14ac:dyDescent="0.2">
      <c r="F16">
        <f>SUM(F14:F15)*D24/D33</f>
        <v>1078.3457292297217</v>
      </c>
    </row>
    <row r="17" spans="2:20" x14ac:dyDescent="0.2">
      <c r="B17" s="85" t="s">
        <v>357</v>
      </c>
      <c r="C17" s="85" t="s">
        <v>360</v>
      </c>
      <c r="D17">
        <f>SUM(D14:D15)</f>
        <v>2.6456092159999995</v>
      </c>
      <c r="F17" s="119">
        <f>+D17/2*1000</f>
        <v>1322.8046079999997</v>
      </c>
    </row>
    <row r="19" spans="2:20" x14ac:dyDescent="0.2">
      <c r="B19" s="85" t="s">
        <v>363</v>
      </c>
      <c r="C19" s="85" t="s">
        <v>360</v>
      </c>
      <c r="D19">
        <v>1.2</v>
      </c>
    </row>
    <row r="20" spans="2:20" x14ac:dyDescent="0.2">
      <c r="D20">
        <f>D19/D17</f>
        <v>0.45358172807332714</v>
      </c>
    </row>
    <row r="22" spans="2:20" x14ac:dyDescent="0.2">
      <c r="B22" s="85" t="s">
        <v>364</v>
      </c>
      <c r="C22" s="85" t="s">
        <v>367</v>
      </c>
      <c r="P22" s="85" t="s">
        <v>364</v>
      </c>
      <c r="Q22" s="85" t="s">
        <v>367</v>
      </c>
    </row>
    <row r="23" spans="2:20" x14ac:dyDescent="0.2">
      <c r="B23" s="85" t="s">
        <v>365</v>
      </c>
      <c r="C23" s="85" t="s">
        <v>244</v>
      </c>
      <c r="D23">
        <f>D5/2</f>
        <v>12.199999999999996</v>
      </c>
      <c r="P23" s="85" t="s">
        <v>365</v>
      </c>
      <c r="Q23" s="85" t="s">
        <v>244</v>
      </c>
      <c r="R23" s="120">
        <f>R14/$D$13/1000000</f>
        <v>11.190380923892274</v>
      </c>
      <c r="S23" s="120">
        <f t="shared" ref="S23:T23" si="2">S14/$D$13/1000000</f>
        <v>10.79973946522569</v>
      </c>
      <c r="T23" s="120">
        <f t="shared" si="2"/>
        <v>17.406726803600609</v>
      </c>
    </row>
    <row r="24" spans="2:20" x14ac:dyDescent="0.2">
      <c r="B24" s="85" t="s">
        <v>366</v>
      </c>
      <c r="C24" s="85" t="s">
        <v>241</v>
      </c>
      <c r="D24">
        <f>D8/2</f>
        <v>220</v>
      </c>
      <c r="P24" s="85" t="s">
        <v>366</v>
      </c>
      <c r="Q24" s="85" t="s">
        <v>358</v>
      </c>
      <c r="R24" s="121">
        <f>R13/$D$11/1000000</f>
        <v>201.79375436527059</v>
      </c>
      <c r="S24" s="121">
        <f t="shared" ref="S24:T24" si="3">S13/$D$11/1000000</f>
        <v>194.74940019259446</v>
      </c>
      <c r="T24" s="121">
        <f t="shared" si="3"/>
        <v>313.8917948190275</v>
      </c>
    </row>
    <row r="26" spans="2:20" x14ac:dyDescent="0.2">
      <c r="B26" s="85" t="s">
        <v>248</v>
      </c>
      <c r="C26" s="85" t="s">
        <v>368</v>
      </c>
      <c r="H26" t="s">
        <v>364</v>
      </c>
      <c r="I26" t="s">
        <v>370</v>
      </c>
      <c r="J26" s="85" t="s">
        <v>398</v>
      </c>
      <c r="K26" s="85" t="s">
        <v>399</v>
      </c>
      <c r="P26" s="85" t="s">
        <v>248</v>
      </c>
      <c r="Q26" s="85" t="s">
        <v>367</v>
      </c>
    </row>
    <row r="27" spans="2:20" x14ac:dyDescent="0.2">
      <c r="B27" s="85" t="s">
        <v>357</v>
      </c>
      <c r="C27" s="85" t="s">
        <v>360</v>
      </c>
      <c r="D27" s="114">
        <v>32</v>
      </c>
      <c r="H27" t="s">
        <v>365</v>
      </c>
      <c r="I27" t="s">
        <v>120</v>
      </c>
      <c r="J27">
        <v>3.0272136364862297</v>
      </c>
      <c r="K27">
        <f>J27*$J$9/$J$29</f>
        <v>3.6826838586802784</v>
      </c>
    </row>
    <row r="28" spans="2:20" x14ac:dyDescent="0.2">
      <c r="B28" s="85" t="s">
        <v>369</v>
      </c>
      <c r="C28" s="85" t="s">
        <v>241</v>
      </c>
      <c r="D28">
        <f>D27/D11*1000</f>
        <v>7390.300230946882</v>
      </c>
      <c r="H28" t="s">
        <v>366</v>
      </c>
      <c r="I28" t="s">
        <v>241</v>
      </c>
      <c r="J28">
        <v>196.52075410631926</v>
      </c>
      <c r="K28">
        <f t="shared" ref="K28:K29" si="4">J28*$J$9/$J$29</f>
        <v>239.07259148153946</v>
      </c>
      <c r="P28" s="85" t="s">
        <v>369</v>
      </c>
      <c r="Q28" s="85" t="s">
        <v>241</v>
      </c>
      <c r="R28" s="121">
        <f>R11/$D$11/1000000</f>
        <v>4082.6170900692841</v>
      </c>
      <c r="S28" s="121">
        <f>S11/$D$11/1000000</f>
        <v>4185.3191685912234</v>
      </c>
      <c r="T28" s="121">
        <f>T11/$D$11/1000000</f>
        <v>4452.1090069284064</v>
      </c>
    </row>
    <row r="29" spans="2:20" x14ac:dyDescent="0.2">
      <c r="B29" s="85"/>
      <c r="C29" s="85"/>
      <c r="E29" s="85"/>
      <c r="H29" t="s">
        <v>369</v>
      </c>
      <c r="I29" t="s">
        <v>241</v>
      </c>
      <c r="J29">
        <v>5867.8983833718248</v>
      </c>
      <c r="K29">
        <f t="shared" si="4"/>
        <v>7138.4504880542208</v>
      </c>
    </row>
    <row r="31" spans="2:20" ht="15" x14ac:dyDescent="0.25">
      <c r="B31" s="85" t="s">
        <v>364</v>
      </c>
      <c r="C31" s="85" t="s">
        <v>370</v>
      </c>
      <c r="D31" s="50" t="s">
        <v>399</v>
      </c>
      <c r="P31" s="85" t="s">
        <v>364</v>
      </c>
      <c r="Q31" s="85" t="s">
        <v>370</v>
      </c>
    </row>
    <row r="32" spans="2:20" x14ac:dyDescent="0.2">
      <c r="B32" s="85" t="s">
        <v>365</v>
      </c>
      <c r="C32" s="85" t="s">
        <v>120</v>
      </c>
      <c r="D32" s="119">
        <f>INDEX($J27:$K27,1,MATCH($D$31,$J$26:$K$26,0))</f>
        <v>3.6826838586802784</v>
      </c>
      <c r="P32" s="85" t="s">
        <v>365</v>
      </c>
      <c r="Q32" s="85" t="s">
        <v>120</v>
      </c>
      <c r="R32" s="122">
        <f>R23/3.6*[7]Deflator!$W$4</f>
        <v>2.7766945680559085</v>
      </c>
      <c r="S32" s="122">
        <f>S23/3.6*[7]Deflator!$W$4</f>
        <v>2.6797638180024363</v>
      </c>
      <c r="T32" s="122">
        <f>T23/3.6*[7]Deflator!$W$4</f>
        <v>4.3191705529877176</v>
      </c>
    </row>
    <row r="33" spans="2:20" x14ac:dyDescent="0.2">
      <c r="B33" s="85" t="s">
        <v>366</v>
      </c>
      <c r="C33" s="85" t="s">
        <v>241</v>
      </c>
      <c r="D33" s="119">
        <f t="shared" ref="D33:D34" si="5">INDEX($J28:$K28,1,MATCH($D$31,$J$26:$K$26,0))</f>
        <v>239.07259148153946</v>
      </c>
      <c r="P33" s="85" t="s">
        <v>366</v>
      </c>
      <c r="Q33" s="85" t="s">
        <v>241</v>
      </c>
      <c r="R33" s="122">
        <f>R24*[7]Deflator!$W$4</f>
        <v>180.25754900821968</v>
      </c>
      <c r="S33" s="122">
        <f>S24*[7]Deflator!$W$4</f>
        <v>173.96499539819101</v>
      </c>
      <c r="T33" s="122">
        <f>T24*[7]Deflator!$W$4</f>
        <v>280.39205557100598</v>
      </c>
    </row>
    <row r="34" spans="2:20" x14ac:dyDescent="0.2">
      <c r="B34" s="85" t="s">
        <v>369</v>
      </c>
      <c r="C34" s="85" t="s">
        <v>241</v>
      </c>
      <c r="D34" s="119">
        <f t="shared" si="5"/>
        <v>7138.4504880542208</v>
      </c>
      <c r="P34" s="85" t="s">
        <v>369</v>
      </c>
      <c r="Q34" s="85" t="s">
        <v>241</v>
      </c>
      <c r="R34" s="122">
        <f>R28*[7]Deflator!$W$4</f>
        <v>3646.9044966716474</v>
      </c>
      <c r="S34" s="122">
        <f>S28*[7]Deflator!$W$4</f>
        <v>3738.6458144871835</v>
      </c>
      <c r="T34" s="122">
        <f>T28*[7]Deflator!$W$4</f>
        <v>3976.9628154777574</v>
      </c>
    </row>
  </sheetData>
  <dataValidations count="1">
    <dataValidation type="list" allowBlank="1" showInputMessage="1" showErrorMessage="1" sqref="D31" xr:uid="{74FFE3ED-227B-4436-9D4A-D515DAF05E10}">
      <formula1>$J$26:$K$26</formula1>
    </dataValidation>
  </dataValidations>
  <hyperlinks>
    <hyperlink ref="P4" r:id="rId1" xr:uid="{ABEE7AD7-5C06-40EB-9A18-BDE651B53965}"/>
    <hyperlink ref="H3" r:id="rId2" xr:uid="{F5031C04-06F5-41BB-8DA4-96AB8A7412F7}"/>
  </hyperlinks>
  <pageMargins left="0.7" right="0.7" top="0.75" bottom="0.75" header="0.3" footer="0.3"/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6AAFC-F0A0-4049-A1E0-B50FC4DFA47B}">
  <dimension ref="A1:AY241"/>
  <sheetViews>
    <sheetView tabSelected="1" topLeftCell="A133" zoomScale="90" zoomScaleNormal="90" workbookViewId="0">
      <selection activeCell="H145" sqref="H145:M145"/>
    </sheetView>
    <sheetView topLeftCell="A112" workbookViewId="1">
      <selection activeCell="H118" sqref="H118"/>
    </sheetView>
  </sheetViews>
  <sheetFormatPr defaultColWidth="12.42578125" defaultRowHeight="15.75" x14ac:dyDescent="0.25"/>
  <cols>
    <col min="1" max="1" width="12.42578125" style="62"/>
    <col min="2" max="4" width="23.28515625" style="62" customWidth="1"/>
    <col min="5" max="16384" width="12.42578125" style="62"/>
  </cols>
  <sheetData>
    <row r="1" spans="2:14" x14ac:dyDescent="0.25">
      <c r="B1" s="62" t="s">
        <v>250</v>
      </c>
    </row>
    <row r="3" spans="2:14" x14ac:dyDescent="0.25">
      <c r="F3" s="62" t="s">
        <v>251</v>
      </c>
    </row>
    <row r="4" spans="2:14" x14ac:dyDescent="0.25">
      <c r="E4" s="62" t="s">
        <v>252</v>
      </c>
      <c r="F4" s="62" t="s">
        <v>253</v>
      </c>
      <c r="G4" s="62" t="s">
        <v>242</v>
      </c>
    </row>
    <row r="5" spans="2:14" ht="105.95" customHeight="1" x14ac:dyDescent="0.25">
      <c r="B5" s="93" t="s">
        <v>254</v>
      </c>
      <c r="C5" s="93"/>
      <c r="D5" s="93"/>
      <c r="E5" s="94" t="s">
        <v>255</v>
      </c>
      <c r="F5" s="95" t="s">
        <v>256</v>
      </c>
      <c r="G5" s="95" t="s">
        <v>257</v>
      </c>
      <c r="H5" s="95"/>
      <c r="I5" s="95"/>
      <c r="J5" s="95"/>
      <c r="K5" s="95"/>
      <c r="L5" s="95"/>
      <c r="M5" s="95"/>
      <c r="N5" s="95"/>
    </row>
    <row r="6" spans="2:14" ht="21.95" customHeight="1" x14ac:dyDescent="0.25">
      <c r="B6" s="93"/>
      <c r="C6" s="93"/>
      <c r="D6" s="93"/>
      <c r="E6" s="95"/>
      <c r="F6" s="95"/>
      <c r="G6" s="95"/>
      <c r="H6" s="95"/>
      <c r="I6" s="95"/>
      <c r="J6" s="95"/>
      <c r="K6" s="95"/>
      <c r="L6" s="95"/>
      <c r="M6" s="95"/>
      <c r="N6" s="95"/>
    </row>
    <row r="7" spans="2:14" ht="21.95" customHeight="1" x14ac:dyDescent="0.25">
      <c r="I7" s="95"/>
      <c r="J7" s="95"/>
      <c r="K7" s="95"/>
      <c r="L7" s="95"/>
      <c r="M7" s="95"/>
      <c r="N7" s="95"/>
    </row>
    <row r="8" spans="2:14" ht="39" customHeight="1" x14ac:dyDescent="0.25">
      <c r="F8" s="96" t="s">
        <v>258</v>
      </c>
      <c r="G8" s="96"/>
      <c r="H8" s="96"/>
      <c r="I8" s="97" t="s">
        <v>259</v>
      </c>
      <c r="J8" s="97"/>
      <c r="K8" s="97"/>
      <c r="L8" s="95"/>
      <c r="M8" s="95"/>
      <c r="N8" s="95"/>
    </row>
    <row r="9" spans="2:14" ht="27" customHeight="1" x14ac:dyDescent="0.25">
      <c r="B9" s="93"/>
      <c r="C9" s="93"/>
      <c r="D9" s="93"/>
      <c r="E9" s="95"/>
      <c r="F9" s="95" t="s">
        <v>260</v>
      </c>
      <c r="G9" s="95"/>
      <c r="H9" s="95"/>
      <c r="I9" s="95" t="s">
        <v>260</v>
      </c>
      <c r="J9" s="95"/>
      <c r="K9" s="95"/>
      <c r="L9" s="95"/>
      <c r="M9" s="95"/>
      <c r="N9" s="95"/>
    </row>
    <row r="10" spans="2:14" ht="35.1" customHeight="1" x14ac:dyDescent="0.25">
      <c r="B10" s="93"/>
      <c r="C10" s="93"/>
      <c r="D10" s="93"/>
      <c r="E10" s="95"/>
      <c r="F10" s="95" t="s">
        <v>298</v>
      </c>
      <c r="G10" s="95" t="s">
        <v>262</v>
      </c>
      <c r="H10" s="95" t="s">
        <v>299</v>
      </c>
      <c r="I10" s="95" t="s">
        <v>261</v>
      </c>
      <c r="J10" s="95" t="s">
        <v>262</v>
      </c>
      <c r="K10" s="95" t="s">
        <v>263</v>
      </c>
      <c r="L10" s="95"/>
      <c r="M10" s="95"/>
      <c r="N10" s="95"/>
    </row>
    <row r="11" spans="2:14" ht="108.75" customHeight="1" x14ac:dyDescent="0.25">
      <c r="B11" s="93" t="s">
        <v>400</v>
      </c>
      <c r="C11" s="93"/>
      <c r="D11" s="93"/>
      <c r="E11" s="95" t="s">
        <v>265</v>
      </c>
      <c r="F11" s="95" t="s">
        <v>266</v>
      </c>
      <c r="G11" s="95" t="s">
        <v>267</v>
      </c>
      <c r="H11" s="95" t="s">
        <v>268</v>
      </c>
      <c r="I11" s="95" t="s">
        <v>266</v>
      </c>
      <c r="J11" s="95" t="s">
        <v>267</v>
      </c>
      <c r="K11" s="95" t="s">
        <v>268</v>
      </c>
    </row>
    <row r="12" spans="2:14" ht="63" x14ac:dyDescent="0.25">
      <c r="B12" s="93" t="s">
        <v>269</v>
      </c>
      <c r="C12" s="93"/>
      <c r="D12" s="93"/>
      <c r="E12" s="95" t="s">
        <v>265</v>
      </c>
      <c r="F12" s="95" t="s">
        <v>270</v>
      </c>
      <c r="G12" s="95" t="s">
        <v>271</v>
      </c>
      <c r="H12" s="95" t="s">
        <v>272</v>
      </c>
      <c r="I12" s="95" t="s">
        <v>270</v>
      </c>
      <c r="J12" s="95" t="s">
        <v>271</v>
      </c>
      <c r="K12" s="95" t="s">
        <v>272</v>
      </c>
    </row>
    <row r="14" spans="2:14" x14ac:dyDescent="0.25">
      <c r="B14" s="62" t="s">
        <v>288</v>
      </c>
    </row>
    <row r="15" spans="2:14" x14ac:dyDescent="0.25">
      <c r="B15" s="62" t="s">
        <v>289</v>
      </c>
    </row>
    <row r="16" spans="2:14" x14ac:dyDescent="0.25">
      <c r="B16" s="62" t="s">
        <v>290</v>
      </c>
    </row>
    <row r="17" spans="1:49" x14ac:dyDescent="0.25">
      <c r="A17" s="62" t="s">
        <v>286</v>
      </c>
      <c r="B17" s="50" t="s">
        <v>289</v>
      </c>
      <c r="E17" s="105"/>
      <c r="F17" s="105"/>
      <c r="G17" s="105" t="s">
        <v>210</v>
      </c>
      <c r="H17" s="105">
        <v>1</v>
      </c>
      <c r="I17" s="105">
        <v>2</v>
      </c>
      <c r="J17" s="105">
        <v>3</v>
      </c>
      <c r="K17" s="105">
        <v>4</v>
      </c>
      <c r="L17" s="105">
        <v>5</v>
      </c>
      <c r="M17" s="105">
        <v>6</v>
      </c>
      <c r="N17" s="105">
        <v>7</v>
      </c>
      <c r="O17" s="105">
        <v>8</v>
      </c>
      <c r="P17" s="105">
        <v>9</v>
      </c>
      <c r="Q17" s="101" t="s">
        <v>43</v>
      </c>
      <c r="R17" s="101">
        <v>2019</v>
      </c>
      <c r="S17" s="101">
        <v>2020</v>
      </c>
      <c r="T17" s="101">
        <v>2021</v>
      </c>
      <c r="U17" s="101">
        <v>2022</v>
      </c>
      <c r="V17" s="101">
        <v>2023</v>
      </c>
      <c r="W17" s="101">
        <v>2024</v>
      </c>
      <c r="X17" s="101">
        <v>2025</v>
      </c>
      <c r="Y17" s="101">
        <v>2026</v>
      </c>
      <c r="Z17" s="101">
        <v>2027</v>
      </c>
      <c r="AA17" s="101">
        <v>2028</v>
      </c>
      <c r="AB17" s="101">
        <v>2029</v>
      </c>
      <c r="AC17" s="101">
        <v>2030</v>
      </c>
      <c r="AD17" s="101">
        <v>2031</v>
      </c>
      <c r="AE17" s="101">
        <v>2032</v>
      </c>
      <c r="AF17" s="101">
        <v>2033</v>
      </c>
      <c r="AG17" s="101">
        <v>2034</v>
      </c>
      <c r="AH17" s="101">
        <v>2035</v>
      </c>
      <c r="AI17" s="101">
        <v>2036</v>
      </c>
      <c r="AJ17" s="101">
        <v>2037</v>
      </c>
      <c r="AK17" s="101">
        <v>2038</v>
      </c>
      <c r="AL17" s="101">
        <v>2039</v>
      </c>
      <c r="AM17" s="101">
        <v>2040</v>
      </c>
      <c r="AN17" s="101">
        <v>2041</v>
      </c>
      <c r="AO17" s="101">
        <v>2042</v>
      </c>
      <c r="AP17" s="101">
        <v>2043</v>
      </c>
      <c r="AQ17" s="101">
        <v>2044</v>
      </c>
      <c r="AR17" s="101">
        <v>2045</v>
      </c>
      <c r="AS17" s="101">
        <v>2046</v>
      </c>
      <c r="AT17" s="101">
        <v>2047</v>
      </c>
      <c r="AU17" s="101">
        <v>2048</v>
      </c>
      <c r="AV17" s="101">
        <v>2049</v>
      </c>
      <c r="AW17" s="101">
        <v>2050</v>
      </c>
    </row>
    <row r="18" spans="1:49" x14ac:dyDescent="0.25">
      <c r="A18" s="62" t="s">
        <v>287</v>
      </c>
      <c r="B18" s="50" t="s">
        <v>262</v>
      </c>
      <c r="C18" s="62" t="str">
        <f>D18&amp;E18</f>
        <v>Scenario B - 2030 CliffCAMDEN</v>
      </c>
      <c r="D18" s="62" t="str">
        <f>B19</f>
        <v>Scenario B - 2030 Cliff</v>
      </c>
      <c r="E18" s="105" t="s">
        <v>165</v>
      </c>
      <c r="F18" s="105">
        <f>MATCH(C18,$C$118:$C$241,0)</f>
        <v>40</v>
      </c>
      <c r="G18" s="105" t="s">
        <v>208</v>
      </c>
      <c r="H18" s="63" cm="1">
        <f t="array" ref="H18">INDEX(H$118:H$241,$F18)</f>
        <v>2024</v>
      </c>
      <c r="I18" s="63" cm="1">
        <f t="array" ref="I18">INDEX(I$118:I$241,$F18)</f>
        <v>2024</v>
      </c>
      <c r="J18" s="63" cm="1">
        <f t="array" ref="J18">INDEX(J$118:J$241,$F18)</f>
        <v>2025</v>
      </c>
      <c r="K18" s="63" cm="1">
        <f t="array" ref="K18">INDEX(K$118:K$241,$F18)</f>
        <v>2026</v>
      </c>
      <c r="L18" s="63" cm="1">
        <f t="array" ref="L18">INDEX(L$118:L$241,$F18)</f>
        <v>2026</v>
      </c>
      <c r="M18" s="63" cm="1">
        <f t="array" ref="M18">INDEX(M$118:M$241,$F18)</f>
        <v>2025</v>
      </c>
      <c r="N18" s="63" cm="1">
        <f t="array" ref="N18">INDEX(N$118:N$241,$F18)</f>
        <v>2026</v>
      </c>
      <c r="O18" s="63" t="str" cm="1">
        <f t="array" ref="O18">INDEX(O$118:O$241,$F18)</f>
        <v/>
      </c>
      <c r="P18" s="63" cm="1">
        <f t="array" ref="P18">INDEX(P$118:P$241,$F18)</f>
        <v>0</v>
      </c>
      <c r="Q18" s="101">
        <f>COUNTIF(H18:P18,"&gt;0")</f>
        <v>7</v>
      </c>
      <c r="R18" s="101">
        <v>1.4810000000000001</v>
      </c>
      <c r="S18" s="101">
        <f>COUNTIF($H18:$P18,S$98)*-$R18/$Q18+R18</f>
        <v>1.4810000000000001</v>
      </c>
      <c r="T18" s="101">
        <f t="shared" ref="T18:T31" si="0">COUNTIF($H18:$P18,T$98)*-$R18/$Q18+S18</f>
        <v>1.4810000000000001</v>
      </c>
      <c r="U18" s="101">
        <f t="shared" ref="U18:U31" si="1">COUNTIF($H18:$P18,U$98)*-$R18/$Q18+T18</f>
        <v>1.4810000000000001</v>
      </c>
      <c r="V18" s="101">
        <f t="shared" ref="V18:V31" si="2">COUNTIF($H18:$P18,V$98)*-$R18/$Q18+U18</f>
        <v>1.4810000000000001</v>
      </c>
      <c r="W18" s="101">
        <f t="shared" ref="W18:W31" si="3">COUNTIF($H18:$P18,W$98)*-$R18/$Q18+V18</f>
        <v>1.0578571428571428</v>
      </c>
      <c r="X18" s="101">
        <f t="shared" ref="X18:X31" si="4">COUNTIF($H18:$P18,X$98)*-$R18/$Q18+W18</f>
        <v>0.63471428571428568</v>
      </c>
      <c r="Y18" s="101">
        <f t="shared" ref="Y18:Y31" si="5">COUNTIF($H18:$P18,Y$98)*-$R18/$Q18+X18</f>
        <v>0</v>
      </c>
      <c r="Z18" s="101">
        <f t="shared" ref="Z18:Z31" si="6">COUNTIF($H18:$P18,Z$98)*-$R18/$Q18+Y18</f>
        <v>0</v>
      </c>
      <c r="AA18" s="101">
        <f t="shared" ref="AA18:AA31" si="7">COUNTIF($H18:$P18,AA$98)*-$R18/$Q18+Z18</f>
        <v>0</v>
      </c>
      <c r="AB18" s="101">
        <f t="shared" ref="AB18:AB31" si="8">COUNTIF($H18:$P18,AB$98)*-$R18/$Q18+AA18</f>
        <v>0</v>
      </c>
      <c r="AC18" s="101">
        <f t="shared" ref="AC18:AC31" si="9">COUNTIF($H18:$P18,AC$98)*-$R18/$Q18+AB18</f>
        <v>0</v>
      </c>
      <c r="AD18" s="101">
        <f t="shared" ref="AD18:AD31" si="10">COUNTIF($H18:$P18,AD$98)*-$R18/$Q18+AC18</f>
        <v>0</v>
      </c>
      <c r="AE18" s="101">
        <f t="shared" ref="AE18:AE31" si="11">COUNTIF($H18:$P18,AE$98)*-$R18/$Q18+AD18</f>
        <v>0</v>
      </c>
      <c r="AF18" s="101">
        <f t="shared" ref="AF18:AF31" si="12">COUNTIF($H18:$P18,AF$98)*-$R18/$Q18+AE18</f>
        <v>0</v>
      </c>
      <c r="AG18" s="101">
        <f t="shared" ref="AG18:AG31" si="13">COUNTIF($H18:$P18,AG$98)*-$R18/$Q18+AF18</f>
        <v>0</v>
      </c>
      <c r="AH18" s="101">
        <f t="shared" ref="AH18:AH31" si="14">COUNTIF($H18:$P18,AH$98)*-$R18/$Q18+AG18</f>
        <v>0</v>
      </c>
      <c r="AI18" s="101">
        <f t="shared" ref="AI18:AI31" si="15">COUNTIF($H18:$P18,AI$98)*-$R18/$Q18+AH18</f>
        <v>0</v>
      </c>
      <c r="AJ18" s="101">
        <f t="shared" ref="AJ18:AJ31" si="16">COUNTIF($H18:$P18,AJ$98)*-$R18/$Q18+AI18</f>
        <v>0</v>
      </c>
      <c r="AK18" s="101">
        <f t="shared" ref="AK18:AK31" si="17">COUNTIF($H18:$P18,AK$98)*-$R18/$Q18+AJ18</f>
        <v>0</v>
      </c>
      <c r="AL18" s="101">
        <f t="shared" ref="AL18:AL31" si="18">COUNTIF($H18:$P18,AL$98)*-$R18/$Q18+AK18</f>
        <v>0</v>
      </c>
      <c r="AM18" s="101">
        <f t="shared" ref="AM18:AM31" si="19">COUNTIF($H18:$P18,AM$98)*-$R18/$Q18+AL18</f>
        <v>0</v>
      </c>
      <c r="AN18" s="101">
        <f t="shared" ref="AN18:AN31" si="20">COUNTIF($H18:$P18,AN$98)*-$R18/$Q18+AM18</f>
        <v>0</v>
      </c>
      <c r="AO18" s="101">
        <f t="shared" ref="AO18:AO31" si="21">COUNTIF($H18:$P18,AO$98)*-$R18/$Q18+AN18</f>
        <v>0</v>
      </c>
      <c r="AP18" s="101">
        <f t="shared" ref="AP18:AP31" si="22">COUNTIF($H18:$P18,AP$98)*-$R18/$Q18+AO18</f>
        <v>0</v>
      </c>
      <c r="AQ18" s="101">
        <f t="shared" ref="AQ18:AQ31" si="23">COUNTIF($H18:$P18,AQ$98)*-$R18/$Q18+AP18</f>
        <v>0</v>
      </c>
      <c r="AR18" s="101">
        <f t="shared" ref="AR18:AR31" si="24">COUNTIF($H18:$P18,AR$98)*-$R18/$Q18+AQ18</f>
        <v>0</v>
      </c>
      <c r="AS18" s="101">
        <f t="shared" ref="AS18:AS31" si="25">COUNTIF($H18:$P18,AS$98)*-$R18/$Q18+AR18</f>
        <v>0</v>
      </c>
      <c r="AT18" s="101">
        <f t="shared" ref="AT18:AT31" si="26">COUNTIF($H18:$P18,AT$98)*-$R18/$Q18+AS18</f>
        <v>0</v>
      </c>
      <c r="AU18" s="101">
        <f t="shared" ref="AU18:AU31" si="27">COUNTIF($H18:$P18,AU$98)*-$R18/$Q18+AT18</f>
        <v>0</v>
      </c>
      <c r="AV18" s="101">
        <f t="shared" ref="AV18:AV31" si="28">COUNTIF($H18:$P18,AV$98)*-$R18/$Q18+AU18</f>
        <v>0</v>
      </c>
      <c r="AW18" s="101">
        <f t="shared" ref="AW18:AW31" si="29">COUNTIF($H18:$P18,AW$98)*-$R18/$Q18+AV18</f>
        <v>0</v>
      </c>
    </row>
    <row r="19" spans="1:49" x14ac:dyDescent="0.25">
      <c r="A19" s="62" t="s">
        <v>212</v>
      </c>
      <c r="B19" s="62" t="str">
        <f>B17&amp;" - "&amp;B18</f>
        <v>Scenario B - 2030 Cliff</v>
      </c>
      <c r="C19" s="62" t="str">
        <f t="shared" ref="C19:C31" si="30">D19&amp;E19</f>
        <v>Scenario B - 2030 CliffGROOTVLEI</v>
      </c>
      <c r="D19" s="62" t="str">
        <f>D18</f>
        <v>Scenario B - 2030 Cliff</v>
      </c>
      <c r="E19" s="105" t="s">
        <v>163</v>
      </c>
      <c r="F19" s="105">
        <f t="shared" ref="F19:F31" si="31">MATCH(C19,$C$118:$C$241,0)</f>
        <v>41</v>
      </c>
      <c r="G19" s="105" t="s">
        <v>195</v>
      </c>
      <c r="H19" s="63" cm="1">
        <f t="array" ref="H19">INDEX(H$118:H$241,$F19)</f>
        <v>2026</v>
      </c>
      <c r="I19" s="63" cm="1">
        <f t="array" ref="I19">INDEX(I$118:I$241,$F19)</f>
        <v>2027</v>
      </c>
      <c r="J19" s="63" cm="1">
        <f t="array" ref="J19">INDEX(J$118:J$241,$F19)</f>
        <v>2028</v>
      </c>
      <c r="K19" s="63" t="str" cm="1">
        <f t="array" ref="K19">INDEX(K$118:K$241,$F19)</f>
        <v/>
      </c>
      <c r="L19" s="63" t="str" cm="1">
        <f t="array" ref="L19">INDEX(L$118:L$241,$F19)</f>
        <v/>
      </c>
      <c r="M19" s="63" t="str" cm="1">
        <f t="array" ref="M19">INDEX(M$118:M$241,$F19)</f>
        <v/>
      </c>
      <c r="N19" s="63" t="str" cm="1">
        <f t="array" ref="N19">INDEX(N$118:N$241,$F19)</f>
        <v/>
      </c>
      <c r="O19" s="63" t="str" cm="1">
        <f t="array" ref="O19">INDEX(O$118:O$241,$F19)</f>
        <v/>
      </c>
      <c r="P19" s="63" cm="1">
        <f t="array" ref="P19">INDEX(P$118:P$241,$F19)</f>
        <v>0</v>
      </c>
      <c r="Q19" s="101">
        <f t="shared" ref="Q19:Q31" si="32">COUNTIF(H19:P19,"&gt;0")</f>
        <v>3</v>
      </c>
      <c r="R19" s="101">
        <v>0.56999999999999995</v>
      </c>
      <c r="S19" s="101">
        <f t="shared" ref="S19:S31" si="33">COUNTIF($H19:$P19,S$98)*-$R19/$Q19+R19</f>
        <v>0.56999999999999995</v>
      </c>
      <c r="T19" s="101">
        <f t="shared" si="0"/>
        <v>0.56999999999999995</v>
      </c>
      <c r="U19" s="101">
        <f t="shared" si="1"/>
        <v>0.56999999999999995</v>
      </c>
      <c r="V19" s="101">
        <f t="shared" si="2"/>
        <v>0.56999999999999995</v>
      </c>
      <c r="W19" s="101">
        <f t="shared" si="3"/>
        <v>0.56999999999999995</v>
      </c>
      <c r="X19" s="101">
        <f t="shared" si="4"/>
        <v>0.56999999999999995</v>
      </c>
      <c r="Y19" s="101">
        <f t="shared" si="5"/>
        <v>0.38</v>
      </c>
      <c r="Z19" s="101">
        <f t="shared" si="6"/>
        <v>0.19000000000000003</v>
      </c>
      <c r="AA19" s="101">
        <f t="shared" si="7"/>
        <v>0</v>
      </c>
      <c r="AB19" s="101">
        <f t="shared" si="8"/>
        <v>0</v>
      </c>
      <c r="AC19" s="101">
        <f t="shared" si="9"/>
        <v>0</v>
      </c>
      <c r="AD19" s="101">
        <f t="shared" si="10"/>
        <v>0</v>
      </c>
      <c r="AE19" s="101">
        <f t="shared" si="11"/>
        <v>0</v>
      </c>
      <c r="AF19" s="101">
        <f t="shared" si="12"/>
        <v>0</v>
      </c>
      <c r="AG19" s="101">
        <f t="shared" si="13"/>
        <v>0</v>
      </c>
      <c r="AH19" s="101">
        <f t="shared" si="14"/>
        <v>0</v>
      </c>
      <c r="AI19" s="101">
        <f t="shared" si="15"/>
        <v>0</v>
      </c>
      <c r="AJ19" s="101">
        <f t="shared" si="16"/>
        <v>0</v>
      </c>
      <c r="AK19" s="101">
        <f t="shared" si="17"/>
        <v>0</v>
      </c>
      <c r="AL19" s="101">
        <f t="shared" si="18"/>
        <v>0</v>
      </c>
      <c r="AM19" s="101">
        <f t="shared" si="19"/>
        <v>0</v>
      </c>
      <c r="AN19" s="101">
        <f t="shared" si="20"/>
        <v>0</v>
      </c>
      <c r="AO19" s="101">
        <f t="shared" si="21"/>
        <v>0</v>
      </c>
      <c r="AP19" s="101">
        <f t="shared" si="22"/>
        <v>0</v>
      </c>
      <c r="AQ19" s="101">
        <f t="shared" si="23"/>
        <v>0</v>
      </c>
      <c r="AR19" s="101">
        <f t="shared" si="24"/>
        <v>0</v>
      </c>
      <c r="AS19" s="101">
        <f t="shared" si="25"/>
        <v>0</v>
      </c>
      <c r="AT19" s="101">
        <f t="shared" si="26"/>
        <v>0</v>
      </c>
      <c r="AU19" s="101">
        <f t="shared" si="27"/>
        <v>0</v>
      </c>
      <c r="AV19" s="101">
        <f t="shared" si="28"/>
        <v>0</v>
      </c>
      <c r="AW19" s="101">
        <f t="shared" si="29"/>
        <v>0</v>
      </c>
    </row>
    <row r="20" spans="1:49" x14ac:dyDescent="0.25">
      <c r="C20" s="62" t="str">
        <f t="shared" si="30"/>
        <v>Scenario B - 2030 CliffKOMATI</v>
      </c>
      <c r="D20" s="62" t="str">
        <f t="shared" ref="D20:D31" si="34">D19</f>
        <v>Scenario B - 2030 Cliff</v>
      </c>
      <c r="E20" s="105" t="s">
        <v>161</v>
      </c>
      <c r="F20" s="105">
        <f t="shared" si="31"/>
        <v>42</v>
      </c>
      <c r="G20" s="105" t="s">
        <v>196</v>
      </c>
      <c r="H20" s="63" cm="1">
        <f t="array" ref="H20">INDEX(H$118:H$241,$F20)</f>
        <v>2020</v>
      </c>
      <c r="I20" s="63" cm="1">
        <f t="array" ref="I20">INDEX(I$118:I$241,$F20)</f>
        <v>2020</v>
      </c>
      <c r="J20" s="63" cm="1">
        <f t="array" ref="J20">INDEX(J$118:J$241,$F20)</f>
        <v>2021</v>
      </c>
      <c r="K20" s="63" t="str" cm="1">
        <f t="array" ref="K20">INDEX(K$118:K$241,$F20)</f>
        <v/>
      </c>
      <c r="L20" s="63" t="str" cm="1">
        <f t="array" ref="L20">INDEX(L$118:L$241,$F20)</f>
        <v/>
      </c>
      <c r="M20" s="63" t="str" cm="1">
        <f t="array" ref="M20">INDEX(M$118:M$241,$F20)</f>
        <v/>
      </c>
      <c r="N20" s="63" t="str" cm="1">
        <f t="array" ref="N20">INDEX(N$118:N$241,$F20)</f>
        <v/>
      </c>
      <c r="O20" s="63" t="str" cm="1">
        <f t="array" ref="O20">INDEX(O$118:O$241,$F20)</f>
        <v/>
      </c>
      <c r="P20" s="63" cm="1">
        <f t="array" ref="P20">INDEX(P$118:P$241,$F20)</f>
        <v>0</v>
      </c>
      <c r="Q20" s="101">
        <f t="shared" si="32"/>
        <v>3</v>
      </c>
      <c r="R20" s="101">
        <v>0.41</v>
      </c>
      <c r="S20" s="101">
        <f t="shared" si="33"/>
        <v>0.13666666666666666</v>
      </c>
      <c r="T20" s="101">
        <f t="shared" si="0"/>
        <v>0</v>
      </c>
      <c r="U20" s="101">
        <f t="shared" si="1"/>
        <v>0</v>
      </c>
      <c r="V20" s="101">
        <f t="shared" si="2"/>
        <v>0</v>
      </c>
      <c r="W20" s="101">
        <f t="shared" si="3"/>
        <v>0</v>
      </c>
      <c r="X20" s="101">
        <f t="shared" si="4"/>
        <v>0</v>
      </c>
      <c r="Y20" s="101">
        <f t="shared" si="5"/>
        <v>0</v>
      </c>
      <c r="Z20" s="101">
        <f t="shared" si="6"/>
        <v>0</v>
      </c>
      <c r="AA20" s="101">
        <f t="shared" si="7"/>
        <v>0</v>
      </c>
      <c r="AB20" s="101">
        <f t="shared" si="8"/>
        <v>0</v>
      </c>
      <c r="AC20" s="101">
        <f t="shared" si="9"/>
        <v>0</v>
      </c>
      <c r="AD20" s="101">
        <f t="shared" si="10"/>
        <v>0</v>
      </c>
      <c r="AE20" s="101">
        <f t="shared" si="11"/>
        <v>0</v>
      </c>
      <c r="AF20" s="101">
        <f t="shared" si="12"/>
        <v>0</v>
      </c>
      <c r="AG20" s="101">
        <f t="shared" si="13"/>
        <v>0</v>
      </c>
      <c r="AH20" s="101">
        <f t="shared" si="14"/>
        <v>0</v>
      </c>
      <c r="AI20" s="101">
        <f t="shared" si="15"/>
        <v>0</v>
      </c>
      <c r="AJ20" s="101">
        <f t="shared" si="16"/>
        <v>0</v>
      </c>
      <c r="AK20" s="101">
        <f t="shared" si="17"/>
        <v>0</v>
      </c>
      <c r="AL20" s="101">
        <f t="shared" si="18"/>
        <v>0</v>
      </c>
      <c r="AM20" s="101">
        <f t="shared" si="19"/>
        <v>0</v>
      </c>
      <c r="AN20" s="101">
        <f t="shared" si="20"/>
        <v>0</v>
      </c>
      <c r="AO20" s="101">
        <f t="shared" si="21"/>
        <v>0</v>
      </c>
      <c r="AP20" s="101">
        <f t="shared" si="22"/>
        <v>0</v>
      </c>
      <c r="AQ20" s="101">
        <f t="shared" si="23"/>
        <v>0</v>
      </c>
      <c r="AR20" s="101">
        <f t="shared" si="24"/>
        <v>0</v>
      </c>
      <c r="AS20" s="101">
        <f t="shared" si="25"/>
        <v>0</v>
      </c>
      <c r="AT20" s="101">
        <f t="shared" si="26"/>
        <v>0</v>
      </c>
      <c r="AU20" s="101">
        <f t="shared" si="27"/>
        <v>0</v>
      </c>
      <c r="AV20" s="101">
        <f t="shared" si="28"/>
        <v>0</v>
      </c>
      <c r="AW20" s="101">
        <f t="shared" si="29"/>
        <v>0</v>
      </c>
    </row>
    <row r="21" spans="1:49" x14ac:dyDescent="0.25">
      <c r="C21" s="62" t="str">
        <f t="shared" si="30"/>
        <v>Scenario B - 2030 CliffARNOT</v>
      </c>
      <c r="D21" s="62" t="str">
        <f t="shared" si="34"/>
        <v>Scenario B - 2030 Cliff</v>
      </c>
      <c r="E21" s="105" t="s">
        <v>159</v>
      </c>
      <c r="F21" s="105">
        <f t="shared" si="31"/>
        <v>43</v>
      </c>
      <c r="G21" s="105" t="s">
        <v>201</v>
      </c>
      <c r="H21" s="63" cm="1">
        <f t="array" ref="H21">INDEX(H$118:H$241,$F21)</f>
        <v>2027</v>
      </c>
      <c r="I21" s="63" cm="1">
        <f t="array" ref="I21">INDEX(I$118:I$241,$F21)</f>
        <v>2026</v>
      </c>
      <c r="J21" s="63" cm="1">
        <f t="array" ref="J21">INDEX(J$118:J$241,$F21)</f>
        <v>2026</v>
      </c>
      <c r="K21" s="63" cm="1">
        <f t="array" ref="K21">INDEX(K$118:K$241,$F21)</f>
        <v>2027</v>
      </c>
      <c r="L21" s="63" cm="1">
        <f t="array" ref="L21">INDEX(L$118:L$241,$F21)</f>
        <v>2029</v>
      </c>
      <c r="M21" s="63" cm="1">
        <f t="array" ref="M21">INDEX(M$118:M$241,$F21)</f>
        <v>2029</v>
      </c>
      <c r="N21" s="63" t="str" cm="1">
        <f t="array" ref="N21">INDEX(N$118:N$241,$F21)</f>
        <v/>
      </c>
      <c r="O21" s="63" t="str" cm="1">
        <f t="array" ref="O21">INDEX(O$118:O$241,$F21)</f>
        <v/>
      </c>
      <c r="P21" s="63" cm="1">
        <f t="array" ref="P21">INDEX(P$118:P$241,$F21)</f>
        <v>0</v>
      </c>
      <c r="Q21" s="101">
        <f t="shared" si="32"/>
        <v>6</v>
      </c>
      <c r="R21" s="101">
        <v>2.2320000000000002</v>
      </c>
      <c r="S21" s="101">
        <f t="shared" si="33"/>
        <v>2.2320000000000002</v>
      </c>
      <c r="T21" s="101">
        <f t="shared" si="0"/>
        <v>2.2320000000000002</v>
      </c>
      <c r="U21" s="101">
        <f t="shared" si="1"/>
        <v>2.2320000000000002</v>
      </c>
      <c r="V21" s="101">
        <f t="shared" si="2"/>
        <v>2.2320000000000002</v>
      </c>
      <c r="W21" s="101">
        <f t="shared" si="3"/>
        <v>2.2320000000000002</v>
      </c>
      <c r="X21" s="101">
        <f t="shared" si="4"/>
        <v>2.2320000000000002</v>
      </c>
      <c r="Y21" s="101">
        <f t="shared" si="5"/>
        <v>1.488</v>
      </c>
      <c r="Z21" s="101">
        <f t="shared" si="6"/>
        <v>0.74399999999999988</v>
      </c>
      <c r="AA21" s="101">
        <f t="shared" si="7"/>
        <v>0.74399999999999988</v>
      </c>
      <c r="AB21" s="101">
        <f t="shared" si="8"/>
        <v>0</v>
      </c>
      <c r="AC21" s="101">
        <f t="shared" si="9"/>
        <v>0</v>
      </c>
      <c r="AD21" s="101">
        <f t="shared" si="10"/>
        <v>0</v>
      </c>
      <c r="AE21" s="101">
        <f t="shared" si="11"/>
        <v>0</v>
      </c>
      <c r="AF21" s="101">
        <f t="shared" si="12"/>
        <v>0</v>
      </c>
      <c r="AG21" s="101">
        <f t="shared" si="13"/>
        <v>0</v>
      </c>
      <c r="AH21" s="101">
        <f t="shared" si="14"/>
        <v>0</v>
      </c>
      <c r="AI21" s="101">
        <f t="shared" si="15"/>
        <v>0</v>
      </c>
      <c r="AJ21" s="101">
        <f t="shared" si="16"/>
        <v>0</v>
      </c>
      <c r="AK21" s="101">
        <f t="shared" si="17"/>
        <v>0</v>
      </c>
      <c r="AL21" s="101">
        <f t="shared" si="18"/>
        <v>0</v>
      </c>
      <c r="AM21" s="101">
        <f t="shared" si="19"/>
        <v>0</v>
      </c>
      <c r="AN21" s="101">
        <f t="shared" si="20"/>
        <v>0</v>
      </c>
      <c r="AO21" s="101">
        <f t="shared" si="21"/>
        <v>0</v>
      </c>
      <c r="AP21" s="101">
        <f t="shared" si="22"/>
        <v>0</v>
      </c>
      <c r="AQ21" s="101">
        <f t="shared" si="23"/>
        <v>0</v>
      </c>
      <c r="AR21" s="101">
        <f t="shared" si="24"/>
        <v>0</v>
      </c>
      <c r="AS21" s="101">
        <f t="shared" si="25"/>
        <v>0</v>
      </c>
      <c r="AT21" s="101">
        <f t="shared" si="26"/>
        <v>0</v>
      </c>
      <c r="AU21" s="101">
        <f t="shared" si="27"/>
        <v>0</v>
      </c>
      <c r="AV21" s="101">
        <f t="shared" si="28"/>
        <v>0</v>
      </c>
      <c r="AW21" s="101">
        <f t="shared" si="29"/>
        <v>0</v>
      </c>
    </row>
    <row r="22" spans="1:49" x14ac:dyDescent="0.25">
      <c r="C22" s="62" t="str">
        <f t="shared" si="30"/>
        <v>Scenario B - 2030 CliffDUVHA</v>
      </c>
      <c r="D22" s="62" t="str">
        <f t="shared" si="34"/>
        <v>Scenario B - 2030 Cliff</v>
      </c>
      <c r="E22" s="105" t="s">
        <v>157</v>
      </c>
      <c r="F22" s="105">
        <f t="shared" si="31"/>
        <v>44</v>
      </c>
      <c r="G22" s="105" t="s">
        <v>207</v>
      </c>
      <c r="H22" s="63" cm="1">
        <f t="array" ref="H22">INDEX(H$118:H$241,$F22)</f>
        <v>2031</v>
      </c>
      <c r="I22" s="63" cm="1">
        <f t="array" ref="I22">INDEX(I$118:I$241,$F22)</f>
        <v>2031</v>
      </c>
      <c r="J22" s="63" cm="1">
        <f t="array" ref="J22">INDEX(J$118:J$241,$F22)</f>
        <v>2031</v>
      </c>
      <c r="K22" s="63" cm="1">
        <f t="array" ref="K22">INDEX(K$118:K$241,$F22)</f>
        <v>2031</v>
      </c>
      <c r="L22" s="63" cm="1">
        <f t="array" ref="L22">INDEX(L$118:L$241,$F22)</f>
        <v>2031</v>
      </c>
      <c r="M22" s="63" t="str" cm="1">
        <f t="array" ref="M22">INDEX(M$118:M$241,$F22)</f>
        <v/>
      </c>
      <c r="N22" s="63" t="str" cm="1">
        <f t="array" ref="N22">INDEX(N$118:N$241,$F22)</f>
        <v/>
      </c>
      <c r="O22" s="63" t="str" cm="1">
        <f t="array" ref="O22">INDEX(O$118:O$241,$F22)</f>
        <v/>
      </c>
      <c r="P22" s="63" cm="1">
        <f t="array" ref="P22">INDEX(P$118:P$241,$F22)</f>
        <v>0</v>
      </c>
      <c r="Q22" s="101">
        <f t="shared" si="32"/>
        <v>5</v>
      </c>
      <c r="R22" s="101">
        <v>2.875</v>
      </c>
      <c r="S22" s="101">
        <f t="shared" si="33"/>
        <v>2.875</v>
      </c>
      <c r="T22" s="101">
        <f t="shared" si="0"/>
        <v>2.875</v>
      </c>
      <c r="U22" s="101">
        <f t="shared" si="1"/>
        <v>2.875</v>
      </c>
      <c r="V22" s="101">
        <f t="shared" si="2"/>
        <v>2.875</v>
      </c>
      <c r="W22" s="101">
        <f t="shared" si="3"/>
        <v>2.875</v>
      </c>
      <c r="X22" s="101">
        <f t="shared" si="4"/>
        <v>2.875</v>
      </c>
      <c r="Y22" s="101">
        <f t="shared" si="5"/>
        <v>2.875</v>
      </c>
      <c r="Z22" s="101">
        <f t="shared" si="6"/>
        <v>2.875</v>
      </c>
      <c r="AA22" s="101">
        <f t="shared" si="7"/>
        <v>2.875</v>
      </c>
      <c r="AB22" s="101">
        <f t="shared" si="8"/>
        <v>2.875</v>
      </c>
      <c r="AC22" s="101">
        <f t="shared" si="9"/>
        <v>2.875</v>
      </c>
      <c r="AD22" s="101">
        <f t="shared" si="10"/>
        <v>0</v>
      </c>
      <c r="AE22" s="101">
        <f t="shared" si="11"/>
        <v>0</v>
      </c>
      <c r="AF22" s="101">
        <f t="shared" si="12"/>
        <v>0</v>
      </c>
      <c r="AG22" s="101">
        <f t="shared" si="13"/>
        <v>0</v>
      </c>
      <c r="AH22" s="101">
        <f t="shared" si="14"/>
        <v>0</v>
      </c>
      <c r="AI22" s="101">
        <f t="shared" si="15"/>
        <v>0</v>
      </c>
      <c r="AJ22" s="101">
        <f t="shared" si="16"/>
        <v>0</v>
      </c>
      <c r="AK22" s="101">
        <f t="shared" si="17"/>
        <v>0</v>
      </c>
      <c r="AL22" s="101">
        <f t="shared" si="18"/>
        <v>0</v>
      </c>
      <c r="AM22" s="101">
        <f t="shared" si="19"/>
        <v>0</v>
      </c>
      <c r="AN22" s="101">
        <f t="shared" si="20"/>
        <v>0</v>
      </c>
      <c r="AO22" s="101">
        <f t="shared" si="21"/>
        <v>0</v>
      </c>
      <c r="AP22" s="101">
        <f t="shared" si="22"/>
        <v>0</v>
      </c>
      <c r="AQ22" s="101">
        <f t="shared" si="23"/>
        <v>0</v>
      </c>
      <c r="AR22" s="101">
        <f t="shared" si="24"/>
        <v>0</v>
      </c>
      <c r="AS22" s="101">
        <f t="shared" si="25"/>
        <v>0</v>
      </c>
      <c r="AT22" s="101">
        <f t="shared" si="26"/>
        <v>0</v>
      </c>
      <c r="AU22" s="101">
        <f t="shared" si="27"/>
        <v>0</v>
      </c>
      <c r="AV22" s="101">
        <f t="shared" si="28"/>
        <v>0</v>
      </c>
      <c r="AW22" s="101">
        <f t="shared" si="29"/>
        <v>0</v>
      </c>
    </row>
    <row r="23" spans="1:49" x14ac:dyDescent="0.25">
      <c r="C23" s="62" t="str">
        <f t="shared" si="30"/>
        <v>Scenario B - 2030 CliffHENDRINA</v>
      </c>
      <c r="D23" s="62" t="str">
        <f t="shared" si="34"/>
        <v>Scenario B - 2030 Cliff</v>
      </c>
      <c r="E23" s="105" t="s">
        <v>155</v>
      </c>
      <c r="F23" s="105">
        <f t="shared" si="31"/>
        <v>45</v>
      </c>
      <c r="G23" s="105" t="s">
        <v>198</v>
      </c>
      <c r="H23" s="63" cm="1">
        <f t="array" ref="H23">INDEX(H$118:H$241,$F23)</f>
        <v>2021</v>
      </c>
      <c r="I23" s="63" cm="1">
        <f t="array" ref="I23">INDEX(I$118:I$241,$F23)</f>
        <v>2025</v>
      </c>
      <c r="J23" s="63" t="str" cm="1">
        <f t="array" ref="J23">INDEX(J$118:J$241,$F23)</f>
        <v/>
      </c>
      <c r="K23" s="63" cm="1">
        <f t="array" ref="K23">INDEX(K$118:K$241,$F23)</f>
        <v>2025</v>
      </c>
      <c r="L23" s="63" cm="1">
        <f t="array" ref="L23">INDEX(L$118:L$241,$F23)</f>
        <v>2025</v>
      </c>
      <c r="M23" s="63" cm="1">
        <f t="array" ref="M23">INDEX(M$118:M$241,$F23)</f>
        <v>2025</v>
      </c>
      <c r="N23" s="63" cm="1">
        <f t="array" ref="N23">INDEX(N$118:N$241,$F23)</f>
        <v>2024</v>
      </c>
      <c r="O23" s="63" t="str" cm="1">
        <f t="array" ref="O23">INDEX(O$118:O$241,$F23)</f>
        <v/>
      </c>
      <c r="P23" s="63" cm="1">
        <f t="array" ref="P23">INDEX(P$118:P$241,$F23)</f>
        <v>0</v>
      </c>
      <c r="Q23" s="101">
        <f t="shared" si="32"/>
        <v>6</v>
      </c>
      <c r="R23" s="101">
        <v>1.2929999999999999</v>
      </c>
      <c r="S23" s="101">
        <f t="shared" si="33"/>
        <v>1.2929999999999999</v>
      </c>
      <c r="T23" s="101">
        <f t="shared" si="0"/>
        <v>1.0774999999999999</v>
      </c>
      <c r="U23" s="101">
        <f t="shared" si="1"/>
        <v>1.0774999999999999</v>
      </c>
      <c r="V23" s="101">
        <f t="shared" si="2"/>
        <v>1.0774999999999999</v>
      </c>
      <c r="W23" s="101">
        <f t="shared" si="3"/>
        <v>0.86199999999999988</v>
      </c>
      <c r="X23" s="101">
        <f t="shared" si="4"/>
        <v>0</v>
      </c>
      <c r="Y23" s="101">
        <f t="shared" si="5"/>
        <v>0</v>
      </c>
      <c r="Z23" s="101">
        <f t="shared" si="6"/>
        <v>0</v>
      </c>
      <c r="AA23" s="101">
        <f t="shared" si="7"/>
        <v>0</v>
      </c>
      <c r="AB23" s="101">
        <f t="shared" si="8"/>
        <v>0</v>
      </c>
      <c r="AC23" s="101">
        <f t="shared" si="9"/>
        <v>0</v>
      </c>
      <c r="AD23" s="101">
        <f t="shared" si="10"/>
        <v>0</v>
      </c>
      <c r="AE23" s="101">
        <f t="shared" si="11"/>
        <v>0</v>
      </c>
      <c r="AF23" s="101">
        <f t="shared" si="12"/>
        <v>0</v>
      </c>
      <c r="AG23" s="101">
        <f t="shared" si="13"/>
        <v>0</v>
      </c>
      <c r="AH23" s="101">
        <f t="shared" si="14"/>
        <v>0</v>
      </c>
      <c r="AI23" s="101">
        <f t="shared" si="15"/>
        <v>0</v>
      </c>
      <c r="AJ23" s="101">
        <f t="shared" si="16"/>
        <v>0</v>
      </c>
      <c r="AK23" s="101">
        <f t="shared" si="17"/>
        <v>0</v>
      </c>
      <c r="AL23" s="101">
        <f t="shared" si="18"/>
        <v>0</v>
      </c>
      <c r="AM23" s="101">
        <f t="shared" si="19"/>
        <v>0</v>
      </c>
      <c r="AN23" s="101">
        <f t="shared" si="20"/>
        <v>0</v>
      </c>
      <c r="AO23" s="101">
        <f t="shared" si="21"/>
        <v>0</v>
      </c>
      <c r="AP23" s="101">
        <f t="shared" si="22"/>
        <v>0</v>
      </c>
      <c r="AQ23" s="101">
        <f t="shared" si="23"/>
        <v>0</v>
      </c>
      <c r="AR23" s="101">
        <f t="shared" si="24"/>
        <v>0</v>
      </c>
      <c r="AS23" s="101">
        <f t="shared" si="25"/>
        <v>0</v>
      </c>
      <c r="AT23" s="101">
        <f t="shared" si="26"/>
        <v>0</v>
      </c>
      <c r="AU23" s="101">
        <f t="shared" si="27"/>
        <v>0</v>
      </c>
      <c r="AV23" s="101">
        <f t="shared" si="28"/>
        <v>0</v>
      </c>
      <c r="AW23" s="101">
        <f t="shared" si="29"/>
        <v>0</v>
      </c>
    </row>
    <row r="24" spans="1:49" x14ac:dyDescent="0.25">
      <c r="C24" s="62" t="str">
        <f t="shared" si="30"/>
        <v>Scenario B - 2030 CliffKENDAL</v>
      </c>
      <c r="D24" s="62" t="str">
        <f t="shared" si="34"/>
        <v>Scenario B - 2030 Cliff</v>
      </c>
      <c r="E24" s="105" t="s">
        <v>153</v>
      </c>
      <c r="F24" s="105">
        <f t="shared" si="31"/>
        <v>46</v>
      </c>
      <c r="G24" s="105" t="s">
        <v>206</v>
      </c>
      <c r="H24" s="63" cm="1">
        <f t="array" ref="H24">INDEX(H$118:H$241,$F24)</f>
        <v>2039</v>
      </c>
      <c r="I24" s="63" cm="1">
        <f t="array" ref="I24">INDEX(I$118:I$241,$F24)</f>
        <v>2041</v>
      </c>
      <c r="J24" s="63" cm="1">
        <f t="array" ref="J24">INDEX(J$118:J$241,$F24)</f>
        <v>2042</v>
      </c>
      <c r="K24" s="63" cm="1">
        <f t="array" ref="K24">INDEX(K$118:K$241,$F24)</f>
        <v>2042</v>
      </c>
      <c r="L24" s="63" cm="1">
        <f t="array" ref="L24">INDEX(L$118:L$241,$F24)</f>
        <v>2043</v>
      </c>
      <c r="M24" s="63" cm="1">
        <f t="array" ref="M24">INDEX(M$118:M$241,$F24)</f>
        <v>2044</v>
      </c>
      <c r="N24" s="63" t="str" cm="1">
        <f t="array" ref="N24">INDEX(N$118:N$241,$F24)</f>
        <v/>
      </c>
      <c r="O24" s="63" t="str" cm="1">
        <f t="array" ref="O24">INDEX(O$118:O$241,$F24)</f>
        <v/>
      </c>
      <c r="P24" s="63" cm="1">
        <f t="array" ref="P24">INDEX(P$118:P$241,$F24)</f>
        <v>0</v>
      </c>
      <c r="Q24" s="101">
        <f t="shared" si="32"/>
        <v>6</v>
      </c>
      <c r="R24" s="101">
        <v>3.84</v>
      </c>
      <c r="S24" s="101">
        <f t="shared" si="33"/>
        <v>3.84</v>
      </c>
      <c r="T24" s="101">
        <f t="shared" si="0"/>
        <v>3.84</v>
      </c>
      <c r="U24" s="101">
        <f t="shared" si="1"/>
        <v>3.84</v>
      </c>
      <c r="V24" s="101">
        <f t="shared" si="2"/>
        <v>3.84</v>
      </c>
      <c r="W24" s="101">
        <f t="shared" si="3"/>
        <v>3.84</v>
      </c>
      <c r="X24" s="101">
        <f t="shared" si="4"/>
        <v>3.84</v>
      </c>
      <c r="Y24" s="101">
        <f t="shared" si="5"/>
        <v>3.84</v>
      </c>
      <c r="Z24" s="101">
        <f t="shared" si="6"/>
        <v>3.84</v>
      </c>
      <c r="AA24" s="101">
        <f t="shared" si="7"/>
        <v>3.84</v>
      </c>
      <c r="AB24" s="101">
        <f t="shared" si="8"/>
        <v>3.84</v>
      </c>
      <c r="AC24" s="101">
        <f t="shared" si="9"/>
        <v>3.84</v>
      </c>
      <c r="AD24" s="101">
        <f t="shared" si="10"/>
        <v>3.84</v>
      </c>
      <c r="AE24" s="101">
        <f t="shared" si="11"/>
        <v>3.84</v>
      </c>
      <c r="AF24" s="101">
        <f t="shared" si="12"/>
        <v>3.84</v>
      </c>
      <c r="AG24" s="101">
        <f t="shared" si="13"/>
        <v>3.84</v>
      </c>
      <c r="AH24" s="101">
        <f t="shared" si="14"/>
        <v>3.84</v>
      </c>
      <c r="AI24" s="101">
        <f t="shared" si="15"/>
        <v>3.84</v>
      </c>
      <c r="AJ24" s="101">
        <f t="shared" si="16"/>
        <v>3.84</v>
      </c>
      <c r="AK24" s="101">
        <f t="shared" si="17"/>
        <v>3.84</v>
      </c>
      <c r="AL24" s="101">
        <f t="shared" si="18"/>
        <v>3.1999999999999997</v>
      </c>
      <c r="AM24" s="101">
        <f t="shared" si="19"/>
        <v>3.1999999999999997</v>
      </c>
      <c r="AN24" s="101">
        <f t="shared" si="20"/>
        <v>2.5599999999999996</v>
      </c>
      <c r="AO24" s="101">
        <f t="shared" si="21"/>
        <v>1.2799999999999996</v>
      </c>
      <c r="AP24" s="101">
        <f t="shared" si="22"/>
        <v>0.63999999999999957</v>
      </c>
      <c r="AQ24" s="101">
        <f t="shared" si="23"/>
        <v>0</v>
      </c>
      <c r="AR24" s="101">
        <f t="shared" si="24"/>
        <v>0</v>
      </c>
      <c r="AS24" s="101">
        <f t="shared" si="25"/>
        <v>0</v>
      </c>
      <c r="AT24" s="101">
        <f t="shared" si="26"/>
        <v>0</v>
      </c>
      <c r="AU24" s="101">
        <f t="shared" si="27"/>
        <v>0</v>
      </c>
      <c r="AV24" s="101">
        <f t="shared" si="28"/>
        <v>0</v>
      </c>
      <c r="AW24" s="101">
        <f t="shared" si="29"/>
        <v>0</v>
      </c>
    </row>
    <row r="25" spans="1:49" x14ac:dyDescent="0.25">
      <c r="C25" s="62" t="str">
        <f t="shared" si="30"/>
        <v>Scenario B - 2030 CliffKRIEL</v>
      </c>
      <c r="D25" s="62" t="str">
        <f t="shared" si="34"/>
        <v>Scenario B - 2030 Cliff</v>
      </c>
      <c r="E25" s="105" t="s">
        <v>151</v>
      </c>
      <c r="F25" s="105">
        <f t="shared" si="31"/>
        <v>47</v>
      </c>
      <c r="G25" s="105" t="s">
        <v>199</v>
      </c>
      <c r="H25" s="63" cm="1">
        <f t="array" ref="H25">INDEX(H$118:H$241,$F25)</f>
        <v>2026</v>
      </c>
      <c r="I25" s="63" cm="1">
        <f t="array" ref="I25">INDEX(I$118:I$241,$F25)</f>
        <v>2027</v>
      </c>
      <c r="J25" s="63" cm="1">
        <f t="array" ref="J25">INDEX(J$118:J$241,$F25)</f>
        <v>2028</v>
      </c>
      <c r="K25" s="63" cm="1">
        <f t="array" ref="K25">INDEX(K$118:K$241,$F25)</f>
        <v>2029</v>
      </c>
      <c r="L25" s="63" cm="1">
        <f t="array" ref="L25">INDEX(L$118:L$241,$F25)</f>
        <v>2029</v>
      </c>
      <c r="M25" s="63" cm="1">
        <f t="array" ref="M25">INDEX(M$118:M$241,$F25)</f>
        <v>2030</v>
      </c>
      <c r="N25" s="63" t="str" cm="1">
        <f t="array" ref="N25">INDEX(N$118:N$241,$F25)</f>
        <v/>
      </c>
      <c r="O25" s="63" t="str" cm="1">
        <f t="array" ref="O25">INDEX(O$118:O$241,$F25)</f>
        <v/>
      </c>
      <c r="P25" s="63" cm="1">
        <f t="array" ref="P25">INDEX(P$118:P$241,$F25)</f>
        <v>0</v>
      </c>
      <c r="Q25" s="101">
        <f t="shared" si="32"/>
        <v>6</v>
      </c>
      <c r="R25" s="101">
        <v>2.85</v>
      </c>
      <c r="S25" s="101">
        <f t="shared" si="33"/>
        <v>2.85</v>
      </c>
      <c r="T25" s="101">
        <f t="shared" si="0"/>
        <v>2.85</v>
      </c>
      <c r="U25" s="101">
        <f t="shared" si="1"/>
        <v>2.85</v>
      </c>
      <c r="V25" s="101">
        <f t="shared" si="2"/>
        <v>2.85</v>
      </c>
      <c r="W25" s="101">
        <f t="shared" si="3"/>
        <v>2.85</v>
      </c>
      <c r="X25" s="101">
        <f t="shared" si="4"/>
        <v>2.85</v>
      </c>
      <c r="Y25" s="101">
        <f t="shared" si="5"/>
        <v>2.375</v>
      </c>
      <c r="Z25" s="101">
        <f t="shared" si="6"/>
        <v>1.9</v>
      </c>
      <c r="AA25" s="101">
        <f t="shared" si="7"/>
        <v>1.4249999999999998</v>
      </c>
      <c r="AB25" s="101">
        <f t="shared" si="8"/>
        <v>0.47499999999999976</v>
      </c>
      <c r="AC25" s="101">
        <f t="shared" si="9"/>
        <v>0</v>
      </c>
      <c r="AD25" s="101">
        <f t="shared" si="10"/>
        <v>0</v>
      </c>
      <c r="AE25" s="101">
        <f t="shared" si="11"/>
        <v>0</v>
      </c>
      <c r="AF25" s="101">
        <f t="shared" si="12"/>
        <v>0</v>
      </c>
      <c r="AG25" s="101">
        <f t="shared" si="13"/>
        <v>0</v>
      </c>
      <c r="AH25" s="101">
        <f t="shared" si="14"/>
        <v>0</v>
      </c>
      <c r="AI25" s="101">
        <f t="shared" si="15"/>
        <v>0</v>
      </c>
      <c r="AJ25" s="101">
        <f t="shared" si="16"/>
        <v>0</v>
      </c>
      <c r="AK25" s="101">
        <f t="shared" si="17"/>
        <v>0</v>
      </c>
      <c r="AL25" s="101">
        <f t="shared" si="18"/>
        <v>0</v>
      </c>
      <c r="AM25" s="101">
        <f t="shared" si="19"/>
        <v>0</v>
      </c>
      <c r="AN25" s="101">
        <f t="shared" si="20"/>
        <v>0</v>
      </c>
      <c r="AO25" s="101">
        <f t="shared" si="21"/>
        <v>0</v>
      </c>
      <c r="AP25" s="101">
        <f t="shared" si="22"/>
        <v>0</v>
      </c>
      <c r="AQ25" s="101">
        <f t="shared" si="23"/>
        <v>0</v>
      </c>
      <c r="AR25" s="101">
        <f t="shared" si="24"/>
        <v>0</v>
      </c>
      <c r="AS25" s="101">
        <f t="shared" si="25"/>
        <v>0</v>
      </c>
      <c r="AT25" s="101">
        <f t="shared" si="26"/>
        <v>0</v>
      </c>
      <c r="AU25" s="101">
        <f t="shared" si="27"/>
        <v>0</v>
      </c>
      <c r="AV25" s="101">
        <f t="shared" si="28"/>
        <v>0</v>
      </c>
      <c r="AW25" s="101">
        <f t="shared" si="29"/>
        <v>0</v>
      </c>
    </row>
    <row r="26" spans="1:49" x14ac:dyDescent="0.25">
      <c r="C26" s="62" t="str">
        <f t="shared" si="30"/>
        <v>Scenario B - 2030 CliffLETHABO</v>
      </c>
      <c r="D26" s="62" t="str">
        <f t="shared" si="34"/>
        <v>Scenario B - 2030 Cliff</v>
      </c>
      <c r="E26" s="105" t="s">
        <v>149</v>
      </c>
      <c r="F26" s="105">
        <f t="shared" si="31"/>
        <v>48</v>
      </c>
      <c r="G26" s="105" t="s">
        <v>205</v>
      </c>
      <c r="H26" s="63" cm="1">
        <f t="array" ref="H26">INDEX(H$118:H$241,$F26)</f>
        <v>2036</v>
      </c>
      <c r="I26" s="63" cm="1">
        <f t="array" ref="I26">INDEX(I$118:I$241,$F26)</f>
        <v>2037</v>
      </c>
      <c r="J26" s="63" cm="1">
        <f t="array" ref="J26">INDEX(J$118:J$241,$F26)</f>
        <v>2037</v>
      </c>
      <c r="K26" s="63" cm="1">
        <f t="array" ref="K26">INDEX(K$118:K$241,$F26)</f>
        <v>2038</v>
      </c>
      <c r="L26" s="63" cm="1">
        <f t="array" ref="L26">INDEX(L$118:L$241,$F26)</f>
        <v>2040</v>
      </c>
      <c r="M26" s="63" cm="1">
        <f t="array" ref="M26">INDEX(M$118:M$241,$F26)</f>
        <v>2041</v>
      </c>
      <c r="N26" s="63" t="str" cm="1">
        <f t="array" ref="N26">INDEX(N$118:N$241,$F26)</f>
        <v/>
      </c>
      <c r="O26" s="63" t="str" cm="1">
        <f t="array" ref="O26">INDEX(O$118:O$241,$F26)</f>
        <v/>
      </c>
      <c r="P26" s="63" cm="1">
        <f t="array" ref="P26">INDEX(P$118:P$241,$F26)</f>
        <v>0</v>
      </c>
      <c r="Q26" s="101">
        <f t="shared" si="32"/>
        <v>6</v>
      </c>
      <c r="R26" s="101">
        <v>3.5579999999999998</v>
      </c>
      <c r="S26" s="101">
        <f t="shared" si="33"/>
        <v>3.5579999999999998</v>
      </c>
      <c r="T26" s="101">
        <f t="shared" si="0"/>
        <v>3.5579999999999998</v>
      </c>
      <c r="U26" s="101">
        <f t="shared" si="1"/>
        <v>3.5579999999999998</v>
      </c>
      <c r="V26" s="101">
        <f t="shared" si="2"/>
        <v>3.5579999999999998</v>
      </c>
      <c r="W26" s="101">
        <f t="shared" si="3"/>
        <v>3.5579999999999998</v>
      </c>
      <c r="X26" s="101">
        <f t="shared" si="4"/>
        <v>3.5579999999999998</v>
      </c>
      <c r="Y26" s="101">
        <f t="shared" si="5"/>
        <v>3.5579999999999998</v>
      </c>
      <c r="Z26" s="101">
        <f t="shared" si="6"/>
        <v>3.5579999999999998</v>
      </c>
      <c r="AA26" s="101">
        <f t="shared" si="7"/>
        <v>3.5579999999999998</v>
      </c>
      <c r="AB26" s="101">
        <f t="shared" si="8"/>
        <v>3.5579999999999998</v>
      </c>
      <c r="AC26" s="101">
        <f t="shared" si="9"/>
        <v>3.5579999999999998</v>
      </c>
      <c r="AD26" s="101">
        <f t="shared" si="10"/>
        <v>3.5579999999999998</v>
      </c>
      <c r="AE26" s="101">
        <f t="shared" si="11"/>
        <v>3.5579999999999998</v>
      </c>
      <c r="AF26" s="101">
        <f t="shared" si="12"/>
        <v>3.5579999999999998</v>
      </c>
      <c r="AG26" s="101">
        <f t="shared" si="13"/>
        <v>3.5579999999999998</v>
      </c>
      <c r="AH26" s="101">
        <f t="shared" si="14"/>
        <v>3.5579999999999998</v>
      </c>
      <c r="AI26" s="101">
        <f t="shared" si="15"/>
        <v>2.9649999999999999</v>
      </c>
      <c r="AJ26" s="101">
        <f t="shared" si="16"/>
        <v>1.7789999999999999</v>
      </c>
      <c r="AK26" s="101">
        <f t="shared" si="17"/>
        <v>1.1859999999999999</v>
      </c>
      <c r="AL26" s="101">
        <f t="shared" si="18"/>
        <v>1.1859999999999999</v>
      </c>
      <c r="AM26" s="101">
        <f t="shared" si="19"/>
        <v>0.59299999999999997</v>
      </c>
      <c r="AN26" s="101">
        <f t="shared" si="20"/>
        <v>0</v>
      </c>
      <c r="AO26" s="101">
        <f t="shared" si="21"/>
        <v>0</v>
      </c>
      <c r="AP26" s="101">
        <f t="shared" si="22"/>
        <v>0</v>
      </c>
      <c r="AQ26" s="101">
        <f t="shared" si="23"/>
        <v>0</v>
      </c>
      <c r="AR26" s="101">
        <f t="shared" si="24"/>
        <v>0</v>
      </c>
      <c r="AS26" s="101">
        <f t="shared" si="25"/>
        <v>0</v>
      </c>
      <c r="AT26" s="101">
        <f t="shared" si="26"/>
        <v>0</v>
      </c>
      <c r="AU26" s="101">
        <f t="shared" si="27"/>
        <v>0</v>
      </c>
      <c r="AV26" s="101">
        <f t="shared" si="28"/>
        <v>0</v>
      </c>
      <c r="AW26" s="101">
        <f t="shared" si="29"/>
        <v>0</v>
      </c>
    </row>
    <row r="27" spans="1:49" x14ac:dyDescent="0.25">
      <c r="C27" s="62" t="str">
        <f t="shared" si="30"/>
        <v>Scenario B - 2030 CliffMAJUBA DRY</v>
      </c>
      <c r="D27" s="62" t="str">
        <f t="shared" si="34"/>
        <v>Scenario B - 2030 Cliff</v>
      </c>
      <c r="E27" s="105" t="s">
        <v>147</v>
      </c>
      <c r="F27" s="105">
        <f t="shared" si="31"/>
        <v>49</v>
      </c>
      <c r="G27" s="105" t="s">
        <v>197</v>
      </c>
      <c r="H27" s="63" cm="1">
        <f t="array" ref="H27">INDEX(H$118:H$241,$F27)</f>
        <v>2046</v>
      </c>
      <c r="I27" s="63" cm="1">
        <f t="array" ref="I27">INDEX(I$118:I$241,$F27)</f>
        <v>2047</v>
      </c>
      <c r="J27" s="63" cm="1">
        <f t="array" ref="J27">INDEX(J$118:J$241,$F27)</f>
        <v>2048</v>
      </c>
      <c r="K27" s="63" t="str" cm="1">
        <f t="array" ref="K27">INDEX(K$118:K$241,$F27)</f>
        <v/>
      </c>
      <c r="L27" s="63" t="str" cm="1">
        <f t="array" ref="L27">INDEX(L$118:L$241,$F27)</f>
        <v/>
      </c>
      <c r="M27" s="63" t="str" cm="1">
        <f t="array" ref="M27">INDEX(M$118:M$241,$F27)</f>
        <v/>
      </c>
      <c r="N27" s="63" t="str" cm="1">
        <f t="array" ref="N27">INDEX(N$118:N$241,$F27)</f>
        <v/>
      </c>
      <c r="O27" s="63" t="str" cm="1">
        <f t="array" ref="O27">INDEX(O$118:O$241,$F27)</f>
        <v/>
      </c>
      <c r="P27" s="63" cm="1">
        <f t="array" ref="P27">INDEX(P$118:P$241,$F27)</f>
        <v>0</v>
      </c>
      <c r="Q27" s="101">
        <f t="shared" si="32"/>
        <v>3</v>
      </c>
      <c r="R27" s="101">
        <v>1.8330000000000002</v>
      </c>
      <c r="S27" s="101">
        <f t="shared" si="33"/>
        <v>1.8330000000000002</v>
      </c>
      <c r="T27" s="101">
        <f t="shared" si="0"/>
        <v>1.8330000000000002</v>
      </c>
      <c r="U27" s="101">
        <f t="shared" si="1"/>
        <v>1.8330000000000002</v>
      </c>
      <c r="V27" s="101">
        <f t="shared" si="2"/>
        <v>1.8330000000000002</v>
      </c>
      <c r="W27" s="101">
        <f t="shared" si="3"/>
        <v>1.8330000000000002</v>
      </c>
      <c r="X27" s="101">
        <f t="shared" si="4"/>
        <v>1.8330000000000002</v>
      </c>
      <c r="Y27" s="101">
        <f t="shared" si="5"/>
        <v>1.8330000000000002</v>
      </c>
      <c r="Z27" s="101">
        <f t="shared" si="6"/>
        <v>1.8330000000000002</v>
      </c>
      <c r="AA27" s="101">
        <f t="shared" si="7"/>
        <v>1.8330000000000002</v>
      </c>
      <c r="AB27" s="101">
        <f t="shared" si="8"/>
        <v>1.8330000000000002</v>
      </c>
      <c r="AC27" s="101">
        <f t="shared" si="9"/>
        <v>1.8330000000000002</v>
      </c>
      <c r="AD27" s="101">
        <f t="shared" si="10"/>
        <v>1.8330000000000002</v>
      </c>
      <c r="AE27" s="101">
        <f t="shared" si="11"/>
        <v>1.8330000000000002</v>
      </c>
      <c r="AF27" s="101">
        <f t="shared" si="12"/>
        <v>1.8330000000000002</v>
      </c>
      <c r="AG27" s="101">
        <f t="shared" si="13"/>
        <v>1.8330000000000002</v>
      </c>
      <c r="AH27" s="101">
        <f t="shared" si="14"/>
        <v>1.8330000000000002</v>
      </c>
      <c r="AI27" s="101">
        <f t="shared" si="15"/>
        <v>1.8330000000000002</v>
      </c>
      <c r="AJ27" s="101">
        <f t="shared" si="16"/>
        <v>1.8330000000000002</v>
      </c>
      <c r="AK27" s="101">
        <f t="shared" si="17"/>
        <v>1.8330000000000002</v>
      </c>
      <c r="AL27" s="101">
        <f t="shared" si="18"/>
        <v>1.8330000000000002</v>
      </c>
      <c r="AM27" s="101">
        <f t="shared" si="19"/>
        <v>1.8330000000000002</v>
      </c>
      <c r="AN27" s="101">
        <f t="shared" si="20"/>
        <v>1.8330000000000002</v>
      </c>
      <c r="AO27" s="101">
        <f t="shared" si="21"/>
        <v>1.8330000000000002</v>
      </c>
      <c r="AP27" s="101">
        <f t="shared" si="22"/>
        <v>1.8330000000000002</v>
      </c>
      <c r="AQ27" s="101">
        <f t="shared" si="23"/>
        <v>1.8330000000000002</v>
      </c>
      <c r="AR27" s="101">
        <f t="shared" si="24"/>
        <v>1.8330000000000002</v>
      </c>
      <c r="AS27" s="101">
        <f t="shared" si="25"/>
        <v>1.222</v>
      </c>
      <c r="AT27" s="101">
        <f t="shared" si="26"/>
        <v>0.61099999999999988</v>
      </c>
      <c r="AU27" s="101">
        <f t="shared" si="27"/>
        <v>0</v>
      </c>
      <c r="AV27" s="101">
        <f t="shared" si="28"/>
        <v>0</v>
      </c>
      <c r="AW27" s="101">
        <f t="shared" si="29"/>
        <v>0</v>
      </c>
    </row>
    <row r="28" spans="1:49" x14ac:dyDescent="0.25">
      <c r="C28" s="62" t="str">
        <f t="shared" si="30"/>
        <v>Scenario B - 2030 CliffMAJUBA WET</v>
      </c>
      <c r="D28" s="62" t="str">
        <f t="shared" si="34"/>
        <v>Scenario B - 2030 Cliff</v>
      </c>
      <c r="E28" s="105" t="s">
        <v>145</v>
      </c>
      <c r="F28" s="105">
        <f t="shared" si="31"/>
        <v>50</v>
      </c>
      <c r="G28" s="105"/>
      <c r="H28" s="63" t="str" cm="1">
        <f t="array" ref="H28">INDEX(H$118:H$241,$F28)</f>
        <v/>
      </c>
      <c r="I28" s="63" t="str" cm="1">
        <f t="array" ref="I28">INDEX(I$118:I$241,$F28)</f>
        <v/>
      </c>
      <c r="J28" s="63" t="str" cm="1">
        <f t="array" ref="J28">INDEX(J$118:J$241,$F28)</f>
        <v/>
      </c>
      <c r="K28" s="63" cm="1">
        <f t="array" ref="K28">INDEX(K$118:K$241,$F28)</f>
        <v>2049</v>
      </c>
      <c r="L28" s="63" cm="1">
        <f t="array" ref="L28">INDEX(L$118:L$241,$F28)</f>
        <v>2050</v>
      </c>
      <c r="M28" s="63" cm="1">
        <f t="array" ref="M28">INDEX(M$118:M$241,$F28)</f>
        <v>2051</v>
      </c>
      <c r="N28" s="63" t="str" cm="1">
        <f t="array" ref="N28">INDEX(N$118:N$241,$F28)</f>
        <v/>
      </c>
      <c r="O28" s="63" t="str" cm="1">
        <f t="array" ref="O28">INDEX(O$118:O$241,$F28)</f>
        <v/>
      </c>
      <c r="P28" s="63" cm="1">
        <f t="array" ref="P28">INDEX(P$118:P$241,$F28)</f>
        <v>0</v>
      </c>
      <c r="Q28" s="101">
        <f t="shared" si="32"/>
        <v>3</v>
      </c>
      <c r="R28" s="101">
        <v>2.0099999999999998</v>
      </c>
      <c r="S28" s="101">
        <f t="shared" si="33"/>
        <v>2.0099999999999998</v>
      </c>
      <c r="T28" s="101">
        <f t="shared" si="0"/>
        <v>2.0099999999999998</v>
      </c>
      <c r="U28" s="101">
        <f t="shared" si="1"/>
        <v>2.0099999999999998</v>
      </c>
      <c r="V28" s="101">
        <f t="shared" si="2"/>
        <v>2.0099999999999998</v>
      </c>
      <c r="W28" s="101">
        <f t="shared" si="3"/>
        <v>2.0099999999999998</v>
      </c>
      <c r="X28" s="101">
        <f t="shared" si="4"/>
        <v>2.0099999999999998</v>
      </c>
      <c r="Y28" s="101">
        <f t="shared" si="5"/>
        <v>2.0099999999999998</v>
      </c>
      <c r="Z28" s="101">
        <f t="shared" si="6"/>
        <v>2.0099999999999998</v>
      </c>
      <c r="AA28" s="101">
        <f t="shared" si="7"/>
        <v>2.0099999999999998</v>
      </c>
      <c r="AB28" s="101">
        <f t="shared" si="8"/>
        <v>2.0099999999999998</v>
      </c>
      <c r="AC28" s="101">
        <f t="shared" si="9"/>
        <v>2.0099999999999998</v>
      </c>
      <c r="AD28" s="101">
        <f t="shared" si="10"/>
        <v>2.0099999999999998</v>
      </c>
      <c r="AE28" s="101">
        <f t="shared" si="11"/>
        <v>2.0099999999999998</v>
      </c>
      <c r="AF28" s="101">
        <f t="shared" si="12"/>
        <v>2.0099999999999998</v>
      </c>
      <c r="AG28" s="101">
        <f t="shared" si="13"/>
        <v>2.0099999999999998</v>
      </c>
      <c r="AH28" s="101">
        <f t="shared" si="14"/>
        <v>2.0099999999999998</v>
      </c>
      <c r="AI28" s="101">
        <f t="shared" si="15"/>
        <v>2.0099999999999998</v>
      </c>
      <c r="AJ28" s="101">
        <f t="shared" si="16"/>
        <v>2.0099999999999998</v>
      </c>
      <c r="AK28" s="101">
        <f t="shared" si="17"/>
        <v>2.0099999999999998</v>
      </c>
      <c r="AL28" s="101">
        <f t="shared" si="18"/>
        <v>2.0099999999999998</v>
      </c>
      <c r="AM28" s="101">
        <f t="shared" si="19"/>
        <v>2.0099999999999998</v>
      </c>
      <c r="AN28" s="101">
        <f t="shared" si="20"/>
        <v>2.0099999999999998</v>
      </c>
      <c r="AO28" s="101">
        <f t="shared" si="21"/>
        <v>2.0099999999999998</v>
      </c>
      <c r="AP28" s="101">
        <f t="shared" si="22"/>
        <v>2.0099999999999998</v>
      </c>
      <c r="AQ28" s="101">
        <f t="shared" si="23"/>
        <v>2.0099999999999998</v>
      </c>
      <c r="AR28" s="101">
        <f t="shared" si="24"/>
        <v>2.0099999999999998</v>
      </c>
      <c r="AS28" s="101">
        <f t="shared" si="25"/>
        <v>2.0099999999999998</v>
      </c>
      <c r="AT28" s="101">
        <f t="shared" si="26"/>
        <v>2.0099999999999998</v>
      </c>
      <c r="AU28" s="101">
        <f t="shared" si="27"/>
        <v>2.0099999999999998</v>
      </c>
      <c r="AV28" s="101">
        <f t="shared" si="28"/>
        <v>1.3399999999999999</v>
      </c>
      <c r="AW28" s="101">
        <f t="shared" si="29"/>
        <v>0.66999999999999993</v>
      </c>
    </row>
    <row r="29" spans="1:49" x14ac:dyDescent="0.25">
      <c r="C29" s="62" t="str">
        <f t="shared" si="30"/>
        <v>Scenario B - 2030 CliffMATIMBA</v>
      </c>
      <c r="D29" s="62" t="str">
        <f t="shared" si="34"/>
        <v>Scenario B - 2030 Cliff</v>
      </c>
      <c r="E29" s="105" t="s">
        <v>143</v>
      </c>
      <c r="F29" s="105">
        <f t="shared" si="31"/>
        <v>51</v>
      </c>
      <c r="G29" s="105" t="s">
        <v>204</v>
      </c>
      <c r="H29" s="63" cm="1">
        <f t="array" ref="H29">INDEX(H$118:H$241,$F29)</f>
        <v>2038</v>
      </c>
      <c r="I29" s="63" cm="1">
        <f t="array" ref="I29">INDEX(I$118:I$241,$F29)</f>
        <v>2038</v>
      </c>
      <c r="J29" s="63" cm="1">
        <f t="array" ref="J29">INDEX(J$118:J$241,$F29)</f>
        <v>2039</v>
      </c>
      <c r="K29" s="63" cm="1">
        <f t="array" ref="K29">INDEX(K$118:K$241,$F29)</f>
        <v>2040</v>
      </c>
      <c r="L29" s="63" cm="1">
        <f t="array" ref="L29">INDEX(L$118:L$241,$F29)</f>
        <v>2041</v>
      </c>
      <c r="M29" s="63" cm="1">
        <f t="array" ref="M29">INDEX(M$118:M$241,$F29)</f>
        <v>2042</v>
      </c>
      <c r="N29" s="63" t="str" cm="1">
        <f t="array" ref="N29">INDEX(N$118:N$241,$F29)</f>
        <v/>
      </c>
      <c r="O29" s="63" t="str" cm="1">
        <f t="array" ref="O29">INDEX(O$118:O$241,$F29)</f>
        <v/>
      </c>
      <c r="P29" s="63" cm="1">
        <f t="array" ref="P29">INDEX(P$118:P$241,$F29)</f>
        <v>0</v>
      </c>
      <c r="Q29" s="101">
        <f t="shared" si="32"/>
        <v>6</v>
      </c>
      <c r="R29" s="101">
        <v>3.69</v>
      </c>
      <c r="S29" s="101">
        <f t="shared" si="33"/>
        <v>3.69</v>
      </c>
      <c r="T29" s="101">
        <f t="shared" si="0"/>
        <v>3.69</v>
      </c>
      <c r="U29" s="101">
        <f t="shared" si="1"/>
        <v>3.69</v>
      </c>
      <c r="V29" s="101">
        <f t="shared" si="2"/>
        <v>3.69</v>
      </c>
      <c r="W29" s="101">
        <f t="shared" si="3"/>
        <v>3.69</v>
      </c>
      <c r="X29" s="101">
        <f t="shared" si="4"/>
        <v>3.69</v>
      </c>
      <c r="Y29" s="101">
        <f t="shared" si="5"/>
        <v>3.69</v>
      </c>
      <c r="Z29" s="101">
        <f t="shared" si="6"/>
        <v>3.69</v>
      </c>
      <c r="AA29" s="101">
        <f t="shared" si="7"/>
        <v>3.69</v>
      </c>
      <c r="AB29" s="101">
        <f t="shared" si="8"/>
        <v>3.69</v>
      </c>
      <c r="AC29" s="101">
        <f t="shared" si="9"/>
        <v>3.69</v>
      </c>
      <c r="AD29" s="101">
        <f t="shared" si="10"/>
        <v>3.69</v>
      </c>
      <c r="AE29" s="101">
        <f t="shared" si="11"/>
        <v>3.69</v>
      </c>
      <c r="AF29" s="101">
        <f t="shared" si="12"/>
        <v>3.69</v>
      </c>
      <c r="AG29" s="101">
        <f t="shared" si="13"/>
        <v>3.69</v>
      </c>
      <c r="AH29" s="101">
        <f t="shared" si="14"/>
        <v>3.69</v>
      </c>
      <c r="AI29" s="101">
        <f t="shared" si="15"/>
        <v>3.69</v>
      </c>
      <c r="AJ29" s="101">
        <f t="shared" si="16"/>
        <v>3.69</v>
      </c>
      <c r="AK29" s="101">
        <f t="shared" si="17"/>
        <v>2.46</v>
      </c>
      <c r="AL29" s="101">
        <f t="shared" si="18"/>
        <v>1.845</v>
      </c>
      <c r="AM29" s="101">
        <f t="shared" si="19"/>
        <v>1.23</v>
      </c>
      <c r="AN29" s="101">
        <f t="shared" si="20"/>
        <v>0.61499999999999999</v>
      </c>
      <c r="AO29" s="101">
        <f t="shared" si="21"/>
        <v>0</v>
      </c>
      <c r="AP29" s="101">
        <f t="shared" si="22"/>
        <v>0</v>
      </c>
      <c r="AQ29" s="101">
        <f t="shared" si="23"/>
        <v>0</v>
      </c>
      <c r="AR29" s="101">
        <f t="shared" si="24"/>
        <v>0</v>
      </c>
      <c r="AS29" s="101">
        <f t="shared" si="25"/>
        <v>0</v>
      </c>
      <c r="AT29" s="101">
        <f t="shared" si="26"/>
        <v>0</v>
      </c>
      <c r="AU29" s="101">
        <f t="shared" si="27"/>
        <v>0</v>
      </c>
      <c r="AV29" s="101">
        <f t="shared" si="28"/>
        <v>0</v>
      </c>
      <c r="AW29" s="101">
        <f t="shared" si="29"/>
        <v>0</v>
      </c>
    </row>
    <row r="30" spans="1:49" x14ac:dyDescent="0.25">
      <c r="C30" s="62" t="str">
        <f t="shared" si="30"/>
        <v>Scenario B - 2030 CliffMATLA</v>
      </c>
      <c r="D30" s="62" t="str">
        <f t="shared" si="34"/>
        <v>Scenario B - 2030 Cliff</v>
      </c>
      <c r="E30" s="105" t="s">
        <v>141</v>
      </c>
      <c r="F30" s="105">
        <f t="shared" si="31"/>
        <v>52</v>
      </c>
      <c r="G30" s="105" t="s">
        <v>200</v>
      </c>
      <c r="H30" s="63" cm="1">
        <f t="array" ref="H30">INDEX(H$118:H$241,$F30)</f>
        <v>2031</v>
      </c>
      <c r="I30" s="63" cm="1">
        <f t="array" ref="I30">INDEX(I$118:I$241,$F30)</f>
        <v>2031</v>
      </c>
      <c r="J30" s="63" cm="1">
        <f t="array" ref="J30">INDEX(J$118:J$241,$F30)</f>
        <v>2031</v>
      </c>
      <c r="K30" s="63" cm="1">
        <f t="array" ref="K30">INDEX(K$118:K$241,$F30)</f>
        <v>2031</v>
      </c>
      <c r="L30" s="63" cm="1">
        <f t="array" ref="L30">INDEX(L$118:L$241,$F30)</f>
        <v>2031</v>
      </c>
      <c r="M30" s="63" cm="1">
        <f t="array" ref="M30">INDEX(M$118:M$241,$F30)</f>
        <v>2031</v>
      </c>
      <c r="N30" s="63" cm="1">
        <f t="array" ref="N30">INDEX(N$118:N$241,$F30)</f>
        <v>0</v>
      </c>
      <c r="O30" s="63" cm="1">
        <f t="array" ref="O30">INDEX(O$118:O$241,$F30)</f>
        <v>0</v>
      </c>
      <c r="P30" s="63" cm="1">
        <f t="array" ref="P30">INDEX(P$118:P$241,$F30)</f>
        <v>0</v>
      </c>
      <c r="Q30" s="101">
        <f t="shared" si="32"/>
        <v>6</v>
      </c>
      <c r="R30" s="101">
        <v>3.45</v>
      </c>
      <c r="S30" s="101">
        <f t="shared" si="33"/>
        <v>3.45</v>
      </c>
      <c r="T30" s="101">
        <f t="shared" si="0"/>
        <v>3.45</v>
      </c>
      <c r="U30" s="101">
        <f t="shared" si="1"/>
        <v>3.45</v>
      </c>
      <c r="V30" s="101">
        <f t="shared" si="2"/>
        <v>3.45</v>
      </c>
      <c r="W30" s="101">
        <f t="shared" si="3"/>
        <v>3.45</v>
      </c>
      <c r="X30" s="101">
        <f t="shared" si="4"/>
        <v>3.45</v>
      </c>
      <c r="Y30" s="101">
        <f t="shared" si="5"/>
        <v>3.45</v>
      </c>
      <c r="Z30" s="101">
        <f t="shared" si="6"/>
        <v>3.45</v>
      </c>
      <c r="AA30" s="101">
        <f t="shared" si="7"/>
        <v>3.45</v>
      </c>
      <c r="AB30" s="101">
        <f t="shared" si="8"/>
        <v>3.45</v>
      </c>
      <c r="AC30" s="101">
        <f t="shared" si="9"/>
        <v>3.45</v>
      </c>
      <c r="AD30" s="101">
        <f t="shared" si="10"/>
        <v>0</v>
      </c>
      <c r="AE30" s="101">
        <f t="shared" si="11"/>
        <v>0</v>
      </c>
      <c r="AF30" s="101">
        <f t="shared" si="12"/>
        <v>0</v>
      </c>
      <c r="AG30" s="101">
        <f t="shared" si="13"/>
        <v>0</v>
      </c>
      <c r="AH30" s="101">
        <f t="shared" si="14"/>
        <v>0</v>
      </c>
      <c r="AI30" s="101">
        <f t="shared" si="15"/>
        <v>0</v>
      </c>
      <c r="AJ30" s="101">
        <f t="shared" si="16"/>
        <v>0</v>
      </c>
      <c r="AK30" s="101">
        <f t="shared" si="17"/>
        <v>0</v>
      </c>
      <c r="AL30" s="101">
        <f t="shared" si="18"/>
        <v>0</v>
      </c>
      <c r="AM30" s="101">
        <f t="shared" si="19"/>
        <v>0</v>
      </c>
      <c r="AN30" s="101">
        <f t="shared" si="20"/>
        <v>0</v>
      </c>
      <c r="AO30" s="101">
        <f t="shared" si="21"/>
        <v>0</v>
      </c>
      <c r="AP30" s="101">
        <f t="shared" si="22"/>
        <v>0</v>
      </c>
      <c r="AQ30" s="101">
        <f t="shared" si="23"/>
        <v>0</v>
      </c>
      <c r="AR30" s="101">
        <f t="shared" si="24"/>
        <v>0</v>
      </c>
      <c r="AS30" s="101">
        <f t="shared" si="25"/>
        <v>0</v>
      </c>
      <c r="AT30" s="101">
        <f t="shared" si="26"/>
        <v>0</v>
      </c>
      <c r="AU30" s="101">
        <f t="shared" si="27"/>
        <v>0</v>
      </c>
      <c r="AV30" s="101">
        <f t="shared" si="28"/>
        <v>0</v>
      </c>
      <c r="AW30" s="101">
        <f t="shared" si="29"/>
        <v>0</v>
      </c>
    </row>
    <row r="31" spans="1:49" x14ac:dyDescent="0.25">
      <c r="C31" s="62" t="str">
        <f t="shared" si="30"/>
        <v>Scenario B - 2030 CliffTUTUKA</v>
      </c>
      <c r="D31" s="62" t="str">
        <f t="shared" si="34"/>
        <v>Scenario B - 2030 Cliff</v>
      </c>
      <c r="E31" s="105" t="s">
        <v>139</v>
      </c>
      <c r="F31" s="105">
        <f t="shared" si="31"/>
        <v>53</v>
      </c>
      <c r="G31" s="105" t="s">
        <v>202</v>
      </c>
      <c r="H31" s="63" cm="1">
        <f t="array" ref="H31">INDEX(H$118:H$241,$F31)</f>
        <v>2031</v>
      </c>
      <c r="I31" s="63" cm="1">
        <f t="array" ref="I31">INDEX(I$118:I$241,$F31)</f>
        <v>2031</v>
      </c>
      <c r="J31" s="63" cm="1">
        <f t="array" ref="J31">INDEX(J$118:J$241,$F31)</f>
        <v>2031</v>
      </c>
      <c r="K31" s="63" cm="1">
        <f t="array" ref="K31">INDEX(K$118:K$241,$F31)</f>
        <v>2031</v>
      </c>
      <c r="L31" s="63" cm="1">
        <f t="array" ref="L31">INDEX(L$118:L$241,$F31)</f>
        <v>2031</v>
      </c>
      <c r="M31" s="63" cm="1">
        <f t="array" ref="M31">INDEX(M$118:M$241,$F31)</f>
        <v>2031</v>
      </c>
      <c r="N31" s="63" cm="1">
        <f t="array" ref="N31">INDEX(N$118:N$241,$F31)</f>
        <v>0</v>
      </c>
      <c r="O31" s="63" cm="1">
        <f t="array" ref="O31">INDEX(O$118:O$241,$F31)</f>
        <v>0</v>
      </c>
      <c r="P31" s="63" cm="1">
        <f t="array" ref="P31">INDEX(P$118:P$241,$F31)</f>
        <v>0</v>
      </c>
      <c r="Q31" s="101">
        <f t="shared" si="32"/>
        <v>6</v>
      </c>
      <c r="R31" s="101">
        <v>3.51</v>
      </c>
      <c r="S31" s="101">
        <f t="shared" si="33"/>
        <v>3.51</v>
      </c>
      <c r="T31" s="101">
        <f t="shared" si="0"/>
        <v>3.51</v>
      </c>
      <c r="U31" s="101">
        <f t="shared" si="1"/>
        <v>3.51</v>
      </c>
      <c r="V31" s="101">
        <f t="shared" si="2"/>
        <v>3.51</v>
      </c>
      <c r="W31" s="101">
        <f t="shared" si="3"/>
        <v>3.51</v>
      </c>
      <c r="X31" s="101">
        <f t="shared" si="4"/>
        <v>3.51</v>
      </c>
      <c r="Y31" s="101">
        <f t="shared" si="5"/>
        <v>3.51</v>
      </c>
      <c r="Z31" s="101">
        <f t="shared" si="6"/>
        <v>3.51</v>
      </c>
      <c r="AA31" s="101">
        <f t="shared" si="7"/>
        <v>3.51</v>
      </c>
      <c r="AB31" s="101">
        <f t="shared" si="8"/>
        <v>3.51</v>
      </c>
      <c r="AC31" s="101">
        <f t="shared" si="9"/>
        <v>3.51</v>
      </c>
      <c r="AD31" s="101">
        <f t="shared" si="10"/>
        <v>0</v>
      </c>
      <c r="AE31" s="101">
        <f t="shared" si="11"/>
        <v>0</v>
      </c>
      <c r="AF31" s="101">
        <f t="shared" si="12"/>
        <v>0</v>
      </c>
      <c r="AG31" s="101">
        <f t="shared" si="13"/>
        <v>0</v>
      </c>
      <c r="AH31" s="101">
        <f t="shared" si="14"/>
        <v>0</v>
      </c>
      <c r="AI31" s="101">
        <f t="shared" si="15"/>
        <v>0</v>
      </c>
      <c r="AJ31" s="101">
        <f t="shared" si="16"/>
        <v>0</v>
      </c>
      <c r="AK31" s="101">
        <f t="shared" si="17"/>
        <v>0</v>
      </c>
      <c r="AL31" s="101">
        <f t="shared" si="18"/>
        <v>0</v>
      </c>
      <c r="AM31" s="101">
        <f t="shared" si="19"/>
        <v>0</v>
      </c>
      <c r="AN31" s="101">
        <f t="shared" si="20"/>
        <v>0</v>
      </c>
      <c r="AO31" s="101">
        <f t="shared" si="21"/>
        <v>0</v>
      </c>
      <c r="AP31" s="101">
        <f t="shared" si="22"/>
        <v>0</v>
      </c>
      <c r="AQ31" s="101">
        <f t="shared" si="23"/>
        <v>0</v>
      </c>
      <c r="AR31" s="101">
        <f t="shared" si="24"/>
        <v>0</v>
      </c>
      <c r="AS31" s="101">
        <f t="shared" si="25"/>
        <v>0</v>
      </c>
      <c r="AT31" s="101">
        <f t="shared" si="26"/>
        <v>0</v>
      </c>
      <c r="AU31" s="101">
        <f t="shared" si="27"/>
        <v>0</v>
      </c>
      <c r="AV31" s="101">
        <f t="shared" si="28"/>
        <v>0</v>
      </c>
      <c r="AW31" s="101">
        <f t="shared" si="29"/>
        <v>0</v>
      </c>
    </row>
    <row r="37" spans="5:14" x14ac:dyDescent="0.25">
      <c r="E37" s="62" t="s">
        <v>273</v>
      </c>
    </row>
    <row r="38" spans="5:14" x14ac:dyDescent="0.25">
      <c r="F38" s="98">
        <v>1</v>
      </c>
      <c r="G38" s="98">
        <v>2</v>
      </c>
      <c r="H38" s="98">
        <v>3</v>
      </c>
      <c r="I38" s="98">
        <v>4</v>
      </c>
      <c r="J38" s="98">
        <v>5</v>
      </c>
      <c r="K38" s="98">
        <v>6</v>
      </c>
      <c r="L38" s="98">
        <v>7</v>
      </c>
      <c r="M38" s="98">
        <v>8</v>
      </c>
    </row>
    <row r="39" spans="5:14" x14ac:dyDescent="0.25">
      <c r="E39" s="98" t="s">
        <v>201</v>
      </c>
      <c r="F39" s="99">
        <v>44835</v>
      </c>
      <c r="G39" s="99">
        <v>45931</v>
      </c>
      <c r="H39" s="99">
        <v>45962</v>
      </c>
      <c r="I39" s="99">
        <v>46600</v>
      </c>
      <c r="J39" s="99">
        <v>46966</v>
      </c>
      <c r="K39" s="99">
        <v>47362</v>
      </c>
      <c r="L39" s="100"/>
      <c r="M39" s="100"/>
      <c r="N39" s="100"/>
    </row>
    <row r="40" spans="5:14" x14ac:dyDescent="0.25">
      <c r="E40" s="98" t="s">
        <v>208</v>
      </c>
      <c r="F40" s="99">
        <v>44348</v>
      </c>
      <c r="G40" s="99">
        <v>44378</v>
      </c>
      <c r="H40" s="99">
        <v>44652</v>
      </c>
      <c r="I40" s="99">
        <v>44835</v>
      </c>
      <c r="J40" s="99">
        <v>45139</v>
      </c>
      <c r="K40" s="99">
        <v>45383</v>
      </c>
      <c r="L40" s="99">
        <v>45597</v>
      </c>
      <c r="M40" s="99">
        <v>45597</v>
      </c>
      <c r="N40" s="100"/>
    </row>
    <row r="41" spans="5:14" x14ac:dyDescent="0.25">
      <c r="E41" s="98" t="s">
        <v>207</v>
      </c>
      <c r="F41" s="99">
        <v>11202</v>
      </c>
      <c r="G41" s="99">
        <v>11263</v>
      </c>
      <c r="H41" s="99">
        <v>11902</v>
      </c>
      <c r="I41" s="99">
        <v>12145</v>
      </c>
      <c r="J41" s="99">
        <v>12479</v>
      </c>
      <c r="K41" s="98"/>
      <c r="L41" s="100"/>
      <c r="M41" s="100"/>
      <c r="N41" s="100"/>
    </row>
    <row r="42" spans="5:14" x14ac:dyDescent="0.25">
      <c r="E42" s="98" t="s">
        <v>195</v>
      </c>
      <c r="F42" s="99">
        <v>46023</v>
      </c>
      <c r="G42" s="99">
        <v>46023</v>
      </c>
      <c r="H42" s="99">
        <v>46023</v>
      </c>
      <c r="I42" s="100"/>
      <c r="J42" s="100"/>
      <c r="K42" s="100"/>
      <c r="L42" s="100"/>
      <c r="M42" s="100"/>
      <c r="N42" s="100"/>
    </row>
    <row r="43" spans="5:14" x14ac:dyDescent="0.25">
      <c r="E43" s="98" t="s">
        <v>198</v>
      </c>
      <c r="F43" s="99">
        <v>45870</v>
      </c>
      <c r="G43" s="99">
        <v>46023</v>
      </c>
      <c r="H43" s="99">
        <v>46054</v>
      </c>
      <c r="I43" s="99">
        <v>46082</v>
      </c>
      <c r="J43" s="99">
        <v>46113</v>
      </c>
      <c r="K43" s="99">
        <v>46023</v>
      </c>
      <c r="L43" s="100"/>
      <c r="M43" s="100"/>
      <c r="N43" s="100"/>
    </row>
    <row r="44" spans="5:14" x14ac:dyDescent="0.25">
      <c r="E44" s="98" t="s">
        <v>206</v>
      </c>
      <c r="F44" s="99">
        <v>14185</v>
      </c>
      <c r="G44" s="99">
        <v>15158</v>
      </c>
      <c r="H44" s="99">
        <v>15342</v>
      </c>
      <c r="I44" s="99">
        <v>15342</v>
      </c>
      <c r="J44" s="99">
        <v>15707</v>
      </c>
      <c r="K44" s="99">
        <v>16072</v>
      </c>
      <c r="L44" s="100"/>
      <c r="M44" s="100"/>
      <c r="N44" s="100"/>
    </row>
    <row r="45" spans="5:14" x14ac:dyDescent="0.25">
      <c r="E45" s="98" t="s">
        <v>196</v>
      </c>
      <c r="F45" s="99">
        <v>44835</v>
      </c>
      <c r="G45" s="100"/>
      <c r="H45" s="100"/>
      <c r="I45" s="100"/>
      <c r="J45" s="100"/>
      <c r="K45" s="100"/>
      <c r="L45" s="100"/>
      <c r="M45" s="100"/>
      <c r="N45" s="100"/>
    </row>
    <row r="46" spans="5:14" x14ac:dyDescent="0.25">
      <c r="E46" s="98" t="s">
        <v>199</v>
      </c>
      <c r="F46" s="99">
        <v>46174</v>
      </c>
      <c r="G46" s="99">
        <v>46539</v>
      </c>
      <c r="H46" s="99">
        <v>46784</v>
      </c>
      <c r="I46" s="99">
        <v>46997</v>
      </c>
      <c r="J46" s="99">
        <v>47209</v>
      </c>
      <c r="K46" s="99">
        <v>47453</v>
      </c>
      <c r="L46" s="100"/>
      <c r="M46" s="100"/>
      <c r="N46" s="100"/>
    </row>
    <row r="47" spans="5:14" x14ac:dyDescent="0.25">
      <c r="E47" s="98" t="s">
        <v>205</v>
      </c>
      <c r="F47" s="99">
        <v>13150</v>
      </c>
      <c r="G47" s="99">
        <v>13363</v>
      </c>
      <c r="H47" s="99">
        <v>13606</v>
      </c>
      <c r="I47" s="99">
        <v>13881</v>
      </c>
      <c r="J47" s="99">
        <v>14458</v>
      </c>
      <c r="K47" s="99">
        <v>14977</v>
      </c>
      <c r="L47" s="100"/>
      <c r="M47" s="100"/>
      <c r="N47" s="100"/>
    </row>
    <row r="48" spans="5:14" x14ac:dyDescent="0.25">
      <c r="E48" s="98" t="s">
        <v>197</v>
      </c>
      <c r="F48" s="99">
        <v>16923</v>
      </c>
      <c r="G48" s="99">
        <v>17288</v>
      </c>
      <c r="H48" s="99">
        <v>17654</v>
      </c>
      <c r="I48" s="99">
        <v>18019</v>
      </c>
      <c r="J48" s="99">
        <v>18384</v>
      </c>
      <c r="K48" s="98"/>
      <c r="L48" s="100"/>
      <c r="M48" s="100"/>
      <c r="N48" s="100"/>
    </row>
    <row r="49" spans="2:22" x14ac:dyDescent="0.25">
      <c r="E49" s="98" t="s">
        <v>204</v>
      </c>
      <c r="F49" s="99">
        <v>13881</v>
      </c>
      <c r="G49" s="99">
        <v>13881</v>
      </c>
      <c r="H49" s="99">
        <v>14154</v>
      </c>
      <c r="I49" s="99">
        <v>14519</v>
      </c>
      <c r="J49" s="99">
        <v>14916</v>
      </c>
      <c r="K49" s="99">
        <v>15281</v>
      </c>
      <c r="L49" s="100"/>
      <c r="M49" s="100"/>
      <c r="N49" s="100"/>
    </row>
    <row r="50" spans="2:22" x14ac:dyDescent="0.25">
      <c r="E50" s="98" t="s">
        <v>200</v>
      </c>
      <c r="F50" s="99">
        <v>47362</v>
      </c>
      <c r="G50" s="99">
        <v>11140</v>
      </c>
      <c r="H50" s="99">
        <v>11324</v>
      </c>
      <c r="I50" s="99">
        <v>11628</v>
      </c>
      <c r="J50" s="99">
        <v>11933</v>
      </c>
      <c r="K50" s="99">
        <v>12267</v>
      </c>
      <c r="L50" s="100"/>
      <c r="M50" s="100"/>
      <c r="N50" s="100"/>
    </row>
    <row r="51" spans="2:22" x14ac:dyDescent="0.25">
      <c r="E51" s="98" t="s">
        <v>202</v>
      </c>
      <c r="F51" s="99">
        <v>12875</v>
      </c>
      <c r="G51" s="99">
        <v>13181</v>
      </c>
      <c r="H51" s="99">
        <v>13363</v>
      </c>
      <c r="I51" s="99">
        <v>13636</v>
      </c>
      <c r="J51" s="99">
        <v>14154</v>
      </c>
      <c r="K51" s="99">
        <v>14793</v>
      </c>
      <c r="L51" s="100"/>
      <c r="M51" s="100"/>
      <c r="N51" s="100"/>
    </row>
    <row r="54" spans="2:22" x14ac:dyDescent="0.25">
      <c r="E54" s="62" t="s">
        <v>274</v>
      </c>
    </row>
    <row r="56" spans="2:22" x14ac:dyDescent="0.25">
      <c r="E56" s="101"/>
      <c r="F56" s="101"/>
      <c r="G56" s="101" t="s">
        <v>210</v>
      </c>
      <c r="H56" s="101">
        <v>1</v>
      </c>
      <c r="I56" s="101">
        <v>2</v>
      </c>
      <c r="J56" s="101">
        <v>3</v>
      </c>
      <c r="K56" s="101">
        <v>4</v>
      </c>
      <c r="L56" s="101">
        <v>5</v>
      </c>
      <c r="M56" s="101">
        <v>6</v>
      </c>
      <c r="N56" s="101">
        <v>7</v>
      </c>
      <c r="O56" s="101">
        <v>8</v>
      </c>
      <c r="P56" s="101">
        <v>9</v>
      </c>
      <c r="S56" s="62">
        <v>6</v>
      </c>
      <c r="T56" s="62" t="s">
        <v>159</v>
      </c>
      <c r="U56" s="62">
        <v>2.2320000000000002</v>
      </c>
      <c r="V56" s="62" t="s">
        <v>201</v>
      </c>
    </row>
    <row r="57" spans="2:22" x14ac:dyDescent="0.25">
      <c r="B57" s="62">
        <v>8</v>
      </c>
      <c r="E57" s="101" t="s">
        <v>165</v>
      </c>
      <c r="F57" s="101"/>
      <c r="G57" s="101" t="s">
        <v>208</v>
      </c>
      <c r="H57" s="101">
        <v>2025</v>
      </c>
      <c r="I57" s="101">
        <v>2026</v>
      </c>
      <c r="J57" s="101">
        <v>2027</v>
      </c>
      <c r="K57" s="101">
        <v>2028</v>
      </c>
      <c r="L57" s="101">
        <v>2025</v>
      </c>
      <c r="M57" s="101">
        <v>2026</v>
      </c>
      <c r="N57" s="101">
        <v>2027</v>
      </c>
      <c r="O57" s="101">
        <v>2028</v>
      </c>
      <c r="P57" s="101"/>
      <c r="S57" s="62">
        <v>8</v>
      </c>
      <c r="T57" s="62" t="s">
        <v>165</v>
      </c>
      <c r="U57" s="62">
        <v>1.45</v>
      </c>
      <c r="V57" s="62" t="s">
        <v>208</v>
      </c>
    </row>
    <row r="58" spans="2:22" x14ac:dyDescent="0.25">
      <c r="B58" s="62">
        <v>6</v>
      </c>
      <c r="E58" s="101" t="s">
        <v>163</v>
      </c>
      <c r="F58" s="101"/>
      <c r="G58" s="101" t="s">
        <v>195</v>
      </c>
      <c r="H58" s="101">
        <v>2021</v>
      </c>
      <c r="I58" s="101">
        <v>2021</v>
      </c>
      <c r="J58" s="101">
        <v>2022</v>
      </c>
      <c r="K58" s="101"/>
      <c r="L58" s="101"/>
      <c r="M58" s="101"/>
      <c r="N58" s="101"/>
      <c r="O58" s="101"/>
      <c r="P58" s="101"/>
      <c r="S58" s="62">
        <v>5</v>
      </c>
      <c r="T58" s="62" t="s">
        <v>157</v>
      </c>
      <c r="U58" s="62">
        <v>2.875</v>
      </c>
      <c r="V58" s="62" t="s">
        <v>207</v>
      </c>
    </row>
    <row r="59" spans="2:22" x14ac:dyDescent="0.25">
      <c r="B59" s="62">
        <v>9</v>
      </c>
      <c r="E59" s="101" t="s">
        <v>161</v>
      </c>
      <c r="F59" s="101"/>
      <c r="G59" s="101" t="s">
        <v>196</v>
      </c>
      <c r="H59" s="101">
        <v>2020</v>
      </c>
      <c r="I59" s="101">
        <v>2020</v>
      </c>
      <c r="J59" s="101">
        <v>2021</v>
      </c>
      <c r="K59" s="101">
        <v>2022</v>
      </c>
      <c r="L59" s="101"/>
      <c r="M59" s="101"/>
      <c r="N59" s="101"/>
      <c r="O59" s="101"/>
      <c r="P59" s="101"/>
      <c r="S59" s="62">
        <v>6</v>
      </c>
      <c r="T59" s="62" t="s">
        <v>163</v>
      </c>
      <c r="U59" s="62">
        <v>1.0900000000000001</v>
      </c>
      <c r="V59" s="62" t="s">
        <v>195</v>
      </c>
    </row>
    <row r="60" spans="2:22" x14ac:dyDescent="0.25">
      <c r="B60" s="62">
        <v>6</v>
      </c>
      <c r="E60" s="101" t="s">
        <v>159</v>
      </c>
      <c r="F60" s="101"/>
      <c r="G60" s="101" t="s">
        <v>201</v>
      </c>
      <c r="H60" s="101">
        <v>2021</v>
      </c>
      <c r="I60" s="101">
        <v>2026</v>
      </c>
      <c r="J60" s="101">
        <v>2026</v>
      </c>
      <c r="K60" s="101">
        <v>2027</v>
      </c>
      <c r="L60" s="101">
        <v>2029</v>
      </c>
      <c r="M60" s="101">
        <v>2029</v>
      </c>
      <c r="N60" s="101"/>
      <c r="O60" s="101"/>
      <c r="P60" s="101"/>
      <c r="S60" s="62">
        <v>9</v>
      </c>
      <c r="T60" s="62" t="s">
        <v>155</v>
      </c>
      <c r="U60" s="62">
        <v>1.6379999999999999</v>
      </c>
      <c r="V60" s="62" t="s">
        <v>198</v>
      </c>
    </row>
    <row r="61" spans="2:22" x14ac:dyDescent="0.25">
      <c r="B61" s="62">
        <v>5</v>
      </c>
      <c r="E61" s="101" t="s">
        <v>157</v>
      </c>
      <c r="F61" s="101"/>
      <c r="G61" s="101" t="s">
        <v>207</v>
      </c>
      <c r="H61" s="101">
        <v>2031</v>
      </c>
      <c r="I61" s="101">
        <v>2031</v>
      </c>
      <c r="J61" s="101">
        <v>2032</v>
      </c>
      <c r="K61" s="101">
        <v>2033</v>
      </c>
      <c r="L61" s="101">
        <v>2033</v>
      </c>
      <c r="M61" s="101">
        <v>2034</v>
      </c>
      <c r="N61" s="101"/>
      <c r="O61" s="101"/>
      <c r="P61" s="101"/>
      <c r="S61" s="62">
        <v>6</v>
      </c>
      <c r="T61" s="62" t="s">
        <v>153</v>
      </c>
      <c r="U61" s="62">
        <v>3.84</v>
      </c>
      <c r="V61" s="62" t="s">
        <v>206</v>
      </c>
    </row>
    <row r="62" spans="2:22" x14ac:dyDescent="0.25">
      <c r="B62" s="62">
        <v>9</v>
      </c>
      <c r="E62" s="101" t="s">
        <v>155</v>
      </c>
      <c r="F62" s="101"/>
      <c r="G62" s="101" t="s">
        <v>198</v>
      </c>
      <c r="H62" s="101"/>
      <c r="I62" s="101">
        <v>2023</v>
      </c>
      <c r="J62" s="101"/>
      <c r="K62" s="101">
        <v>2021</v>
      </c>
      <c r="L62" s="101">
        <v>2022</v>
      </c>
      <c r="M62" s="101">
        <v>2025</v>
      </c>
      <c r="N62" s="101">
        <v>2023</v>
      </c>
      <c r="O62" s="101">
        <v>2022</v>
      </c>
      <c r="P62" s="101">
        <v>2026</v>
      </c>
      <c r="S62" s="62">
        <v>9</v>
      </c>
      <c r="T62" s="62" t="s">
        <v>161</v>
      </c>
      <c r="U62" s="62">
        <v>0.79100000000000004</v>
      </c>
      <c r="V62" s="62" t="s">
        <v>196</v>
      </c>
    </row>
    <row r="63" spans="2:22" x14ac:dyDescent="0.25">
      <c r="B63" s="62">
        <v>6</v>
      </c>
      <c r="E63" s="101" t="s">
        <v>153</v>
      </c>
      <c r="F63" s="101"/>
      <c r="G63" s="101" t="s">
        <v>206</v>
      </c>
      <c r="H63" s="101">
        <v>2039</v>
      </c>
      <c r="I63" s="101">
        <v>2041</v>
      </c>
      <c r="J63" s="101">
        <v>2042</v>
      </c>
      <c r="K63" s="101">
        <v>2042</v>
      </c>
      <c r="L63" s="101">
        <v>2043</v>
      </c>
      <c r="M63" s="101">
        <v>2044</v>
      </c>
      <c r="N63" s="101"/>
      <c r="O63" s="101"/>
      <c r="P63" s="101"/>
      <c r="S63" s="62">
        <v>6</v>
      </c>
      <c r="T63" s="62" t="s">
        <v>151</v>
      </c>
      <c r="U63" s="62">
        <v>2.85</v>
      </c>
      <c r="V63" s="62" t="s">
        <v>199</v>
      </c>
    </row>
    <row r="64" spans="2:22" x14ac:dyDescent="0.25">
      <c r="B64" s="62">
        <v>6</v>
      </c>
      <c r="E64" s="101" t="s">
        <v>151</v>
      </c>
      <c r="F64" s="101"/>
      <c r="G64" s="101" t="s">
        <v>199</v>
      </c>
      <c r="H64" s="101">
        <v>2026</v>
      </c>
      <c r="I64" s="101">
        <v>2027</v>
      </c>
      <c r="J64" s="101">
        <v>2028</v>
      </c>
      <c r="K64" s="101">
        <v>2029</v>
      </c>
      <c r="L64" s="101">
        <v>2029</v>
      </c>
      <c r="M64" s="101">
        <v>2030</v>
      </c>
      <c r="N64" s="101"/>
      <c r="O64" s="101"/>
      <c r="P64" s="101"/>
      <c r="S64" s="62">
        <v>6</v>
      </c>
      <c r="T64" s="62" t="s">
        <v>149</v>
      </c>
      <c r="U64" s="62">
        <v>3.5579999999999998</v>
      </c>
      <c r="V64" s="62" t="s">
        <v>205</v>
      </c>
    </row>
    <row r="65" spans="2:29" x14ac:dyDescent="0.25">
      <c r="B65" s="62">
        <v>6</v>
      </c>
      <c r="E65" s="101" t="s">
        <v>149</v>
      </c>
      <c r="F65" s="101"/>
      <c r="G65" s="101" t="s">
        <v>205</v>
      </c>
      <c r="H65" s="101">
        <v>2036</v>
      </c>
      <c r="I65" s="101">
        <v>2037</v>
      </c>
      <c r="J65" s="101">
        <v>2037</v>
      </c>
      <c r="K65" s="101">
        <v>2038</v>
      </c>
      <c r="L65" s="101">
        <v>2040</v>
      </c>
      <c r="M65" s="101">
        <v>2041</v>
      </c>
      <c r="N65" s="101"/>
      <c r="O65" s="101"/>
      <c r="P65" s="101"/>
      <c r="S65" s="62">
        <v>6</v>
      </c>
      <c r="U65" s="62">
        <v>3.843</v>
      </c>
      <c r="V65" s="62" t="s">
        <v>197</v>
      </c>
    </row>
    <row r="66" spans="2:29" x14ac:dyDescent="0.25">
      <c r="B66" s="62">
        <v>3</v>
      </c>
      <c r="E66" s="101" t="s">
        <v>147</v>
      </c>
      <c r="F66" s="101"/>
      <c r="G66" s="101" t="s">
        <v>197</v>
      </c>
      <c r="H66" s="101">
        <v>2046</v>
      </c>
      <c r="I66" s="101">
        <v>2047</v>
      </c>
      <c r="J66" s="101">
        <v>2048</v>
      </c>
      <c r="K66" s="101"/>
      <c r="L66" s="101"/>
      <c r="M66" s="101"/>
      <c r="N66" s="101"/>
      <c r="O66" s="101"/>
      <c r="P66" s="101"/>
      <c r="S66" s="62">
        <v>6</v>
      </c>
      <c r="T66" s="62" t="s">
        <v>143</v>
      </c>
      <c r="U66" s="62">
        <v>3.69</v>
      </c>
      <c r="V66" s="62" t="s">
        <v>204</v>
      </c>
    </row>
    <row r="67" spans="2:29" x14ac:dyDescent="0.25">
      <c r="B67" s="62">
        <v>3</v>
      </c>
      <c r="E67" s="101" t="s">
        <v>145</v>
      </c>
      <c r="F67" s="101"/>
      <c r="G67" s="101"/>
      <c r="H67" s="101"/>
      <c r="I67" s="101"/>
      <c r="J67" s="101"/>
      <c r="K67" s="101">
        <v>2049</v>
      </c>
      <c r="L67" s="101">
        <v>2050</v>
      </c>
      <c r="M67" s="101">
        <v>2051</v>
      </c>
      <c r="N67" s="101"/>
      <c r="O67" s="101"/>
      <c r="P67" s="101"/>
      <c r="S67" s="62">
        <v>6</v>
      </c>
      <c r="T67" s="62" t="s">
        <v>141</v>
      </c>
      <c r="U67" s="62">
        <v>3.45</v>
      </c>
      <c r="V67" s="62" t="s">
        <v>200</v>
      </c>
    </row>
    <row r="68" spans="2:29" x14ac:dyDescent="0.25">
      <c r="B68" s="62">
        <v>6</v>
      </c>
      <c r="E68" s="101" t="s">
        <v>143</v>
      </c>
      <c r="F68" s="101"/>
      <c r="G68" s="101" t="s">
        <v>204</v>
      </c>
      <c r="H68" s="101">
        <v>2038</v>
      </c>
      <c r="I68" s="101">
        <v>2038</v>
      </c>
      <c r="J68" s="101">
        <v>2039</v>
      </c>
      <c r="K68" s="101">
        <v>2040</v>
      </c>
      <c r="L68" s="101">
        <v>2041</v>
      </c>
      <c r="M68" s="101">
        <v>2042</v>
      </c>
      <c r="N68" s="101"/>
      <c r="O68" s="101"/>
      <c r="P68" s="101"/>
      <c r="S68" s="62">
        <v>6</v>
      </c>
      <c r="T68" s="62" t="s">
        <v>139</v>
      </c>
      <c r="U68" s="62">
        <v>3.51</v>
      </c>
      <c r="V68" s="62" t="s">
        <v>202</v>
      </c>
    </row>
    <row r="69" spans="2:29" x14ac:dyDescent="0.25">
      <c r="B69" s="62">
        <v>6</v>
      </c>
      <c r="E69" s="101" t="s">
        <v>141</v>
      </c>
      <c r="F69" s="101"/>
      <c r="G69" s="101" t="s">
        <v>200</v>
      </c>
      <c r="H69" s="101">
        <v>2030</v>
      </c>
      <c r="I69" s="101">
        <v>2031</v>
      </c>
      <c r="J69" s="101">
        <v>2031</v>
      </c>
      <c r="K69" s="101">
        <v>2032</v>
      </c>
      <c r="L69" s="101">
        <v>2033</v>
      </c>
      <c r="M69" s="101">
        <v>2034</v>
      </c>
      <c r="N69" s="101"/>
      <c r="O69" s="101"/>
      <c r="P69" s="101"/>
    </row>
    <row r="70" spans="2:29" x14ac:dyDescent="0.25">
      <c r="B70" s="62">
        <v>6</v>
      </c>
      <c r="E70" s="101" t="s">
        <v>139</v>
      </c>
      <c r="F70" s="101"/>
      <c r="G70" s="101" t="s">
        <v>202</v>
      </c>
      <c r="H70" s="101">
        <v>2035</v>
      </c>
      <c r="I70" s="101">
        <v>2036</v>
      </c>
      <c r="J70" s="101">
        <v>2037</v>
      </c>
      <c r="K70" s="101">
        <v>2037</v>
      </c>
      <c r="L70" s="101">
        <v>2039</v>
      </c>
      <c r="M70" s="101">
        <v>2041</v>
      </c>
      <c r="N70" s="101"/>
      <c r="O70" s="101"/>
      <c r="P70" s="101"/>
    </row>
    <row r="71" spans="2:29" x14ac:dyDescent="0.25">
      <c r="E71" s="101" t="s">
        <v>136</v>
      </c>
      <c r="F71" s="101"/>
      <c r="G71" s="101" t="s">
        <v>203</v>
      </c>
      <c r="H71" s="101">
        <v>2069</v>
      </c>
      <c r="I71" s="101">
        <v>2068</v>
      </c>
      <c r="J71" s="101">
        <v>2067</v>
      </c>
      <c r="K71" s="101">
        <v>2067</v>
      </c>
      <c r="L71" s="101">
        <v>2065</v>
      </c>
      <c r="M71" s="101"/>
      <c r="N71" s="101"/>
      <c r="O71" s="101"/>
      <c r="P71" s="101"/>
    </row>
    <row r="72" spans="2:29" x14ac:dyDescent="0.25">
      <c r="E72" s="101" t="s">
        <v>134</v>
      </c>
      <c r="F72" s="101"/>
      <c r="G72" s="101" t="s">
        <v>209</v>
      </c>
      <c r="H72" s="101">
        <v>2069</v>
      </c>
      <c r="I72" s="101"/>
      <c r="J72" s="101"/>
      <c r="K72" s="101"/>
      <c r="L72" s="101"/>
      <c r="M72" s="101"/>
      <c r="N72" s="101"/>
      <c r="O72" s="101"/>
      <c r="P72" s="101"/>
    </row>
    <row r="73" spans="2:29" x14ac:dyDescent="0.25">
      <c r="R73" s="62" t="s">
        <v>275</v>
      </c>
    </row>
    <row r="74" spans="2:29" x14ac:dyDescent="0.25">
      <c r="E74" s="101" t="s">
        <v>276</v>
      </c>
    </row>
    <row r="75" spans="2:29" x14ac:dyDescent="0.25">
      <c r="G75" s="62" t="s">
        <v>210</v>
      </c>
      <c r="H75" s="62">
        <v>1</v>
      </c>
      <c r="I75" s="62">
        <v>2</v>
      </c>
      <c r="J75" s="62">
        <v>3</v>
      </c>
      <c r="K75" s="62">
        <v>4</v>
      </c>
      <c r="L75" s="62">
        <v>5</v>
      </c>
      <c r="M75" s="62">
        <v>6</v>
      </c>
      <c r="N75" s="62">
        <v>7</v>
      </c>
      <c r="O75" s="62">
        <v>8</v>
      </c>
      <c r="P75" s="62">
        <v>9</v>
      </c>
      <c r="T75" s="62" t="s">
        <v>210</v>
      </c>
      <c r="U75" s="62">
        <v>1</v>
      </c>
      <c r="V75" s="62">
        <v>2</v>
      </c>
      <c r="W75" s="62">
        <v>3</v>
      </c>
      <c r="X75" s="62">
        <v>4</v>
      </c>
      <c r="Y75" s="62">
        <v>5</v>
      </c>
      <c r="Z75" s="62">
        <v>6</v>
      </c>
      <c r="AA75" s="62">
        <v>7</v>
      </c>
      <c r="AB75" s="62">
        <v>8</v>
      </c>
      <c r="AC75" s="62">
        <v>9</v>
      </c>
    </row>
    <row r="76" spans="2:29" x14ac:dyDescent="0.25">
      <c r="E76" s="62" t="s">
        <v>165</v>
      </c>
      <c r="G76" s="62" t="s">
        <v>208</v>
      </c>
      <c r="H76" s="62">
        <v>2021</v>
      </c>
      <c r="I76" s="62">
        <v>2022</v>
      </c>
      <c r="J76" s="62">
        <v>2022</v>
      </c>
      <c r="K76" s="62">
        <v>2023</v>
      </c>
      <c r="L76" s="62">
        <v>2024</v>
      </c>
      <c r="M76" s="62">
        <v>2024</v>
      </c>
      <c r="N76" s="62">
        <v>2025</v>
      </c>
      <c r="O76" s="62">
        <v>2025</v>
      </c>
      <c r="R76" s="62" t="s">
        <v>165</v>
      </c>
      <c r="T76" s="62" t="s">
        <v>208</v>
      </c>
      <c r="U76" s="62">
        <v>2021</v>
      </c>
      <c r="V76" s="62">
        <v>2022</v>
      </c>
      <c r="W76" s="62">
        <v>2022</v>
      </c>
      <c r="X76" s="62">
        <v>2023</v>
      </c>
      <c r="Y76" s="62">
        <v>2024</v>
      </c>
      <c r="Z76" s="62">
        <v>2024</v>
      </c>
      <c r="AA76" s="62">
        <v>2025</v>
      </c>
      <c r="AB76" s="62">
        <v>2025</v>
      </c>
    </row>
    <row r="77" spans="2:29" x14ac:dyDescent="0.25">
      <c r="E77" s="62" t="s">
        <v>163</v>
      </c>
      <c r="G77" s="62" t="s">
        <v>195</v>
      </c>
      <c r="H77" s="62">
        <v>2026</v>
      </c>
      <c r="I77" s="62">
        <v>2026</v>
      </c>
      <c r="J77" s="62">
        <v>2026</v>
      </c>
      <c r="K77" s="62" t="s">
        <v>277</v>
      </c>
      <c r="L77" s="62" t="s">
        <v>277</v>
      </c>
      <c r="M77" s="62" t="s">
        <v>277</v>
      </c>
      <c r="N77" s="62" t="s">
        <v>277</v>
      </c>
      <c r="O77" s="62" t="s">
        <v>277</v>
      </c>
      <c r="R77" s="62" t="s">
        <v>163</v>
      </c>
      <c r="T77" s="62" t="s">
        <v>195</v>
      </c>
      <c r="U77" s="62">
        <v>2026</v>
      </c>
      <c r="V77" s="62">
        <v>2026</v>
      </c>
      <c r="W77" s="62">
        <v>2026</v>
      </c>
      <c r="X77" s="62" t="s">
        <v>277</v>
      </c>
      <c r="Y77" s="62" t="s">
        <v>277</v>
      </c>
      <c r="Z77" s="62" t="s">
        <v>277</v>
      </c>
      <c r="AA77" s="62" t="s">
        <v>277</v>
      </c>
      <c r="AB77" s="62" t="s">
        <v>277</v>
      </c>
    </row>
    <row r="78" spans="2:29" x14ac:dyDescent="0.25">
      <c r="E78" s="62" t="s">
        <v>161</v>
      </c>
      <c r="G78" s="62" t="s">
        <v>196</v>
      </c>
      <c r="H78" s="62">
        <v>2023</v>
      </c>
      <c r="I78" s="62" t="s">
        <v>277</v>
      </c>
      <c r="J78" s="62" t="s">
        <v>277</v>
      </c>
      <c r="K78" s="62" t="s">
        <v>277</v>
      </c>
      <c r="L78" s="62" t="s">
        <v>277</v>
      </c>
      <c r="M78" s="62" t="s">
        <v>277</v>
      </c>
      <c r="N78" s="62" t="s">
        <v>277</v>
      </c>
      <c r="O78" s="62" t="s">
        <v>277</v>
      </c>
      <c r="R78" s="62" t="s">
        <v>161</v>
      </c>
      <c r="T78" s="62" t="s">
        <v>196</v>
      </c>
      <c r="U78" s="62">
        <v>2020</v>
      </c>
      <c r="V78" s="62">
        <v>2020</v>
      </c>
      <c r="W78" s="62">
        <v>2020</v>
      </c>
      <c r="X78" s="62">
        <v>2023</v>
      </c>
      <c r="Y78" s="62" t="s">
        <v>277</v>
      </c>
      <c r="Z78" s="62" t="s">
        <v>277</v>
      </c>
      <c r="AA78" s="62" t="s">
        <v>277</v>
      </c>
      <c r="AB78" s="62" t="s">
        <v>277</v>
      </c>
    </row>
    <row r="79" spans="2:29" x14ac:dyDescent="0.25">
      <c r="E79" s="62" t="s">
        <v>159</v>
      </c>
      <c r="G79" s="62" t="s">
        <v>201</v>
      </c>
      <c r="H79" s="62">
        <v>2023</v>
      </c>
      <c r="I79" s="62">
        <v>2026</v>
      </c>
      <c r="J79" s="62">
        <v>2026</v>
      </c>
      <c r="K79" s="62">
        <v>2028</v>
      </c>
      <c r="L79" s="62">
        <v>2029</v>
      </c>
      <c r="M79" s="62">
        <v>2030</v>
      </c>
      <c r="N79" s="62" t="s">
        <v>277</v>
      </c>
      <c r="O79" s="62" t="s">
        <v>277</v>
      </c>
      <c r="R79" s="62" t="s">
        <v>159</v>
      </c>
      <c r="T79" s="62" t="s">
        <v>201</v>
      </c>
      <c r="U79" s="62">
        <v>2023</v>
      </c>
      <c r="V79" s="62">
        <v>2026</v>
      </c>
      <c r="W79" s="62">
        <v>2026</v>
      </c>
      <c r="X79" s="62">
        <v>2028</v>
      </c>
      <c r="Y79" s="62">
        <v>2029</v>
      </c>
      <c r="Z79" s="62">
        <v>2030</v>
      </c>
      <c r="AA79" s="62" t="s">
        <v>277</v>
      </c>
      <c r="AB79" s="62" t="s">
        <v>277</v>
      </c>
    </row>
    <row r="80" spans="2:29" x14ac:dyDescent="0.25">
      <c r="E80" s="62" t="s">
        <v>157</v>
      </c>
      <c r="G80" s="62" t="s">
        <v>207</v>
      </c>
      <c r="H80" s="62">
        <v>2031</v>
      </c>
      <c r="I80" s="62">
        <v>2031</v>
      </c>
      <c r="J80" s="62">
        <v>2033</v>
      </c>
      <c r="K80" s="62">
        <v>2033</v>
      </c>
      <c r="L80" s="62">
        <v>2034</v>
      </c>
      <c r="M80" s="62" t="s">
        <v>277</v>
      </c>
      <c r="N80" s="62" t="s">
        <v>277</v>
      </c>
      <c r="O80" s="62" t="s">
        <v>277</v>
      </c>
      <c r="R80" s="62" t="s">
        <v>157</v>
      </c>
      <c r="T80" s="62" t="s">
        <v>207</v>
      </c>
      <c r="U80" s="62">
        <v>2031</v>
      </c>
      <c r="V80" s="62">
        <v>2031</v>
      </c>
      <c r="W80" s="62">
        <v>2033</v>
      </c>
      <c r="X80" s="62">
        <v>2033</v>
      </c>
      <c r="Y80" s="62">
        <v>2034</v>
      </c>
      <c r="Z80" s="62" t="s">
        <v>277</v>
      </c>
      <c r="AA80" s="62" t="s">
        <v>277</v>
      </c>
      <c r="AB80" s="62" t="s">
        <v>277</v>
      </c>
    </row>
    <row r="81" spans="5:51" x14ac:dyDescent="0.25">
      <c r="E81" s="62" t="s">
        <v>155</v>
      </c>
      <c r="G81" s="62" t="s">
        <v>198</v>
      </c>
      <c r="H81" s="62">
        <v>2026</v>
      </c>
      <c r="I81" s="62">
        <v>2026</v>
      </c>
      <c r="J81" s="62">
        <v>2026</v>
      </c>
      <c r="K81" s="62">
        <v>2026</v>
      </c>
      <c r="L81" s="62">
        <v>2026</v>
      </c>
      <c r="M81" s="62">
        <v>2026</v>
      </c>
      <c r="N81" s="62" t="s">
        <v>277</v>
      </c>
      <c r="O81" s="62" t="s">
        <v>277</v>
      </c>
      <c r="R81" s="62" t="s">
        <v>155</v>
      </c>
      <c r="T81" s="62" t="s">
        <v>198</v>
      </c>
      <c r="U81" s="62">
        <v>2026</v>
      </c>
      <c r="V81" s="62">
        <v>2026</v>
      </c>
      <c r="W81" s="62">
        <v>2026</v>
      </c>
      <c r="X81" s="62">
        <v>2026</v>
      </c>
      <c r="Y81" s="62">
        <v>2026</v>
      </c>
      <c r="Z81" s="62">
        <v>2026</v>
      </c>
      <c r="AA81" s="62" t="s">
        <v>277</v>
      </c>
      <c r="AB81" s="62" t="s">
        <v>277</v>
      </c>
    </row>
    <row r="82" spans="5:51" x14ac:dyDescent="0.25">
      <c r="E82" s="62" t="s">
        <v>153</v>
      </c>
      <c r="G82" s="62" t="s">
        <v>206</v>
      </c>
      <c r="H82" s="62">
        <v>2039</v>
      </c>
      <c r="I82" s="62">
        <v>2042</v>
      </c>
      <c r="J82" s="62">
        <v>2042</v>
      </c>
      <c r="K82" s="62">
        <v>2042</v>
      </c>
      <c r="L82" s="62">
        <v>2043</v>
      </c>
      <c r="M82" s="62">
        <v>2044</v>
      </c>
      <c r="N82" s="62" t="s">
        <v>277</v>
      </c>
      <c r="O82" s="62" t="s">
        <v>277</v>
      </c>
      <c r="R82" s="62" t="s">
        <v>153</v>
      </c>
      <c r="T82" s="62" t="s">
        <v>206</v>
      </c>
      <c r="U82" s="62">
        <v>2039</v>
      </c>
      <c r="V82" s="62">
        <v>2042</v>
      </c>
      <c r="W82" s="62">
        <v>2042</v>
      </c>
      <c r="X82" s="62">
        <v>2042</v>
      </c>
      <c r="Y82" s="62">
        <v>2043</v>
      </c>
      <c r="Z82" s="62">
        <v>2044</v>
      </c>
      <c r="AA82" s="62" t="s">
        <v>277</v>
      </c>
      <c r="AB82" s="62" t="s">
        <v>277</v>
      </c>
    </row>
    <row r="83" spans="5:51" x14ac:dyDescent="0.25">
      <c r="E83" s="62" t="s">
        <v>151</v>
      </c>
      <c r="G83" s="62" t="s">
        <v>199</v>
      </c>
      <c r="H83" s="62">
        <v>2026</v>
      </c>
      <c r="I83" s="62">
        <v>2027</v>
      </c>
      <c r="J83" s="62">
        <v>2028</v>
      </c>
      <c r="K83" s="62">
        <v>2029</v>
      </c>
      <c r="L83" s="62">
        <v>2029</v>
      </c>
      <c r="M83" s="62">
        <v>2030</v>
      </c>
      <c r="N83" s="62" t="s">
        <v>277</v>
      </c>
      <c r="O83" s="62" t="s">
        <v>277</v>
      </c>
      <c r="R83" s="62" t="s">
        <v>151</v>
      </c>
      <c r="T83" s="62" t="s">
        <v>199</v>
      </c>
      <c r="U83" s="62">
        <v>2026</v>
      </c>
      <c r="V83" s="62">
        <v>2027</v>
      </c>
      <c r="W83" s="62">
        <v>2028</v>
      </c>
      <c r="X83" s="62">
        <v>2029</v>
      </c>
      <c r="Y83" s="62">
        <v>2029</v>
      </c>
      <c r="Z83" s="62">
        <v>2030</v>
      </c>
      <c r="AA83" s="62" t="s">
        <v>277</v>
      </c>
      <c r="AB83" s="62" t="s">
        <v>277</v>
      </c>
    </row>
    <row r="84" spans="5:51" x14ac:dyDescent="0.25">
      <c r="E84" s="62" t="s">
        <v>149</v>
      </c>
      <c r="G84" s="62" t="s">
        <v>205</v>
      </c>
      <c r="H84" s="62">
        <v>2036</v>
      </c>
      <c r="I84" s="62">
        <v>2037</v>
      </c>
      <c r="J84" s="62">
        <v>2037</v>
      </c>
      <c r="K84" s="62">
        <v>2038</v>
      </c>
      <c r="L84" s="62">
        <v>2040</v>
      </c>
      <c r="M84" s="62">
        <v>2041</v>
      </c>
      <c r="N84" s="62" t="s">
        <v>277</v>
      </c>
      <c r="O84" s="62" t="s">
        <v>277</v>
      </c>
      <c r="R84" s="62" t="s">
        <v>149</v>
      </c>
      <c r="T84" s="62" t="s">
        <v>205</v>
      </c>
      <c r="U84" s="62">
        <v>2036</v>
      </c>
      <c r="V84" s="62">
        <v>2037</v>
      </c>
      <c r="W84" s="62">
        <v>2037</v>
      </c>
      <c r="X84" s="62">
        <v>2038</v>
      </c>
      <c r="Y84" s="62">
        <v>2040</v>
      </c>
      <c r="Z84" s="62">
        <v>2041</v>
      </c>
      <c r="AA84" s="62" t="s">
        <v>277</v>
      </c>
      <c r="AB84" s="62" t="s">
        <v>277</v>
      </c>
    </row>
    <row r="85" spans="5:51" x14ac:dyDescent="0.25">
      <c r="E85" s="62" t="s">
        <v>147</v>
      </c>
      <c r="G85" s="62" t="s">
        <v>197</v>
      </c>
      <c r="H85" s="62">
        <v>2046</v>
      </c>
      <c r="I85" s="62">
        <v>2047</v>
      </c>
      <c r="J85" s="62">
        <v>2048</v>
      </c>
      <c r="R85" s="62" t="s">
        <v>147</v>
      </c>
      <c r="T85" s="62" t="s">
        <v>197</v>
      </c>
      <c r="U85" s="62">
        <v>2046</v>
      </c>
      <c r="V85" s="62">
        <v>2047</v>
      </c>
      <c r="W85" s="62">
        <v>2048</v>
      </c>
    </row>
    <row r="86" spans="5:51" x14ac:dyDescent="0.25">
      <c r="E86" s="62" t="s">
        <v>145</v>
      </c>
      <c r="K86" s="62">
        <v>2049</v>
      </c>
      <c r="L86" s="62">
        <v>2050</v>
      </c>
      <c r="M86" s="62">
        <v>2051</v>
      </c>
      <c r="R86" s="62" t="s">
        <v>145</v>
      </c>
      <c r="X86" s="62">
        <v>2049</v>
      </c>
      <c r="Y86" s="62">
        <v>2050</v>
      </c>
      <c r="Z86" s="62">
        <v>2051</v>
      </c>
    </row>
    <row r="87" spans="5:51" x14ac:dyDescent="0.25">
      <c r="E87" s="62" t="s">
        <v>143</v>
      </c>
      <c r="G87" s="62" t="s">
        <v>204</v>
      </c>
      <c r="H87" s="62">
        <v>2038</v>
      </c>
      <c r="I87" s="62">
        <v>2038</v>
      </c>
      <c r="J87" s="62">
        <v>2039</v>
      </c>
      <c r="K87" s="62">
        <v>2040</v>
      </c>
      <c r="L87" s="62">
        <v>2041</v>
      </c>
      <c r="M87" s="62">
        <v>2042</v>
      </c>
      <c r="R87" s="62" t="s">
        <v>143</v>
      </c>
      <c r="T87" s="62" t="s">
        <v>204</v>
      </c>
      <c r="U87" s="62">
        <v>2038</v>
      </c>
      <c r="V87" s="62">
        <v>2038</v>
      </c>
      <c r="W87" s="62">
        <v>2039</v>
      </c>
      <c r="X87" s="62">
        <v>2040</v>
      </c>
      <c r="Y87" s="62">
        <v>2041</v>
      </c>
      <c r="Z87" s="62">
        <v>2042</v>
      </c>
    </row>
    <row r="88" spans="5:51" x14ac:dyDescent="0.25">
      <c r="E88" s="62" t="s">
        <v>141</v>
      </c>
      <c r="G88" s="62" t="s">
        <v>200</v>
      </c>
      <c r="H88" s="62">
        <v>2030</v>
      </c>
      <c r="I88" s="62">
        <v>2031</v>
      </c>
      <c r="J88" s="62">
        <v>2031</v>
      </c>
      <c r="K88" s="62">
        <v>2032</v>
      </c>
      <c r="L88" s="62">
        <v>2033</v>
      </c>
      <c r="M88" s="62">
        <v>2034</v>
      </c>
      <c r="R88" s="62" t="s">
        <v>141</v>
      </c>
      <c r="T88" s="62" t="s">
        <v>200</v>
      </c>
      <c r="U88" s="62">
        <v>2030</v>
      </c>
      <c r="V88" s="62">
        <v>2031</v>
      </c>
      <c r="W88" s="62">
        <v>2031</v>
      </c>
      <c r="X88" s="62">
        <v>2032</v>
      </c>
      <c r="Y88" s="62">
        <v>2033</v>
      </c>
      <c r="Z88" s="62">
        <v>2034</v>
      </c>
    </row>
    <row r="89" spans="5:51" x14ac:dyDescent="0.25">
      <c r="E89" s="62" t="s">
        <v>139</v>
      </c>
      <c r="G89" s="62" t="s">
        <v>202</v>
      </c>
      <c r="H89" s="62">
        <v>2035</v>
      </c>
      <c r="I89" s="62">
        <v>2036</v>
      </c>
      <c r="J89" s="62">
        <v>2037</v>
      </c>
      <c r="K89" s="62">
        <v>2037</v>
      </c>
      <c r="L89" s="62">
        <v>2039</v>
      </c>
      <c r="M89" s="62">
        <v>2041</v>
      </c>
      <c r="R89" s="62" t="s">
        <v>139</v>
      </c>
      <c r="T89" s="62" t="s">
        <v>202</v>
      </c>
      <c r="U89" s="62">
        <v>2035</v>
      </c>
      <c r="V89" s="62">
        <v>2036</v>
      </c>
      <c r="W89" s="62">
        <v>2037</v>
      </c>
      <c r="X89" s="62">
        <v>2037</v>
      </c>
      <c r="Y89" s="62">
        <v>2039</v>
      </c>
      <c r="Z89" s="62">
        <v>2041</v>
      </c>
    </row>
    <row r="96" spans="5:51" x14ac:dyDescent="0.25">
      <c r="E96" s="101" t="s">
        <v>278</v>
      </c>
      <c r="F96" s="101"/>
      <c r="G96" s="101"/>
      <c r="H96" s="101"/>
      <c r="I96" s="101"/>
      <c r="J96" s="101"/>
      <c r="K96" s="101"/>
      <c r="L96" s="101"/>
      <c r="M96" s="101"/>
      <c r="N96" s="101"/>
      <c r="O96" s="101"/>
      <c r="P96" s="101"/>
      <c r="Q96" s="101"/>
      <c r="R96" s="101"/>
      <c r="S96" s="101"/>
      <c r="T96" s="101"/>
      <c r="U96" s="101"/>
      <c r="V96" s="101"/>
      <c r="W96" s="101"/>
      <c r="X96" s="101"/>
      <c r="Y96" s="101"/>
      <c r="Z96" s="101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101"/>
      <c r="AQ96" s="101"/>
      <c r="AR96" s="101"/>
      <c r="AS96" s="101"/>
      <c r="AT96" s="101"/>
      <c r="AU96" s="101"/>
      <c r="AV96" s="101"/>
      <c r="AW96" s="101"/>
      <c r="AX96" s="101"/>
      <c r="AY96" s="101"/>
    </row>
    <row r="97" spans="5:51" x14ac:dyDescent="0.25">
      <c r="E97" s="101"/>
      <c r="F97" s="101"/>
      <c r="G97" s="101"/>
      <c r="H97" s="101"/>
      <c r="I97" s="101"/>
      <c r="J97" s="101"/>
      <c r="K97" s="101"/>
      <c r="L97" s="101"/>
      <c r="M97" s="101"/>
      <c r="N97" s="101"/>
      <c r="O97" s="101"/>
      <c r="P97" s="101"/>
      <c r="Q97" s="101"/>
      <c r="R97" s="101"/>
      <c r="S97" s="101"/>
      <c r="T97" s="101"/>
      <c r="U97" s="101"/>
      <c r="V97" s="101"/>
      <c r="W97" s="101"/>
      <c r="X97" s="101"/>
      <c r="Y97" s="101"/>
      <c r="Z97" s="101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101"/>
      <c r="AQ97" s="101"/>
      <c r="AR97" s="101"/>
      <c r="AS97" s="101"/>
      <c r="AT97" s="101"/>
      <c r="AU97" s="101"/>
      <c r="AV97" s="101"/>
      <c r="AW97" s="101"/>
      <c r="AX97" s="101"/>
      <c r="AY97" s="101"/>
    </row>
    <row r="98" spans="5:51" x14ac:dyDescent="0.25">
      <c r="E98" s="101"/>
      <c r="F98" s="101"/>
      <c r="G98" s="101" t="s">
        <v>210</v>
      </c>
      <c r="H98" s="101">
        <v>1</v>
      </c>
      <c r="I98" s="101">
        <v>2</v>
      </c>
      <c r="J98" s="101">
        <v>3</v>
      </c>
      <c r="K98" s="101">
        <v>4</v>
      </c>
      <c r="L98" s="101">
        <v>5</v>
      </c>
      <c r="M98" s="101">
        <v>6</v>
      </c>
      <c r="N98" s="101">
        <v>7</v>
      </c>
      <c r="O98" s="101">
        <v>8</v>
      </c>
      <c r="P98" s="101">
        <v>9</v>
      </c>
      <c r="Q98" s="101" t="s">
        <v>43</v>
      </c>
      <c r="R98" s="101">
        <v>2019</v>
      </c>
      <c r="S98" s="101">
        <v>2020</v>
      </c>
      <c r="T98" s="101">
        <v>2021</v>
      </c>
      <c r="U98" s="101">
        <v>2022</v>
      </c>
      <c r="V98" s="101">
        <v>2023</v>
      </c>
      <c r="W98" s="101">
        <v>2024</v>
      </c>
      <c r="X98" s="101">
        <v>2025</v>
      </c>
      <c r="Y98" s="101">
        <v>2026</v>
      </c>
      <c r="Z98" s="101">
        <v>2027</v>
      </c>
      <c r="AA98" s="101">
        <v>2028</v>
      </c>
      <c r="AB98" s="101">
        <v>2029</v>
      </c>
      <c r="AC98" s="101">
        <v>2030</v>
      </c>
      <c r="AD98" s="101">
        <v>2031</v>
      </c>
      <c r="AE98" s="101">
        <v>2032</v>
      </c>
      <c r="AF98" s="101">
        <v>2033</v>
      </c>
      <c r="AG98" s="101">
        <v>2034</v>
      </c>
      <c r="AH98" s="101">
        <v>2035</v>
      </c>
      <c r="AI98" s="101">
        <v>2036</v>
      </c>
      <c r="AJ98" s="101">
        <v>2037</v>
      </c>
      <c r="AK98" s="101">
        <v>2038</v>
      </c>
      <c r="AL98" s="101">
        <v>2039</v>
      </c>
      <c r="AM98" s="101">
        <v>2040</v>
      </c>
      <c r="AN98" s="101">
        <v>2041</v>
      </c>
      <c r="AO98" s="101">
        <v>2042</v>
      </c>
      <c r="AP98" s="101">
        <v>2043</v>
      </c>
      <c r="AQ98" s="101">
        <v>2044</v>
      </c>
      <c r="AR98" s="101">
        <v>2045</v>
      </c>
      <c r="AS98" s="101">
        <v>2046</v>
      </c>
      <c r="AT98" s="101">
        <v>2047</v>
      </c>
      <c r="AU98" s="101">
        <v>2048</v>
      </c>
      <c r="AV98" s="101">
        <v>2049</v>
      </c>
      <c r="AW98" s="101">
        <v>2050</v>
      </c>
      <c r="AX98" s="101"/>
      <c r="AY98" s="101"/>
    </row>
    <row r="99" spans="5:51" x14ac:dyDescent="0.25">
      <c r="E99" s="101" t="s">
        <v>165</v>
      </c>
      <c r="F99" s="101"/>
      <c r="G99" s="101" t="s">
        <v>208</v>
      </c>
      <c r="H99" s="101">
        <v>2025</v>
      </c>
      <c r="I99" s="101">
        <v>2026</v>
      </c>
      <c r="J99" s="101">
        <v>2027</v>
      </c>
      <c r="K99" s="101">
        <v>2028</v>
      </c>
      <c r="L99" s="101">
        <v>2025</v>
      </c>
      <c r="M99" s="101">
        <v>2026</v>
      </c>
      <c r="N99" s="101">
        <v>2027</v>
      </c>
      <c r="O99" s="101">
        <v>2028</v>
      </c>
      <c r="P99" s="101"/>
      <c r="Q99" s="101">
        <f t="shared" ref="Q99:Q112" si="35">COUNT(H99:P99)</f>
        <v>8</v>
      </c>
      <c r="R99" s="101">
        <v>1.4810000000000001</v>
      </c>
      <c r="S99" s="101">
        <f>COUNTIF($H99:$P99,S$98)*-$R99/$Q99+R99</f>
        <v>1.4810000000000001</v>
      </c>
      <c r="T99" s="101">
        <f t="shared" ref="T99:AI99" si="36">COUNTIF($H99:$P99,T$98)*-$R99/$Q99+S99</f>
        <v>1.4810000000000001</v>
      </c>
      <c r="U99" s="101">
        <f t="shared" si="36"/>
        <v>1.4810000000000001</v>
      </c>
      <c r="V99" s="101">
        <f t="shared" si="36"/>
        <v>1.4810000000000001</v>
      </c>
      <c r="W99" s="101">
        <f t="shared" si="36"/>
        <v>1.4810000000000001</v>
      </c>
      <c r="X99" s="101">
        <f t="shared" si="36"/>
        <v>1.1107500000000001</v>
      </c>
      <c r="Y99" s="101">
        <f t="shared" si="36"/>
        <v>0.74050000000000016</v>
      </c>
      <c r="Z99" s="101">
        <f t="shared" si="36"/>
        <v>0.37025000000000013</v>
      </c>
      <c r="AA99" s="101">
        <f t="shared" si="36"/>
        <v>0</v>
      </c>
      <c r="AB99" s="101">
        <f t="shared" si="36"/>
        <v>0</v>
      </c>
      <c r="AC99" s="101">
        <f t="shared" si="36"/>
        <v>0</v>
      </c>
      <c r="AD99" s="101">
        <f t="shared" si="36"/>
        <v>0</v>
      </c>
      <c r="AE99" s="101">
        <f t="shared" si="36"/>
        <v>0</v>
      </c>
      <c r="AF99" s="101">
        <f t="shared" si="36"/>
        <v>0</v>
      </c>
      <c r="AG99" s="101">
        <f t="shared" si="36"/>
        <v>0</v>
      </c>
      <c r="AH99" s="101">
        <f t="shared" si="36"/>
        <v>0</v>
      </c>
      <c r="AI99" s="101">
        <f t="shared" si="36"/>
        <v>0</v>
      </c>
      <c r="AJ99" s="101">
        <f t="shared" ref="AI99:AW112" si="37">COUNTIF($H99:$P99,AJ$98)*-$R99/$Q99+AI99</f>
        <v>0</v>
      </c>
      <c r="AK99" s="101">
        <f t="shared" si="37"/>
        <v>0</v>
      </c>
      <c r="AL99" s="101">
        <f t="shared" si="37"/>
        <v>0</v>
      </c>
      <c r="AM99" s="101">
        <f t="shared" si="37"/>
        <v>0</v>
      </c>
      <c r="AN99" s="101">
        <f t="shared" si="37"/>
        <v>0</v>
      </c>
      <c r="AO99" s="101">
        <f t="shared" si="37"/>
        <v>0</v>
      </c>
      <c r="AP99" s="101">
        <f t="shared" si="37"/>
        <v>0</v>
      </c>
      <c r="AQ99" s="101">
        <f t="shared" si="37"/>
        <v>0</v>
      </c>
      <c r="AR99" s="101">
        <f t="shared" si="37"/>
        <v>0</v>
      </c>
      <c r="AS99" s="101">
        <f t="shared" si="37"/>
        <v>0</v>
      </c>
      <c r="AT99" s="101">
        <f t="shared" si="37"/>
        <v>0</v>
      </c>
      <c r="AU99" s="101">
        <f t="shared" si="37"/>
        <v>0</v>
      </c>
      <c r="AV99" s="101">
        <f t="shared" si="37"/>
        <v>0</v>
      </c>
      <c r="AW99" s="101">
        <f t="shared" si="37"/>
        <v>0</v>
      </c>
      <c r="AX99" s="101"/>
      <c r="AY99" s="101"/>
    </row>
    <row r="100" spans="5:51" x14ac:dyDescent="0.25">
      <c r="E100" s="101" t="s">
        <v>163</v>
      </c>
      <c r="F100" s="101"/>
      <c r="G100" s="101" t="s">
        <v>195</v>
      </c>
      <c r="H100" s="101">
        <v>2021</v>
      </c>
      <c r="I100" s="101">
        <v>2021</v>
      </c>
      <c r="J100" s="101">
        <v>2022</v>
      </c>
      <c r="K100" s="101"/>
      <c r="L100" s="101"/>
      <c r="M100" s="101"/>
      <c r="N100" s="101"/>
      <c r="O100" s="101"/>
      <c r="P100" s="101"/>
      <c r="Q100" s="101">
        <f t="shared" si="35"/>
        <v>3</v>
      </c>
      <c r="R100" s="101">
        <v>0.56999999999999995</v>
      </c>
      <c r="S100" s="101">
        <f t="shared" ref="S100:AH112" si="38">COUNTIF($H100:$P100,S$98)*-$R100/$Q100+R100</f>
        <v>0.56999999999999995</v>
      </c>
      <c r="T100" s="101">
        <f t="shared" si="38"/>
        <v>0.19</v>
      </c>
      <c r="U100" s="101">
        <f t="shared" si="38"/>
        <v>0</v>
      </c>
      <c r="V100" s="101">
        <f t="shared" si="38"/>
        <v>0</v>
      </c>
      <c r="W100" s="101">
        <f t="shared" si="38"/>
        <v>0</v>
      </c>
      <c r="X100" s="101">
        <f t="shared" si="38"/>
        <v>0</v>
      </c>
      <c r="Y100" s="101">
        <f t="shared" si="38"/>
        <v>0</v>
      </c>
      <c r="Z100" s="101">
        <f t="shared" si="38"/>
        <v>0</v>
      </c>
      <c r="AA100" s="101">
        <f t="shared" si="38"/>
        <v>0</v>
      </c>
      <c r="AB100" s="101">
        <f t="shared" si="38"/>
        <v>0</v>
      </c>
      <c r="AC100" s="101">
        <f t="shared" si="38"/>
        <v>0</v>
      </c>
      <c r="AD100" s="101">
        <f t="shared" si="38"/>
        <v>0</v>
      </c>
      <c r="AE100" s="101">
        <f t="shared" si="38"/>
        <v>0</v>
      </c>
      <c r="AF100" s="101">
        <f t="shared" si="38"/>
        <v>0</v>
      </c>
      <c r="AG100" s="101">
        <f t="shared" si="38"/>
        <v>0</v>
      </c>
      <c r="AH100" s="101">
        <f t="shared" si="38"/>
        <v>0</v>
      </c>
      <c r="AI100" s="101">
        <f t="shared" si="37"/>
        <v>0</v>
      </c>
      <c r="AJ100" s="101">
        <f t="shared" si="37"/>
        <v>0</v>
      </c>
      <c r="AK100" s="101">
        <f t="shared" si="37"/>
        <v>0</v>
      </c>
      <c r="AL100" s="101">
        <f t="shared" si="37"/>
        <v>0</v>
      </c>
      <c r="AM100" s="101">
        <f t="shared" si="37"/>
        <v>0</v>
      </c>
      <c r="AN100" s="101">
        <f t="shared" si="37"/>
        <v>0</v>
      </c>
      <c r="AO100" s="101">
        <f t="shared" si="37"/>
        <v>0</v>
      </c>
      <c r="AP100" s="101">
        <f t="shared" si="37"/>
        <v>0</v>
      </c>
      <c r="AQ100" s="101">
        <f t="shared" si="37"/>
        <v>0</v>
      </c>
      <c r="AR100" s="101">
        <f t="shared" si="37"/>
        <v>0</v>
      </c>
      <c r="AS100" s="101">
        <f t="shared" si="37"/>
        <v>0</v>
      </c>
      <c r="AT100" s="101">
        <f t="shared" si="37"/>
        <v>0</v>
      </c>
      <c r="AU100" s="101">
        <f t="shared" si="37"/>
        <v>0</v>
      </c>
      <c r="AV100" s="101">
        <f t="shared" si="37"/>
        <v>0</v>
      </c>
      <c r="AW100" s="101">
        <f t="shared" si="37"/>
        <v>0</v>
      </c>
      <c r="AX100" s="101"/>
      <c r="AY100" s="101"/>
    </row>
    <row r="101" spans="5:51" x14ac:dyDescent="0.25">
      <c r="E101" s="101" t="s">
        <v>161</v>
      </c>
      <c r="F101" s="101"/>
      <c r="G101" s="101" t="s">
        <v>196</v>
      </c>
      <c r="H101" s="101">
        <v>2020</v>
      </c>
      <c r="I101" s="101">
        <v>2020</v>
      </c>
      <c r="J101" s="101">
        <v>2021</v>
      </c>
      <c r="K101" s="101">
        <v>2022</v>
      </c>
      <c r="L101" s="101"/>
      <c r="M101" s="101"/>
      <c r="N101" s="101"/>
      <c r="O101" s="101"/>
      <c r="P101" s="101"/>
      <c r="Q101" s="101">
        <f t="shared" si="35"/>
        <v>4</v>
      </c>
      <c r="R101" s="101">
        <v>0.41</v>
      </c>
      <c r="S101" s="101">
        <f t="shared" si="38"/>
        <v>0.20499999999999999</v>
      </c>
      <c r="T101" s="101">
        <f t="shared" si="38"/>
        <v>0.10249999999999999</v>
      </c>
      <c r="U101" s="101">
        <f t="shared" si="38"/>
        <v>0</v>
      </c>
      <c r="V101" s="101">
        <f t="shared" si="38"/>
        <v>0</v>
      </c>
      <c r="W101" s="101">
        <f t="shared" si="38"/>
        <v>0</v>
      </c>
      <c r="X101" s="101">
        <f t="shared" si="38"/>
        <v>0</v>
      </c>
      <c r="Y101" s="101">
        <f t="shared" si="38"/>
        <v>0</v>
      </c>
      <c r="Z101" s="101">
        <f t="shared" si="38"/>
        <v>0</v>
      </c>
      <c r="AA101" s="101">
        <f t="shared" si="38"/>
        <v>0</v>
      </c>
      <c r="AB101" s="101">
        <f t="shared" si="38"/>
        <v>0</v>
      </c>
      <c r="AC101" s="101">
        <f t="shared" si="38"/>
        <v>0</v>
      </c>
      <c r="AD101" s="101">
        <f t="shared" si="38"/>
        <v>0</v>
      </c>
      <c r="AE101" s="101">
        <f t="shared" si="38"/>
        <v>0</v>
      </c>
      <c r="AF101" s="101">
        <f t="shared" si="38"/>
        <v>0</v>
      </c>
      <c r="AG101" s="101">
        <f t="shared" si="38"/>
        <v>0</v>
      </c>
      <c r="AH101" s="101">
        <f t="shared" si="38"/>
        <v>0</v>
      </c>
      <c r="AI101" s="101">
        <f t="shared" si="37"/>
        <v>0</v>
      </c>
      <c r="AJ101" s="101">
        <f t="shared" si="37"/>
        <v>0</v>
      </c>
      <c r="AK101" s="101">
        <f t="shared" si="37"/>
        <v>0</v>
      </c>
      <c r="AL101" s="101">
        <f t="shared" si="37"/>
        <v>0</v>
      </c>
      <c r="AM101" s="101">
        <f t="shared" si="37"/>
        <v>0</v>
      </c>
      <c r="AN101" s="101">
        <f t="shared" si="37"/>
        <v>0</v>
      </c>
      <c r="AO101" s="101">
        <f t="shared" si="37"/>
        <v>0</v>
      </c>
      <c r="AP101" s="101">
        <f t="shared" si="37"/>
        <v>0</v>
      </c>
      <c r="AQ101" s="101">
        <f t="shared" si="37"/>
        <v>0</v>
      </c>
      <c r="AR101" s="101">
        <f t="shared" si="37"/>
        <v>0</v>
      </c>
      <c r="AS101" s="101">
        <f t="shared" si="37"/>
        <v>0</v>
      </c>
      <c r="AT101" s="101">
        <f t="shared" si="37"/>
        <v>0</v>
      </c>
      <c r="AU101" s="101">
        <f t="shared" si="37"/>
        <v>0</v>
      </c>
      <c r="AV101" s="101">
        <f t="shared" si="37"/>
        <v>0</v>
      </c>
      <c r="AW101" s="101">
        <f t="shared" si="37"/>
        <v>0</v>
      </c>
      <c r="AX101" s="101"/>
      <c r="AY101" s="101"/>
    </row>
    <row r="102" spans="5:51" x14ac:dyDescent="0.25">
      <c r="E102" s="101" t="s">
        <v>159</v>
      </c>
      <c r="F102" s="101"/>
      <c r="G102" s="101" t="s">
        <v>201</v>
      </c>
      <c r="H102" s="101">
        <v>2021</v>
      </c>
      <c r="I102" s="101">
        <v>2026</v>
      </c>
      <c r="J102" s="101">
        <v>2026</v>
      </c>
      <c r="K102" s="101">
        <v>2027</v>
      </c>
      <c r="L102" s="101">
        <v>2029</v>
      </c>
      <c r="M102" s="101">
        <v>2029</v>
      </c>
      <c r="N102" s="101"/>
      <c r="O102" s="101"/>
      <c r="P102" s="101"/>
      <c r="Q102" s="101">
        <f t="shared" si="35"/>
        <v>6</v>
      </c>
      <c r="R102" s="101">
        <v>2.2320000000000002</v>
      </c>
      <c r="S102" s="101">
        <f t="shared" si="38"/>
        <v>2.2320000000000002</v>
      </c>
      <c r="T102" s="101">
        <f t="shared" si="38"/>
        <v>1.86</v>
      </c>
      <c r="U102" s="101">
        <f t="shared" si="38"/>
        <v>1.86</v>
      </c>
      <c r="V102" s="101">
        <f t="shared" si="38"/>
        <v>1.86</v>
      </c>
      <c r="W102" s="101">
        <f t="shared" si="38"/>
        <v>1.86</v>
      </c>
      <c r="X102" s="101">
        <f t="shared" si="38"/>
        <v>1.86</v>
      </c>
      <c r="Y102" s="101">
        <f t="shared" si="38"/>
        <v>1.1160000000000001</v>
      </c>
      <c r="Z102" s="101">
        <f t="shared" si="38"/>
        <v>0.74399999999999999</v>
      </c>
      <c r="AA102" s="101">
        <f t="shared" si="38"/>
        <v>0.74399999999999999</v>
      </c>
      <c r="AB102" s="101">
        <f t="shared" si="38"/>
        <v>0</v>
      </c>
      <c r="AC102" s="101">
        <f t="shared" si="38"/>
        <v>0</v>
      </c>
      <c r="AD102" s="101">
        <f t="shared" si="38"/>
        <v>0</v>
      </c>
      <c r="AE102" s="101">
        <f t="shared" si="38"/>
        <v>0</v>
      </c>
      <c r="AF102" s="101">
        <f t="shared" si="38"/>
        <v>0</v>
      </c>
      <c r="AG102" s="101">
        <f t="shared" si="38"/>
        <v>0</v>
      </c>
      <c r="AH102" s="101">
        <f t="shared" si="38"/>
        <v>0</v>
      </c>
      <c r="AI102" s="101">
        <f t="shared" si="37"/>
        <v>0</v>
      </c>
      <c r="AJ102" s="101">
        <f t="shared" si="37"/>
        <v>0</v>
      </c>
      <c r="AK102" s="101">
        <f t="shared" si="37"/>
        <v>0</v>
      </c>
      <c r="AL102" s="101">
        <f t="shared" si="37"/>
        <v>0</v>
      </c>
      <c r="AM102" s="101">
        <f t="shared" si="37"/>
        <v>0</v>
      </c>
      <c r="AN102" s="101">
        <f t="shared" si="37"/>
        <v>0</v>
      </c>
      <c r="AO102" s="101">
        <f t="shared" si="37"/>
        <v>0</v>
      </c>
      <c r="AP102" s="101">
        <f t="shared" si="37"/>
        <v>0</v>
      </c>
      <c r="AQ102" s="101">
        <f t="shared" si="37"/>
        <v>0</v>
      </c>
      <c r="AR102" s="101">
        <f t="shared" si="37"/>
        <v>0</v>
      </c>
      <c r="AS102" s="101">
        <f t="shared" si="37"/>
        <v>0</v>
      </c>
      <c r="AT102" s="101">
        <f t="shared" si="37"/>
        <v>0</v>
      </c>
      <c r="AU102" s="101">
        <f t="shared" si="37"/>
        <v>0</v>
      </c>
      <c r="AV102" s="101">
        <f t="shared" si="37"/>
        <v>0</v>
      </c>
      <c r="AW102" s="101">
        <f t="shared" si="37"/>
        <v>0</v>
      </c>
      <c r="AX102" s="101"/>
      <c r="AY102" s="101"/>
    </row>
    <row r="103" spans="5:51" x14ac:dyDescent="0.25">
      <c r="E103" s="101" t="s">
        <v>157</v>
      </c>
      <c r="F103" s="101"/>
      <c r="G103" s="101" t="s">
        <v>207</v>
      </c>
      <c r="H103" s="101">
        <v>2031</v>
      </c>
      <c r="I103" s="101">
        <v>2031</v>
      </c>
      <c r="J103" s="101">
        <v>2032</v>
      </c>
      <c r="K103" s="101">
        <v>2033</v>
      </c>
      <c r="L103" s="101">
        <v>2033</v>
      </c>
      <c r="M103" s="101">
        <v>2034</v>
      </c>
      <c r="N103" s="101"/>
      <c r="O103" s="101"/>
      <c r="P103" s="101"/>
      <c r="Q103" s="101">
        <f t="shared" si="35"/>
        <v>6</v>
      </c>
      <c r="R103" s="101">
        <v>2.875</v>
      </c>
      <c r="S103" s="101">
        <f t="shared" si="38"/>
        <v>2.875</v>
      </c>
      <c r="T103" s="101">
        <f t="shared" si="38"/>
        <v>2.875</v>
      </c>
      <c r="U103" s="101">
        <f t="shared" si="38"/>
        <v>2.875</v>
      </c>
      <c r="V103" s="101">
        <f t="shared" si="38"/>
        <v>2.875</v>
      </c>
      <c r="W103" s="101">
        <f t="shared" si="38"/>
        <v>2.875</v>
      </c>
      <c r="X103" s="101">
        <f t="shared" si="38"/>
        <v>2.875</v>
      </c>
      <c r="Y103" s="101">
        <f t="shared" si="38"/>
        <v>2.875</v>
      </c>
      <c r="Z103" s="101">
        <f t="shared" si="38"/>
        <v>2.875</v>
      </c>
      <c r="AA103" s="101">
        <f t="shared" si="38"/>
        <v>2.875</v>
      </c>
      <c r="AB103" s="101">
        <f t="shared" si="38"/>
        <v>2.875</v>
      </c>
      <c r="AC103" s="101">
        <f t="shared" si="38"/>
        <v>2.875</v>
      </c>
      <c r="AD103" s="101">
        <f t="shared" si="38"/>
        <v>1.9166666666666665</v>
      </c>
      <c r="AE103" s="101">
        <f t="shared" si="38"/>
        <v>1.4374999999999998</v>
      </c>
      <c r="AF103" s="101">
        <f t="shared" si="38"/>
        <v>0.47916666666666641</v>
      </c>
      <c r="AG103" s="101">
        <f t="shared" si="38"/>
        <v>0</v>
      </c>
      <c r="AH103" s="101">
        <f t="shared" si="38"/>
        <v>0</v>
      </c>
      <c r="AI103" s="101">
        <f t="shared" si="37"/>
        <v>0</v>
      </c>
      <c r="AJ103" s="101">
        <f t="shared" si="37"/>
        <v>0</v>
      </c>
      <c r="AK103" s="101">
        <f t="shared" si="37"/>
        <v>0</v>
      </c>
      <c r="AL103" s="101">
        <f t="shared" si="37"/>
        <v>0</v>
      </c>
      <c r="AM103" s="101">
        <f t="shared" si="37"/>
        <v>0</v>
      </c>
      <c r="AN103" s="101">
        <f t="shared" si="37"/>
        <v>0</v>
      </c>
      <c r="AO103" s="101">
        <f t="shared" si="37"/>
        <v>0</v>
      </c>
      <c r="AP103" s="101">
        <f t="shared" si="37"/>
        <v>0</v>
      </c>
      <c r="AQ103" s="101">
        <f t="shared" si="37"/>
        <v>0</v>
      </c>
      <c r="AR103" s="101">
        <f t="shared" si="37"/>
        <v>0</v>
      </c>
      <c r="AS103" s="101">
        <f t="shared" si="37"/>
        <v>0</v>
      </c>
      <c r="AT103" s="101">
        <f t="shared" si="37"/>
        <v>0</v>
      </c>
      <c r="AU103" s="101">
        <f t="shared" si="37"/>
        <v>0</v>
      </c>
      <c r="AV103" s="101">
        <f t="shared" si="37"/>
        <v>0</v>
      </c>
      <c r="AW103" s="101">
        <f t="shared" si="37"/>
        <v>0</v>
      </c>
      <c r="AX103" s="101"/>
      <c r="AY103" s="101"/>
    </row>
    <row r="104" spans="5:51" x14ac:dyDescent="0.25">
      <c r="E104" s="101" t="s">
        <v>155</v>
      </c>
      <c r="F104" s="101"/>
      <c r="G104" s="101" t="s">
        <v>198</v>
      </c>
      <c r="H104" s="101"/>
      <c r="I104" s="101">
        <v>2023</v>
      </c>
      <c r="J104" s="101"/>
      <c r="K104" s="101">
        <v>2021</v>
      </c>
      <c r="L104" s="101">
        <v>2022</v>
      </c>
      <c r="M104" s="101">
        <v>2025</v>
      </c>
      <c r="N104" s="101">
        <v>2023</v>
      </c>
      <c r="O104" s="101">
        <v>2022</v>
      </c>
      <c r="P104" s="101">
        <v>2026</v>
      </c>
      <c r="Q104" s="101">
        <f t="shared" si="35"/>
        <v>7</v>
      </c>
      <c r="R104" s="101">
        <v>1.2929999999999999</v>
      </c>
      <c r="S104" s="101">
        <f t="shared" si="38"/>
        <v>1.2929999999999999</v>
      </c>
      <c r="T104" s="101">
        <f t="shared" si="38"/>
        <v>1.1082857142857143</v>
      </c>
      <c r="U104" s="101">
        <f t="shared" si="38"/>
        <v>0.73885714285714288</v>
      </c>
      <c r="V104" s="101">
        <f t="shared" si="38"/>
        <v>0.36942857142857149</v>
      </c>
      <c r="W104" s="101">
        <f t="shared" si="38"/>
        <v>0.36942857142857149</v>
      </c>
      <c r="X104" s="101">
        <f t="shared" si="38"/>
        <v>0.1847142857142858</v>
      </c>
      <c r="Y104" s="101">
        <f t="shared" si="38"/>
        <v>0</v>
      </c>
      <c r="Z104" s="101">
        <f t="shared" si="38"/>
        <v>0</v>
      </c>
      <c r="AA104" s="101">
        <f t="shared" si="38"/>
        <v>0</v>
      </c>
      <c r="AB104" s="101">
        <f t="shared" si="38"/>
        <v>0</v>
      </c>
      <c r="AC104" s="101">
        <f t="shared" si="38"/>
        <v>0</v>
      </c>
      <c r="AD104" s="101">
        <f t="shared" si="38"/>
        <v>0</v>
      </c>
      <c r="AE104" s="101">
        <f t="shared" si="38"/>
        <v>0</v>
      </c>
      <c r="AF104" s="101">
        <f t="shared" si="38"/>
        <v>0</v>
      </c>
      <c r="AG104" s="101">
        <f t="shared" si="38"/>
        <v>0</v>
      </c>
      <c r="AH104" s="101">
        <f t="shared" si="38"/>
        <v>0</v>
      </c>
      <c r="AI104" s="101">
        <f t="shared" si="37"/>
        <v>0</v>
      </c>
      <c r="AJ104" s="101">
        <f t="shared" si="37"/>
        <v>0</v>
      </c>
      <c r="AK104" s="101">
        <f t="shared" si="37"/>
        <v>0</v>
      </c>
      <c r="AL104" s="101">
        <f t="shared" si="37"/>
        <v>0</v>
      </c>
      <c r="AM104" s="101">
        <f t="shared" si="37"/>
        <v>0</v>
      </c>
      <c r="AN104" s="101">
        <f t="shared" si="37"/>
        <v>0</v>
      </c>
      <c r="AO104" s="101">
        <f t="shared" si="37"/>
        <v>0</v>
      </c>
      <c r="AP104" s="101">
        <f t="shared" si="37"/>
        <v>0</v>
      </c>
      <c r="AQ104" s="101">
        <f t="shared" si="37"/>
        <v>0</v>
      </c>
      <c r="AR104" s="101">
        <f t="shared" si="37"/>
        <v>0</v>
      </c>
      <c r="AS104" s="101">
        <f t="shared" si="37"/>
        <v>0</v>
      </c>
      <c r="AT104" s="101">
        <f t="shared" si="37"/>
        <v>0</v>
      </c>
      <c r="AU104" s="101">
        <f t="shared" si="37"/>
        <v>0</v>
      </c>
      <c r="AV104" s="101">
        <f t="shared" si="37"/>
        <v>0</v>
      </c>
      <c r="AW104" s="101">
        <f t="shared" si="37"/>
        <v>0</v>
      </c>
      <c r="AX104" s="101"/>
      <c r="AY104" s="101"/>
    </row>
    <row r="105" spans="5:51" x14ac:dyDescent="0.25">
      <c r="E105" s="101" t="s">
        <v>153</v>
      </c>
      <c r="F105" s="101"/>
      <c r="G105" s="101" t="s">
        <v>206</v>
      </c>
      <c r="H105" s="101">
        <v>2039</v>
      </c>
      <c r="I105" s="101">
        <v>2041</v>
      </c>
      <c r="J105" s="101">
        <v>2042</v>
      </c>
      <c r="K105" s="101">
        <v>2042</v>
      </c>
      <c r="L105" s="101">
        <v>2043</v>
      </c>
      <c r="M105" s="101">
        <v>2044</v>
      </c>
      <c r="N105" s="101"/>
      <c r="O105" s="101"/>
      <c r="P105" s="101"/>
      <c r="Q105" s="101">
        <f t="shared" si="35"/>
        <v>6</v>
      </c>
      <c r="R105" s="101">
        <v>3.84</v>
      </c>
      <c r="S105" s="101">
        <f t="shared" si="38"/>
        <v>3.84</v>
      </c>
      <c r="T105" s="101">
        <f t="shared" si="38"/>
        <v>3.84</v>
      </c>
      <c r="U105" s="101">
        <f t="shared" si="38"/>
        <v>3.84</v>
      </c>
      <c r="V105" s="101">
        <f t="shared" si="38"/>
        <v>3.84</v>
      </c>
      <c r="W105" s="101">
        <f t="shared" si="38"/>
        <v>3.84</v>
      </c>
      <c r="X105" s="101">
        <f t="shared" si="38"/>
        <v>3.84</v>
      </c>
      <c r="Y105" s="101">
        <f t="shared" si="38"/>
        <v>3.84</v>
      </c>
      <c r="Z105" s="101">
        <f t="shared" si="38"/>
        <v>3.84</v>
      </c>
      <c r="AA105" s="101">
        <f t="shared" si="38"/>
        <v>3.84</v>
      </c>
      <c r="AB105" s="101">
        <f t="shared" si="38"/>
        <v>3.84</v>
      </c>
      <c r="AC105" s="101">
        <f t="shared" si="38"/>
        <v>3.84</v>
      </c>
      <c r="AD105" s="101">
        <f t="shared" si="38"/>
        <v>3.84</v>
      </c>
      <c r="AE105" s="101">
        <f t="shared" si="38"/>
        <v>3.84</v>
      </c>
      <c r="AF105" s="101">
        <f t="shared" si="38"/>
        <v>3.84</v>
      </c>
      <c r="AG105" s="101">
        <f t="shared" si="38"/>
        <v>3.84</v>
      </c>
      <c r="AH105" s="101">
        <f t="shared" si="38"/>
        <v>3.84</v>
      </c>
      <c r="AI105" s="101">
        <f t="shared" si="37"/>
        <v>3.84</v>
      </c>
      <c r="AJ105" s="101">
        <f t="shared" si="37"/>
        <v>3.84</v>
      </c>
      <c r="AK105" s="101">
        <f t="shared" si="37"/>
        <v>3.84</v>
      </c>
      <c r="AL105" s="101">
        <f t="shared" si="37"/>
        <v>3.1999999999999997</v>
      </c>
      <c r="AM105" s="101">
        <f t="shared" si="37"/>
        <v>3.1999999999999997</v>
      </c>
      <c r="AN105" s="101">
        <f t="shared" si="37"/>
        <v>2.5599999999999996</v>
      </c>
      <c r="AO105" s="101">
        <f t="shared" si="37"/>
        <v>1.2799999999999996</v>
      </c>
      <c r="AP105" s="101">
        <f t="shared" si="37"/>
        <v>0.63999999999999957</v>
      </c>
      <c r="AQ105" s="101">
        <f t="shared" si="37"/>
        <v>0</v>
      </c>
      <c r="AR105" s="101">
        <f t="shared" si="37"/>
        <v>0</v>
      </c>
      <c r="AS105" s="101">
        <f t="shared" si="37"/>
        <v>0</v>
      </c>
      <c r="AT105" s="101">
        <f t="shared" si="37"/>
        <v>0</v>
      </c>
      <c r="AU105" s="101">
        <f t="shared" si="37"/>
        <v>0</v>
      </c>
      <c r="AV105" s="101">
        <f t="shared" si="37"/>
        <v>0</v>
      </c>
      <c r="AW105" s="101">
        <f t="shared" si="37"/>
        <v>0</v>
      </c>
      <c r="AX105" s="101"/>
      <c r="AY105" s="101"/>
    </row>
    <row r="106" spans="5:51" x14ac:dyDescent="0.25">
      <c r="E106" s="101" t="s">
        <v>151</v>
      </c>
      <c r="F106" s="101"/>
      <c r="G106" s="101" t="s">
        <v>199</v>
      </c>
      <c r="H106" s="101">
        <v>2026</v>
      </c>
      <c r="I106" s="101">
        <v>2027</v>
      </c>
      <c r="J106" s="101">
        <v>2028</v>
      </c>
      <c r="K106" s="101">
        <v>2029</v>
      </c>
      <c r="L106" s="101">
        <v>2029</v>
      </c>
      <c r="M106" s="101">
        <v>2030</v>
      </c>
      <c r="N106" s="101"/>
      <c r="O106" s="101"/>
      <c r="P106" s="101"/>
      <c r="Q106" s="101">
        <f t="shared" si="35"/>
        <v>6</v>
      </c>
      <c r="R106" s="101">
        <v>2.85</v>
      </c>
      <c r="S106" s="101">
        <f t="shared" si="38"/>
        <v>2.85</v>
      </c>
      <c r="T106" s="101">
        <f t="shared" si="38"/>
        <v>2.85</v>
      </c>
      <c r="U106" s="101">
        <f t="shared" si="38"/>
        <v>2.85</v>
      </c>
      <c r="V106" s="101">
        <f t="shared" si="38"/>
        <v>2.85</v>
      </c>
      <c r="W106" s="101">
        <f t="shared" si="38"/>
        <v>2.85</v>
      </c>
      <c r="X106" s="101">
        <f t="shared" si="38"/>
        <v>2.85</v>
      </c>
      <c r="Y106" s="101">
        <f t="shared" si="38"/>
        <v>2.375</v>
      </c>
      <c r="Z106" s="101">
        <f t="shared" si="38"/>
        <v>1.9</v>
      </c>
      <c r="AA106" s="101">
        <f t="shared" si="38"/>
        <v>1.4249999999999998</v>
      </c>
      <c r="AB106" s="101">
        <f t="shared" si="38"/>
        <v>0.47499999999999976</v>
      </c>
      <c r="AC106" s="101">
        <f t="shared" si="38"/>
        <v>0</v>
      </c>
      <c r="AD106" s="101">
        <f t="shared" si="38"/>
        <v>0</v>
      </c>
      <c r="AE106" s="101">
        <f t="shared" si="38"/>
        <v>0</v>
      </c>
      <c r="AF106" s="101">
        <f t="shared" si="38"/>
        <v>0</v>
      </c>
      <c r="AG106" s="101">
        <f t="shared" si="38"/>
        <v>0</v>
      </c>
      <c r="AH106" s="101">
        <f t="shared" si="38"/>
        <v>0</v>
      </c>
      <c r="AI106" s="101">
        <f t="shared" si="37"/>
        <v>0</v>
      </c>
      <c r="AJ106" s="101">
        <f t="shared" si="37"/>
        <v>0</v>
      </c>
      <c r="AK106" s="101">
        <f t="shared" si="37"/>
        <v>0</v>
      </c>
      <c r="AL106" s="101">
        <f t="shared" si="37"/>
        <v>0</v>
      </c>
      <c r="AM106" s="101">
        <f t="shared" si="37"/>
        <v>0</v>
      </c>
      <c r="AN106" s="101">
        <f t="shared" si="37"/>
        <v>0</v>
      </c>
      <c r="AO106" s="101">
        <f t="shared" si="37"/>
        <v>0</v>
      </c>
      <c r="AP106" s="101">
        <f t="shared" si="37"/>
        <v>0</v>
      </c>
      <c r="AQ106" s="101">
        <f t="shared" si="37"/>
        <v>0</v>
      </c>
      <c r="AR106" s="101">
        <f t="shared" si="37"/>
        <v>0</v>
      </c>
      <c r="AS106" s="101">
        <f t="shared" si="37"/>
        <v>0</v>
      </c>
      <c r="AT106" s="101">
        <f t="shared" si="37"/>
        <v>0</v>
      </c>
      <c r="AU106" s="101">
        <f t="shared" si="37"/>
        <v>0</v>
      </c>
      <c r="AV106" s="101">
        <f t="shared" si="37"/>
        <v>0</v>
      </c>
      <c r="AW106" s="101">
        <f t="shared" si="37"/>
        <v>0</v>
      </c>
      <c r="AX106" s="101"/>
      <c r="AY106" s="101"/>
    </row>
    <row r="107" spans="5:51" x14ac:dyDescent="0.25">
      <c r="E107" s="101" t="s">
        <v>149</v>
      </c>
      <c r="F107" s="101"/>
      <c r="G107" s="101" t="s">
        <v>205</v>
      </c>
      <c r="H107" s="101">
        <v>2036</v>
      </c>
      <c r="I107" s="101">
        <v>2037</v>
      </c>
      <c r="J107" s="101">
        <v>2037</v>
      </c>
      <c r="K107" s="101">
        <v>2038</v>
      </c>
      <c r="L107" s="101">
        <v>2040</v>
      </c>
      <c r="M107" s="101">
        <v>2041</v>
      </c>
      <c r="N107" s="101"/>
      <c r="O107" s="101"/>
      <c r="P107" s="101"/>
      <c r="Q107" s="101">
        <f t="shared" si="35"/>
        <v>6</v>
      </c>
      <c r="R107" s="101">
        <v>3.5579999999999998</v>
      </c>
      <c r="S107" s="101">
        <f t="shared" si="38"/>
        <v>3.5579999999999998</v>
      </c>
      <c r="T107" s="101">
        <f t="shared" si="38"/>
        <v>3.5579999999999998</v>
      </c>
      <c r="U107" s="101">
        <f t="shared" si="38"/>
        <v>3.5579999999999998</v>
      </c>
      <c r="V107" s="101">
        <f t="shared" si="38"/>
        <v>3.5579999999999998</v>
      </c>
      <c r="W107" s="101">
        <f t="shared" si="38"/>
        <v>3.5579999999999998</v>
      </c>
      <c r="X107" s="101">
        <f t="shared" si="38"/>
        <v>3.5579999999999998</v>
      </c>
      <c r="Y107" s="101">
        <f t="shared" si="38"/>
        <v>3.5579999999999998</v>
      </c>
      <c r="Z107" s="101">
        <f t="shared" si="38"/>
        <v>3.5579999999999998</v>
      </c>
      <c r="AA107" s="101">
        <f t="shared" si="38"/>
        <v>3.5579999999999998</v>
      </c>
      <c r="AB107" s="101">
        <f t="shared" si="38"/>
        <v>3.5579999999999998</v>
      </c>
      <c r="AC107" s="101">
        <f t="shared" si="38"/>
        <v>3.5579999999999998</v>
      </c>
      <c r="AD107" s="101">
        <f t="shared" si="38"/>
        <v>3.5579999999999998</v>
      </c>
      <c r="AE107" s="101">
        <f t="shared" si="38"/>
        <v>3.5579999999999998</v>
      </c>
      <c r="AF107" s="101">
        <f t="shared" si="38"/>
        <v>3.5579999999999998</v>
      </c>
      <c r="AG107" s="101">
        <f t="shared" si="38"/>
        <v>3.5579999999999998</v>
      </c>
      <c r="AH107" s="101">
        <f t="shared" si="38"/>
        <v>3.5579999999999998</v>
      </c>
      <c r="AI107" s="101">
        <f t="shared" si="37"/>
        <v>2.9649999999999999</v>
      </c>
      <c r="AJ107" s="101">
        <f t="shared" si="37"/>
        <v>1.7789999999999999</v>
      </c>
      <c r="AK107" s="101">
        <f t="shared" si="37"/>
        <v>1.1859999999999999</v>
      </c>
      <c r="AL107" s="101">
        <f t="shared" si="37"/>
        <v>1.1859999999999999</v>
      </c>
      <c r="AM107" s="101">
        <f t="shared" si="37"/>
        <v>0.59299999999999997</v>
      </c>
      <c r="AN107" s="101">
        <f t="shared" si="37"/>
        <v>0</v>
      </c>
      <c r="AO107" s="101">
        <f t="shared" si="37"/>
        <v>0</v>
      </c>
      <c r="AP107" s="101">
        <f t="shared" si="37"/>
        <v>0</v>
      </c>
      <c r="AQ107" s="101">
        <f t="shared" si="37"/>
        <v>0</v>
      </c>
      <c r="AR107" s="101">
        <f t="shared" si="37"/>
        <v>0</v>
      </c>
      <c r="AS107" s="101">
        <f t="shared" si="37"/>
        <v>0</v>
      </c>
      <c r="AT107" s="101">
        <f t="shared" si="37"/>
        <v>0</v>
      </c>
      <c r="AU107" s="101">
        <f t="shared" si="37"/>
        <v>0</v>
      </c>
      <c r="AV107" s="101">
        <f t="shared" si="37"/>
        <v>0</v>
      </c>
      <c r="AW107" s="101">
        <f t="shared" si="37"/>
        <v>0</v>
      </c>
      <c r="AX107" s="101"/>
      <c r="AY107" s="101"/>
    </row>
    <row r="108" spans="5:51" x14ac:dyDescent="0.25">
      <c r="E108" s="101" t="s">
        <v>147</v>
      </c>
      <c r="F108" s="101"/>
      <c r="G108" s="101" t="s">
        <v>197</v>
      </c>
      <c r="H108" s="101">
        <v>2046</v>
      </c>
      <c r="I108" s="101">
        <v>2047</v>
      </c>
      <c r="J108" s="101">
        <v>2048</v>
      </c>
      <c r="K108" s="101"/>
      <c r="L108" s="101"/>
      <c r="M108" s="101"/>
      <c r="N108" s="101"/>
      <c r="O108" s="101"/>
      <c r="P108" s="101"/>
      <c r="Q108" s="101">
        <f t="shared" si="35"/>
        <v>3</v>
      </c>
      <c r="R108" s="101">
        <v>1.8330000000000002</v>
      </c>
      <c r="S108" s="101">
        <f t="shared" si="38"/>
        <v>1.8330000000000002</v>
      </c>
      <c r="T108" s="101">
        <f t="shared" si="38"/>
        <v>1.8330000000000002</v>
      </c>
      <c r="U108" s="101">
        <f t="shared" si="38"/>
        <v>1.8330000000000002</v>
      </c>
      <c r="V108" s="101">
        <f t="shared" si="38"/>
        <v>1.8330000000000002</v>
      </c>
      <c r="W108" s="101">
        <f t="shared" si="38"/>
        <v>1.8330000000000002</v>
      </c>
      <c r="X108" s="101">
        <f t="shared" si="38"/>
        <v>1.8330000000000002</v>
      </c>
      <c r="Y108" s="101">
        <f t="shared" si="38"/>
        <v>1.8330000000000002</v>
      </c>
      <c r="Z108" s="101">
        <f t="shared" si="38"/>
        <v>1.8330000000000002</v>
      </c>
      <c r="AA108" s="101">
        <f t="shared" si="38"/>
        <v>1.8330000000000002</v>
      </c>
      <c r="AB108" s="101">
        <f t="shared" si="38"/>
        <v>1.8330000000000002</v>
      </c>
      <c r="AC108" s="101">
        <f t="shared" si="38"/>
        <v>1.8330000000000002</v>
      </c>
      <c r="AD108" s="101">
        <f t="shared" si="38"/>
        <v>1.8330000000000002</v>
      </c>
      <c r="AE108" s="101">
        <f t="shared" si="38"/>
        <v>1.8330000000000002</v>
      </c>
      <c r="AF108" s="101">
        <f t="shared" si="38"/>
        <v>1.8330000000000002</v>
      </c>
      <c r="AG108" s="101">
        <f t="shared" si="38"/>
        <v>1.8330000000000002</v>
      </c>
      <c r="AH108" s="101">
        <f t="shared" si="38"/>
        <v>1.8330000000000002</v>
      </c>
      <c r="AI108" s="101">
        <f t="shared" si="37"/>
        <v>1.8330000000000002</v>
      </c>
      <c r="AJ108" s="101">
        <f t="shared" si="37"/>
        <v>1.8330000000000002</v>
      </c>
      <c r="AK108" s="101">
        <f t="shared" si="37"/>
        <v>1.8330000000000002</v>
      </c>
      <c r="AL108" s="101">
        <f t="shared" si="37"/>
        <v>1.8330000000000002</v>
      </c>
      <c r="AM108" s="101">
        <f t="shared" si="37"/>
        <v>1.8330000000000002</v>
      </c>
      <c r="AN108" s="101">
        <f t="shared" si="37"/>
        <v>1.8330000000000002</v>
      </c>
      <c r="AO108" s="101">
        <f t="shared" si="37"/>
        <v>1.8330000000000002</v>
      </c>
      <c r="AP108" s="101">
        <f t="shared" si="37"/>
        <v>1.8330000000000002</v>
      </c>
      <c r="AQ108" s="101">
        <f t="shared" si="37"/>
        <v>1.8330000000000002</v>
      </c>
      <c r="AR108" s="101">
        <f t="shared" si="37"/>
        <v>1.8330000000000002</v>
      </c>
      <c r="AS108" s="101">
        <f t="shared" si="37"/>
        <v>1.222</v>
      </c>
      <c r="AT108" s="101">
        <f t="shared" si="37"/>
        <v>0.61099999999999988</v>
      </c>
      <c r="AU108" s="101">
        <f t="shared" si="37"/>
        <v>0</v>
      </c>
      <c r="AV108" s="101">
        <f t="shared" si="37"/>
        <v>0</v>
      </c>
      <c r="AW108" s="101">
        <f t="shared" si="37"/>
        <v>0</v>
      </c>
      <c r="AX108" s="101"/>
      <c r="AY108" s="101"/>
    </row>
    <row r="109" spans="5:51" x14ac:dyDescent="0.25">
      <c r="E109" s="101" t="s">
        <v>145</v>
      </c>
      <c r="F109" s="101"/>
      <c r="G109" s="101"/>
      <c r="H109" s="101"/>
      <c r="I109" s="101"/>
      <c r="J109" s="101"/>
      <c r="K109" s="101">
        <v>2049</v>
      </c>
      <c r="L109" s="101">
        <v>2050</v>
      </c>
      <c r="M109" s="101">
        <v>2051</v>
      </c>
      <c r="N109" s="101"/>
      <c r="O109" s="101"/>
      <c r="P109" s="101"/>
      <c r="Q109" s="101">
        <f t="shared" si="35"/>
        <v>3</v>
      </c>
      <c r="R109" s="101">
        <v>2.0099999999999998</v>
      </c>
      <c r="S109" s="101">
        <f t="shared" si="38"/>
        <v>2.0099999999999998</v>
      </c>
      <c r="T109" s="101">
        <f t="shared" si="38"/>
        <v>2.0099999999999998</v>
      </c>
      <c r="U109" s="101">
        <f t="shared" si="38"/>
        <v>2.0099999999999998</v>
      </c>
      <c r="V109" s="101">
        <f t="shared" si="38"/>
        <v>2.0099999999999998</v>
      </c>
      <c r="W109" s="101">
        <f t="shared" si="38"/>
        <v>2.0099999999999998</v>
      </c>
      <c r="X109" s="101">
        <f t="shared" si="38"/>
        <v>2.0099999999999998</v>
      </c>
      <c r="Y109" s="101">
        <f t="shared" si="38"/>
        <v>2.0099999999999998</v>
      </c>
      <c r="Z109" s="101">
        <f t="shared" si="38"/>
        <v>2.0099999999999998</v>
      </c>
      <c r="AA109" s="101">
        <f t="shared" si="38"/>
        <v>2.0099999999999998</v>
      </c>
      <c r="AB109" s="101">
        <f t="shared" si="38"/>
        <v>2.0099999999999998</v>
      </c>
      <c r="AC109" s="101">
        <f t="shared" si="38"/>
        <v>2.0099999999999998</v>
      </c>
      <c r="AD109" s="101">
        <f t="shared" si="38"/>
        <v>2.0099999999999998</v>
      </c>
      <c r="AE109" s="101">
        <f t="shared" si="38"/>
        <v>2.0099999999999998</v>
      </c>
      <c r="AF109" s="101">
        <f t="shared" si="38"/>
        <v>2.0099999999999998</v>
      </c>
      <c r="AG109" s="101">
        <f t="shared" si="38"/>
        <v>2.0099999999999998</v>
      </c>
      <c r="AH109" s="101">
        <f t="shared" si="38"/>
        <v>2.0099999999999998</v>
      </c>
      <c r="AI109" s="101">
        <f t="shared" si="37"/>
        <v>2.0099999999999998</v>
      </c>
      <c r="AJ109" s="101">
        <f t="shared" si="37"/>
        <v>2.0099999999999998</v>
      </c>
      <c r="AK109" s="101">
        <f t="shared" si="37"/>
        <v>2.0099999999999998</v>
      </c>
      <c r="AL109" s="101">
        <f t="shared" si="37"/>
        <v>2.0099999999999998</v>
      </c>
      <c r="AM109" s="101">
        <f t="shared" si="37"/>
        <v>2.0099999999999998</v>
      </c>
      <c r="AN109" s="101">
        <f t="shared" si="37"/>
        <v>2.0099999999999998</v>
      </c>
      <c r="AO109" s="101">
        <f t="shared" si="37"/>
        <v>2.0099999999999998</v>
      </c>
      <c r="AP109" s="101">
        <f t="shared" si="37"/>
        <v>2.0099999999999998</v>
      </c>
      <c r="AQ109" s="101">
        <f t="shared" si="37"/>
        <v>2.0099999999999998</v>
      </c>
      <c r="AR109" s="101">
        <f t="shared" si="37"/>
        <v>2.0099999999999998</v>
      </c>
      <c r="AS109" s="101">
        <f t="shared" si="37"/>
        <v>2.0099999999999998</v>
      </c>
      <c r="AT109" s="101">
        <f t="shared" si="37"/>
        <v>2.0099999999999998</v>
      </c>
      <c r="AU109" s="101">
        <f t="shared" si="37"/>
        <v>2.0099999999999998</v>
      </c>
      <c r="AV109" s="101">
        <f t="shared" si="37"/>
        <v>1.3399999999999999</v>
      </c>
      <c r="AW109" s="101">
        <f t="shared" si="37"/>
        <v>0.66999999999999993</v>
      </c>
      <c r="AX109" s="101"/>
      <c r="AY109" s="101"/>
    </row>
    <row r="110" spans="5:51" x14ac:dyDescent="0.25">
      <c r="E110" s="101" t="s">
        <v>143</v>
      </c>
      <c r="F110" s="101"/>
      <c r="G110" s="101" t="s">
        <v>204</v>
      </c>
      <c r="H110" s="101">
        <v>2038</v>
      </c>
      <c r="I110" s="101">
        <v>2038</v>
      </c>
      <c r="J110" s="101">
        <v>2039</v>
      </c>
      <c r="K110" s="101">
        <v>2040</v>
      </c>
      <c r="L110" s="101">
        <v>2041</v>
      </c>
      <c r="M110" s="101">
        <v>2042</v>
      </c>
      <c r="N110" s="101"/>
      <c r="O110" s="101"/>
      <c r="P110" s="101"/>
      <c r="Q110" s="101">
        <f t="shared" si="35"/>
        <v>6</v>
      </c>
      <c r="R110" s="101">
        <v>3.69</v>
      </c>
      <c r="S110" s="101">
        <f t="shared" si="38"/>
        <v>3.69</v>
      </c>
      <c r="T110" s="101">
        <f t="shared" si="38"/>
        <v>3.69</v>
      </c>
      <c r="U110" s="101">
        <f t="shared" si="38"/>
        <v>3.69</v>
      </c>
      <c r="V110" s="101">
        <f t="shared" si="38"/>
        <v>3.69</v>
      </c>
      <c r="W110" s="101">
        <f t="shared" si="38"/>
        <v>3.69</v>
      </c>
      <c r="X110" s="101">
        <f t="shared" si="38"/>
        <v>3.69</v>
      </c>
      <c r="Y110" s="101">
        <f t="shared" si="38"/>
        <v>3.69</v>
      </c>
      <c r="Z110" s="101">
        <f t="shared" si="38"/>
        <v>3.69</v>
      </c>
      <c r="AA110" s="101">
        <f t="shared" si="38"/>
        <v>3.69</v>
      </c>
      <c r="AB110" s="101">
        <f t="shared" si="38"/>
        <v>3.69</v>
      </c>
      <c r="AC110" s="101">
        <f t="shared" si="38"/>
        <v>3.69</v>
      </c>
      <c r="AD110" s="101">
        <f t="shared" si="38"/>
        <v>3.69</v>
      </c>
      <c r="AE110" s="101">
        <f t="shared" si="38"/>
        <v>3.69</v>
      </c>
      <c r="AF110" s="101">
        <f t="shared" si="38"/>
        <v>3.69</v>
      </c>
      <c r="AG110" s="101">
        <f t="shared" si="38"/>
        <v>3.69</v>
      </c>
      <c r="AH110" s="101">
        <f t="shared" si="38"/>
        <v>3.69</v>
      </c>
      <c r="AI110" s="101">
        <f t="shared" si="37"/>
        <v>3.69</v>
      </c>
      <c r="AJ110" s="101">
        <f t="shared" si="37"/>
        <v>3.69</v>
      </c>
      <c r="AK110" s="101">
        <f t="shared" si="37"/>
        <v>2.46</v>
      </c>
      <c r="AL110" s="101">
        <f t="shared" si="37"/>
        <v>1.845</v>
      </c>
      <c r="AM110" s="101">
        <f t="shared" si="37"/>
        <v>1.23</v>
      </c>
      <c r="AN110" s="101">
        <f t="shared" si="37"/>
        <v>0.61499999999999999</v>
      </c>
      <c r="AO110" s="101">
        <f t="shared" si="37"/>
        <v>0</v>
      </c>
      <c r="AP110" s="101">
        <f t="shared" si="37"/>
        <v>0</v>
      </c>
      <c r="AQ110" s="101">
        <f t="shared" si="37"/>
        <v>0</v>
      </c>
      <c r="AR110" s="101">
        <f t="shared" si="37"/>
        <v>0</v>
      </c>
      <c r="AS110" s="101">
        <f t="shared" si="37"/>
        <v>0</v>
      </c>
      <c r="AT110" s="101">
        <f t="shared" si="37"/>
        <v>0</v>
      </c>
      <c r="AU110" s="101">
        <f t="shared" si="37"/>
        <v>0</v>
      </c>
      <c r="AV110" s="101">
        <f t="shared" si="37"/>
        <v>0</v>
      </c>
      <c r="AW110" s="101">
        <f t="shared" si="37"/>
        <v>0</v>
      </c>
      <c r="AX110" s="101"/>
      <c r="AY110" s="101"/>
    </row>
    <row r="111" spans="5:51" x14ac:dyDescent="0.25">
      <c r="E111" s="101" t="s">
        <v>141</v>
      </c>
      <c r="F111" s="101"/>
      <c r="G111" s="101" t="s">
        <v>200</v>
      </c>
      <c r="H111" s="101">
        <v>2030</v>
      </c>
      <c r="I111" s="101">
        <v>2031</v>
      </c>
      <c r="J111" s="101">
        <v>2031</v>
      </c>
      <c r="K111" s="101">
        <v>2032</v>
      </c>
      <c r="L111" s="101">
        <v>2033</v>
      </c>
      <c r="M111" s="101">
        <v>2034</v>
      </c>
      <c r="N111" s="101"/>
      <c r="O111" s="101"/>
      <c r="P111" s="101"/>
      <c r="Q111" s="101">
        <f t="shared" si="35"/>
        <v>6</v>
      </c>
      <c r="R111" s="101">
        <v>3.45</v>
      </c>
      <c r="S111" s="101">
        <f t="shared" si="38"/>
        <v>3.45</v>
      </c>
      <c r="T111" s="101">
        <f t="shared" si="38"/>
        <v>3.45</v>
      </c>
      <c r="U111" s="101">
        <f t="shared" si="38"/>
        <v>3.45</v>
      </c>
      <c r="V111" s="101">
        <f t="shared" si="38"/>
        <v>3.45</v>
      </c>
      <c r="W111" s="101">
        <f t="shared" si="38"/>
        <v>3.45</v>
      </c>
      <c r="X111" s="101">
        <f t="shared" si="38"/>
        <v>3.45</v>
      </c>
      <c r="Y111" s="101">
        <f t="shared" si="38"/>
        <v>3.45</v>
      </c>
      <c r="Z111" s="101">
        <f t="shared" si="38"/>
        <v>3.45</v>
      </c>
      <c r="AA111" s="101">
        <f t="shared" si="38"/>
        <v>3.45</v>
      </c>
      <c r="AB111" s="101">
        <f t="shared" si="38"/>
        <v>3.45</v>
      </c>
      <c r="AC111" s="101">
        <f t="shared" si="38"/>
        <v>2.875</v>
      </c>
      <c r="AD111" s="101">
        <f t="shared" si="38"/>
        <v>1.7249999999999999</v>
      </c>
      <c r="AE111" s="101">
        <f t="shared" si="38"/>
        <v>1.1499999999999999</v>
      </c>
      <c r="AF111" s="101">
        <f t="shared" si="38"/>
        <v>0.57499999999999984</v>
      </c>
      <c r="AG111" s="101">
        <f t="shared" si="38"/>
        <v>0</v>
      </c>
      <c r="AH111" s="101">
        <f t="shared" si="38"/>
        <v>0</v>
      </c>
      <c r="AI111" s="101">
        <f t="shared" si="37"/>
        <v>0</v>
      </c>
      <c r="AJ111" s="101">
        <f t="shared" si="37"/>
        <v>0</v>
      </c>
      <c r="AK111" s="101">
        <f t="shared" si="37"/>
        <v>0</v>
      </c>
      <c r="AL111" s="101">
        <f t="shared" si="37"/>
        <v>0</v>
      </c>
      <c r="AM111" s="101">
        <f t="shared" si="37"/>
        <v>0</v>
      </c>
      <c r="AN111" s="101">
        <f t="shared" si="37"/>
        <v>0</v>
      </c>
      <c r="AO111" s="101">
        <f t="shared" si="37"/>
        <v>0</v>
      </c>
      <c r="AP111" s="101">
        <f t="shared" si="37"/>
        <v>0</v>
      </c>
      <c r="AQ111" s="101">
        <f t="shared" si="37"/>
        <v>0</v>
      </c>
      <c r="AR111" s="101">
        <f t="shared" si="37"/>
        <v>0</v>
      </c>
      <c r="AS111" s="101">
        <f t="shared" si="37"/>
        <v>0</v>
      </c>
      <c r="AT111" s="101">
        <f t="shared" si="37"/>
        <v>0</v>
      </c>
      <c r="AU111" s="101">
        <f t="shared" si="37"/>
        <v>0</v>
      </c>
      <c r="AV111" s="101">
        <f t="shared" si="37"/>
        <v>0</v>
      </c>
      <c r="AW111" s="101">
        <f t="shared" si="37"/>
        <v>0</v>
      </c>
      <c r="AX111" s="101"/>
      <c r="AY111" s="101"/>
    </row>
    <row r="112" spans="5:51" x14ac:dyDescent="0.25">
      <c r="E112" s="101" t="s">
        <v>139</v>
      </c>
      <c r="F112" s="101"/>
      <c r="G112" s="101" t="s">
        <v>202</v>
      </c>
      <c r="H112" s="101">
        <v>2035</v>
      </c>
      <c r="I112" s="101">
        <v>2036</v>
      </c>
      <c r="J112" s="101">
        <v>2037</v>
      </c>
      <c r="K112" s="101">
        <v>2037</v>
      </c>
      <c r="L112" s="101">
        <v>2039</v>
      </c>
      <c r="M112" s="101">
        <v>2041</v>
      </c>
      <c r="N112" s="101"/>
      <c r="O112" s="101"/>
      <c r="P112" s="101"/>
      <c r="Q112" s="101">
        <f t="shared" si="35"/>
        <v>6</v>
      </c>
      <c r="R112" s="101">
        <v>3.51</v>
      </c>
      <c r="S112" s="101">
        <f t="shared" si="38"/>
        <v>3.51</v>
      </c>
      <c r="T112" s="101">
        <f t="shared" si="38"/>
        <v>3.51</v>
      </c>
      <c r="U112" s="101">
        <f t="shared" si="38"/>
        <v>3.51</v>
      </c>
      <c r="V112" s="101">
        <f t="shared" si="38"/>
        <v>3.51</v>
      </c>
      <c r="W112" s="101">
        <f t="shared" si="38"/>
        <v>3.51</v>
      </c>
      <c r="X112" s="101">
        <f t="shared" si="38"/>
        <v>3.51</v>
      </c>
      <c r="Y112" s="101">
        <f t="shared" si="38"/>
        <v>3.51</v>
      </c>
      <c r="Z112" s="101">
        <f t="shared" si="38"/>
        <v>3.51</v>
      </c>
      <c r="AA112" s="101">
        <f t="shared" si="38"/>
        <v>3.51</v>
      </c>
      <c r="AB112" s="101">
        <f t="shared" si="38"/>
        <v>3.51</v>
      </c>
      <c r="AC112" s="101">
        <f t="shared" si="38"/>
        <v>3.51</v>
      </c>
      <c r="AD112" s="101">
        <f t="shared" si="38"/>
        <v>3.51</v>
      </c>
      <c r="AE112" s="101">
        <f t="shared" si="38"/>
        <v>3.51</v>
      </c>
      <c r="AF112" s="101">
        <f t="shared" si="38"/>
        <v>3.51</v>
      </c>
      <c r="AG112" s="101">
        <f t="shared" si="38"/>
        <v>3.51</v>
      </c>
      <c r="AH112" s="101">
        <f t="shared" si="38"/>
        <v>2.9249999999999998</v>
      </c>
      <c r="AI112" s="101">
        <f t="shared" si="37"/>
        <v>2.34</v>
      </c>
      <c r="AJ112" s="101">
        <f t="shared" si="37"/>
        <v>1.17</v>
      </c>
      <c r="AK112" s="101">
        <f t="shared" si="37"/>
        <v>1.17</v>
      </c>
      <c r="AL112" s="101">
        <f t="shared" si="37"/>
        <v>0.58499999999999996</v>
      </c>
      <c r="AM112" s="101">
        <f t="shared" si="37"/>
        <v>0.58499999999999996</v>
      </c>
      <c r="AN112" s="101">
        <f t="shared" si="37"/>
        <v>0</v>
      </c>
      <c r="AO112" s="101">
        <f t="shared" si="37"/>
        <v>0</v>
      </c>
      <c r="AP112" s="101">
        <f t="shared" si="37"/>
        <v>0</v>
      </c>
      <c r="AQ112" s="101">
        <f t="shared" si="37"/>
        <v>0</v>
      </c>
      <c r="AR112" s="101">
        <f t="shared" si="37"/>
        <v>0</v>
      </c>
      <c r="AS112" s="101">
        <f t="shared" si="37"/>
        <v>0</v>
      </c>
      <c r="AT112" s="101">
        <f t="shared" si="37"/>
        <v>0</v>
      </c>
      <c r="AU112" s="101">
        <f t="shared" si="37"/>
        <v>0</v>
      </c>
      <c r="AV112" s="101">
        <f t="shared" si="37"/>
        <v>0</v>
      </c>
      <c r="AW112" s="101">
        <f t="shared" si="37"/>
        <v>0</v>
      </c>
      <c r="AX112" s="101"/>
      <c r="AY112" s="101"/>
    </row>
    <row r="115" spans="1:51" x14ac:dyDescent="0.25">
      <c r="E115" s="101" t="s">
        <v>279</v>
      </c>
    </row>
    <row r="116" spans="1:51" x14ac:dyDescent="0.25">
      <c r="E116" s="62" t="s">
        <v>293</v>
      </c>
    </row>
    <row r="117" spans="1:51" x14ac:dyDescent="0.25">
      <c r="A117" s="62" t="s">
        <v>280</v>
      </c>
      <c r="B117" s="62" t="s">
        <v>281</v>
      </c>
      <c r="C117" s="62" t="s">
        <v>285</v>
      </c>
      <c r="D117" s="62" t="s">
        <v>284</v>
      </c>
      <c r="E117" s="105"/>
      <c r="F117" s="105"/>
      <c r="G117" s="105" t="s">
        <v>210</v>
      </c>
      <c r="H117" s="105">
        <v>1</v>
      </c>
      <c r="I117" s="105">
        <v>2</v>
      </c>
      <c r="J117" s="105">
        <v>3</v>
      </c>
      <c r="K117" s="105">
        <v>4</v>
      </c>
      <c r="L117" s="105">
        <v>5</v>
      </c>
      <c r="M117" s="105">
        <v>6</v>
      </c>
      <c r="N117" s="105">
        <v>7</v>
      </c>
      <c r="O117" s="105">
        <v>8</v>
      </c>
      <c r="P117" s="105">
        <v>9</v>
      </c>
      <c r="Q117" s="101" t="s">
        <v>43</v>
      </c>
      <c r="R117" s="101">
        <v>2019</v>
      </c>
      <c r="S117" s="101">
        <v>2020</v>
      </c>
      <c r="T117" s="101">
        <v>2021</v>
      </c>
      <c r="U117" s="101">
        <v>2022</v>
      </c>
      <c r="V117" s="101">
        <v>2023</v>
      </c>
      <c r="W117" s="101">
        <v>2024</v>
      </c>
      <c r="X117" s="101">
        <v>2025</v>
      </c>
      <c r="Y117" s="101">
        <v>2026</v>
      </c>
      <c r="Z117" s="101">
        <v>2027</v>
      </c>
      <c r="AA117" s="101">
        <v>2028</v>
      </c>
      <c r="AB117" s="101">
        <v>2029</v>
      </c>
      <c r="AC117" s="101">
        <v>2030</v>
      </c>
      <c r="AD117" s="101">
        <v>2031</v>
      </c>
      <c r="AE117" s="101">
        <v>2032</v>
      </c>
      <c r="AF117" s="101">
        <v>2033</v>
      </c>
      <c r="AG117" s="101">
        <v>2034</v>
      </c>
      <c r="AH117" s="101">
        <v>2035</v>
      </c>
      <c r="AI117" s="101">
        <v>2036</v>
      </c>
      <c r="AJ117" s="101">
        <v>2037</v>
      </c>
      <c r="AK117" s="101">
        <v>2038</v>
      </c>
      <c r="AL117" s="101">
        <v>2039</v>
      </c>
      <c r="AM117" s="101">
        <v>2040</v>
      </c>
      <c r="AN117" s="101">
        <v>2041</v>
      </c>
      <c r="AO117" s="101">
        <v>2042</v>
      </c>
      <c r="AP117" s="101">
        <v>2043</v>
      </c>
      <c r="AQ117" s="101">
        <v>2044</v>
      </c>
      <c r="AR117" s="101">
        <v>2045</v>
      </c>
      <c r="AS117" s="101">
        <v>2046</v>
      </c>
      <c r="AT117" s="101">
        <v>2047</v>
      </c>
      <c r="AU117" s="101">
        <v>2048</v>
      </c>
      <c r="AV117" s="101">
        <v>2049</v>
      </c>
      <c r="AW117" s="101">
        <v>2050</v>
      </c>
      <c r="AX117" s="101"/>
      <c r="AY117" s="101"/>
    </row>
    <row r="118" spans="1:51" x14ac:dyDescent="0.25">
      <c r="A118" s="106" t="s">
        <v>282</v>
      </c>
      <c r="B118" s="107" t="s">
        <v>282</v>
      </c>
      <c r="C118" s="62" t="str">
        <f>D118&amp;E118</f>
        <v>Scenario A - CAMDEN</v>
      </c>
      <c r="D118" s="62" t="str">
        <f>E116</f>
        <v xml:space="preserve">Scenario A - </v>
      </c>
      <c r="E118" s="105" t="s">
        <v>165</v>
      </c>
      <c r="F118" s="105"/>
      <c r="G118" s="105" t="s">
        <v>208</v>
      </c>
      <c r="H118" s="63">
        <v>2024</v>
      </c>
      <c r="I118" s="63">
        <v>2024</v>
      </c>
      <c r="J118" s="63">
        <v>2025</v>
      </c>
      <c r="K118" s="63">
        <v>2026</v>
      </c>
      <c r="L118" s="63">
        <v>2026</v>
      </c>
      <c r="M118" s="63">
        <v>2025</v>
      </c>
      <c r="N118" s="63">
        <v>2026</v>
      </c>
      <c r="O118" s="63"/>
      <c r="P118" s="63"/>
      <c r="Q118" s="101">
        <f t="shared" ref="Q118:Q131" si="39">COUNT(H118:P118)</f>
        <v>7</v>
      </c>
      <c r="R118" s="101">
        <v>1.4810000000000001</v>
      </c>
      <c r="S118" s="101">
        <f>COUNTIF($H118:$P118,S$98)*-$R118/$Q118+R118</f>
        <v>1.4810000000000001</v>
      </c>
      <c r="T118" s="101">
        <f t="shared" ref="T118:AI118" si="40">COUNTIF($H118:$P118,T$98)*-$R118/$Q118+S118</f>
        <v>1.4810000000000001</v>
      </c>
      <c r="U118" s="101">
        <f t="shared" si="40"/>
        <v>1.4810000000000001</v>
      </c>
      <c r="V118" s="101">
        <f t="shared" si="40"/>
        <v>1.4810000000000001</v>
      </c>
      <c r="W118" s="101">
        <f t="shared" si="40"/>
        <v>1.0578571428571428</v>
      </c>
      <c r="X118" s="101">
        <f t="shared" si="40"/>
        <v>0.63471428571428568</v>
      </c>
      <c r="Y118" s="101">
        <f t="shared" si="40"/>
        <v>0</v>
      </c>
      <c r="Z118" s="101">
        <f t="shared" si="40"/>
        <v>0</v>
      </c>
      <c r="AA118" s="101">
        <f t="shared" si="40"/>
        <v>0</v>
      </c>
      <c r="AB118" s="101">
        <f t="shared" si="40"/>
        <v>0</v>
      </c>
      <c r="AC118" s="101">
        <f t="shared" si="40"/>
        <v>0</v>
      </c>
      <c r="AD118" s="101">
        <f t="shared" si="40"/>
        <v>0</v>
      </c>
      <c r="AE118" s="101">
        <f t="shared" si="40"/>
        <v>0</v>
      </c>
      <c r="AF118" s="101">
        <f t="shared" si="40"/>
        <v>0</v>
      </c>
      <c r="AG118" s="101">
        <f t="shared" si="40"/>
        <v>0</v>
      </c>
      <c r="AH118" s="101">
        <f t="shared" si="40"/>
        <v>0</v>
      </c>
      <c r="AI118" s="101">
        <f t="shared" si="40"/>
        <v>0</v>
      </c>
      <c r="AJ118" s="101">
        <f t="shared" ref="AI118:AW131" si="41">COUNTIF($H118:$P118,AJ$98)*-$R118/$Q118+AI118</f>
        <v>0</v>
      </c>
      <c r="AK118" s="101">
        <f t="shared" si="41"/>
        <v>0</v>
      </c>
      <c r="AL118" s="101">
        <f t="shared" si="41"/>
        <v>0</v>
      </c>
      <c r="AM118" s="101">
        <f t="shared" si="41"/>
        <v>0</v>
      </c>
      <c r="AN118" s="101">
        <f t="shared" si="41"/>
        <v>0</v>
      </c>
      <c r="AO118" s="101">
        <f t="shared" si="41"/>
        <v>0</v>
      </c>
      <c r="AP118" s="101">
        <f t="shared" si="41"/>
        <v>0</v>
      </c>
      <c r="AQ118" s="101">
        <f t="shared" si="41"/>
        <v>0</v>
      </c>
      <c r="AR118" s="101">
        <f t="shared" si="41"/>
        <v>0</v>
      </c>
      <c r="AS118" s="101">
        <f t="shared" si="41"/>
        <v>0</v>
      </c>
      <c r="AT118" s="101">
        <f t="shared" si="41"/>
        <v>0</v>
      </c>
      <c r="AU118" s="101">
        <f t="shared" si="41"/>
        <v>0</v>
      </c>
      <c r="AV118" s="101">
        <f t="shared" si="41"/>
        <v>0</v>
      </c>
      <c r="AW118" s="101">
        <f t="shared" si="41"/>
        <v>0</v>
      </c>
      <c r="AX118" s="101"/>
      <c r="AY118" s="101"/>
    </row>
    <row r="119" spans="1:51" x14ac:dyDescent="0.25">
      <c r="A119" s="106" t="s">
        <v>282</v>
      </c>
      <c r="B119" s="107" t="s">
        <v>282</v>
      </c>
      <c r="C119" s="62" t="str">
        <f t="shared" ref="C119:C131" si="42">D119&amp;E119</f>
        <v>Scenario A - GROOTVLEI</v>
      </c>
      <c r="D119" s="62" t="str">
        <f>D118</f>
        <v xml:space="preserve">Scenario A - </v>
      </c>
      <c r="E119" s="105" t="s">
        <v>163</v>
      </c>
      <c r="F119" s="105"/>
      <c r="G119" s="105" t="s">
        <v>195</v>
      </c>
      <c r="H119" s="63">
        <v>2026</v>
      </c>
      <c r="I119" s="63">
        <v>2027</v>
      </c>
      <c r="J119" s="63">
        <v>2028</v>
      </c>
      <c r="K119" s="63"/>
      <c r="L119" s="63"/>
      <c r="M119" s="63"/>
      <c r="N119" s="63"/>
      <c r="O119" s="63"/>
      <c r="P119" s="63"/>
      <c r="Q119" s="101">
        <f t="shared" si="39"/>
        <v>3</v>
      </c>
      <c r="R119" s="101">
        <v>0.56999999999999995</v>
      </c>
      <c r="S119" s="101">
        <f t="shared" ref="S119:AH131" si="43">COUNTIF($H119:$P119,S$98)*-$R119/$Q119+R119</f>
        <v>0.56999999999999995</v>
      </c>
      <c r="T119" s="101">
        <f t="shared" si="43"/>
        <v>0.56999999999999995</v>
      </c>
      <c r="U119" s="101">
        <f t="shared" si="43"/>
        <v>0.56999999999999995</v>
      </c>
      <c r="V119" s="101">
        <f t="shared" si="43"/>
        <v>0.56999999999999995</v>
      </c>
      <c r="W119" s="101">
        <f t="shared" si="43"/>
        <v>0.56999999999999995</v>
      </c>
      <c r="X119" s="101">
        <f t="shared" si="43"/>
        <v>0.56999999999999995</v>
      </c>
      <c r="Y119" s="101">
        <f t="shared" si="43"/>
        <v>0.38</v>
      </c>
      <c r="Z119" s="101">
        <f t="shared" si="43"/>
        <v>0.19000000000000003</v>
      </c>
      <c r="AA119" s="101">
        <f t="shared" si="43"/>
        <v>0</v>
      </c>
      <c r="AB119" s="101">
        <f t="shared" si="43"/>
        <v>0</v>
      </c>
      <c r="AC119" s="101">
        <f t="shared" si="43"/>
        <v>0</v>
      </c>
      <c r="AD119" s="101">
        <f t="shared" si="43"/>
        <v>0</v>
      </c>
      <c r="AE119" s="101">
        <f t="shared" si="43"/>
        <v>0</v>
      </c>
      <c r="AF119" s="101">
        <f t="shared" si="43"/>
        <v>0</v>
      </c>
      <c r="AG119" s="101">
        <f t="shared" si="43"/>
        <v>0</v>
      </c>
      <c r="AH119" s="101">
        <f t="shared" si="43"/>
        <v>0</v>
      </c>
      <c r="AI119" s="101">
        <f t="shared" si="41"/>
        <v>0</v>
      </c>
      <c r="AJ119" s="101">
        <f t="shared" si="41"/>
        <v>0</v>
      </c>
      <c r="AK119" s="101">
        <f t="shared" si="41"/>
        <v>0</v>
      </c>
      <c r="AL119" s="101">
        <f t="shared" si="41"/>
        <v>0</v>
      </c>
      <c r="AM119" s="101">
        <f t="shared" si="41"/>
        <v>0</v>
      </c>
      <c r="AN119" s="101">
        <f t="shared" si="41"/>
        <v>0</v>
      </c>
      <c r="AO119" s="101">
        <f t="shared" si="41"/>
        <v>0</v>
      </c>
      <c r="AP119" s="101">
        <f t="shared" si="41"/>
        <v>0</v>
      </c>
      <c r="AQ119" s="101">
        <f t="shared" si="41"/>
        <v>0</v>
      </c>
      <c r="AR119" s="101">
        <f t="shared" si="41"/>
        <v>0</v>
      </c>
      <c r="AS119" s="101">
        <f t="shared" si="41"/>
        <v>0</v>
      </c>
      <c r="AT119" s="101">
        <f t="shared" si="41"/>
        <v>0</v>
      </c>
      <c r="AU119" s="101">
        <f t="shared" si="41"/>
        <v>0</v>
      </c>
      <c r="AV119" s="101">
        <f t="shared" si="41"/>
        <v>0</v>
      </c>
      <c r="AW119" s="101">
        <f t="shared" si="41"/>
        <v>0</v>
      </c>
      <c r="AX119" s="101"/>
      <c r="AY119" s="101"/>
    </row>
    <row r="120" spans="1:51" x14ac:dyDescent="0.25">
      <c r="A120" s="106" t="s">
        <v>282</v>
      </c>
      <c r="B120" s="107" t="s">
        <v>282</v>
      </c>
      <c r="C120" s="62" t="str">
        <f t="shared" si="42"/>
        <v>Scenario A - KOMATI</v>
      </c>
      <c r="D120" s="62" t="str">
        <f t="shared" ref="D120:D131" si="44">D119</f>
        <v xml:space="preserve">Scenario A - </v>
      </c>
      <c r="E120" s="105" t="s">
        <v>161</v>
      </c>
      <c r="F120" s="105"/>
      <c r="G120" s="105" t="s">
        <v>196</v>
      </c>
      <c r="H120" s="63">
        <v>2020</v>
      </c>
      <c r="I120" s="63">
        <v>2020</v>
      </c>
      <c r="J120" s="63">
        <v>2021</v>
      </c>
      <c r="K120" s="63"/>
      <c r="L120" s="63"/>
      <c r="M120" s="63"/>
      <c r="N120" s="63"/>
      <c r="O120" s="63"/>
      <c r="P120" s="63">
        <v>2022</v>
      </c>
      <c r="Q120" s="101">
        <f t="shared" si="39"/>
        <v>4</v>
      </c>
      <c r="R120" s="101">
        <v>0.41</v>
      </c>
      <c r="S120" s="101">
        <f t="shared" si="43"/>
        <v>0.20499999999999999</v>
      </c>
      <c r="T120" s="101">
        <f t="shared" si="43"/>
        <v>0.10249999999999999</v>
      </c>
      <c r="U120" s="101">
        <f t="shared" si="43"/>
        <v>0</v>
      </c>
      <c r="V120" s="101">
        <f t="shared" si="43"/>
        <v>0</v>
      </c>
      <c r="W120" s="101">
        <f t="shared" si="43"/>
        <v>0</v>
      </c>
      <c r="X120" s="101">
        <f t="shared" si="43"/>
        <v>0</v>
      </c>
      <c r="Y120" s="101">
        <f t="shared" si="43"/>
        <v>0</v>
      </c>
      <c r="Z120" s="101">
        <f t="shared" si="43"/>
        <v>0</v>
      </c>
      <c r="AA120" s="101">
        <f t="shared" si="43"/>
        <v>0</v>
      </c>
      <c r="AB120" s="101">
        <f t="shared" si="43"/>
        <v>0</v>
      </c>
      <c r="AC120" s="101">
        <f t="shared" si="43"/>
        <v>0</v>
      </c>
      <c r="AD120" s="101">
        <f t="shared" si="43"/>
        <v>0</v>
      </c>
      <c r="AE120" s="101">
        <f t="shared" si="43"/>
        <v>0</v>
      </c>
      <c r="AF120" s="101">
        <f t="shared" si="43"/>
        <v>0</v>
      </c>
      <c r="AG120" s="101">
        <f t="shared" si="43"/>
        <v>0</v>
      </c>
      <c r="AH120" s="101">
        <f t="shared" si="43"/>
        <v>0</v>
      </c>
      <c r="AI120" s="101">
        <f t="shared" si="41"/>
        <v>0</v>
      </c>
      <c r="AJ120" s="101">
        <f t="shared" si="41"/>
        <v>0</v>
      </c>
      <c r="AK120" s="101">
        <f t="shared" si="41"/>
        <v>0</v>
      </c>
      <c r="AL120" s="101">
        <f t="shared" si="41"/>
        <v>0</v>
      </c>
      <c r="AM120" s="101">
        <f t="shared" si="41"/>
        <v>0</v>
      </c>
      <c r="AN120" s="101">
        <f t="shared" si="41"/>
        <v>0</v>
      </c>
      <c r="AO120" s="101">
        <f t="shared" si="41"/>
        <v>0</v>
      </c>
      <c r="AP120" s="101">
        <f t="shared" si="41"/>
        <v>0</v>
      </c>
      <c r="AQ120" s="101">
        <f t="shared" si="41"/>
        <v>0</v>
      </c>
      <c r="AR120" s="101">
        <f t="shared" si="41"/>
        <v>0</v>
      </c>
      <c r="AS120" s="101">
        <f t="shared" si="41"/>
        <v>0</v>
      </c>
      <c r="AT120" s="101">
        <f t="shared" si="41"/>
        <v>0</v>
      </c>
      <c r="AU120" s="101">
        <f t="shared" si="41"/>
        <v>0</v>
      </c>
      <c r="AV120" s="101">
        <f t="shared" si="41"/>
        <v>0</v>
      </c>
      <c r="AW120" s="101">
        <f t="shared" si="41"/>
        <v>0</v>
      </c>
      <c r="AX120" s="101"/>
      <c r="AY120" s="101"/>
    </row>
    <row r="121" spans="1:51" x14ac:dyDescent="0.25">
      <c r="A121" s="106" t="s">
        <v>282</v>
      </c>
      <c r="B121" s="107" t="s">
        <v>282</v>
      </c>
      <c r="C121" s="62" t="str">
        <f t="shared" si="42"/>
        <v>Scenario A - ARNOT</v>
      </c>
      <c r="D121" s="62" t="str">
        <f t="shared" si="44"/>
        <v xml:space="preserve">Scenario A - </v>
      </c>
      <c r="E121" s="105" t="s">
        <v>159</v>
      </c>
      <c r="F121" s="105"/>
      <c r="G121" s="105" t="s">
        <v>201</v>
      </c>
      <c r="H121" s="63">
        <v>2027</v>
      </c>
      <c r="I121" s="62">
        <v>2026</v>
      </c>
      <c r="J121" s="62">
        <v>2026</v>
      </c>
      <c r="K121" s="63">
        <v>2027</v>
      </c>
      <c r="L121" s="63">
        <v>2029</v>
      </c>
      <c r="M121" s="63">
        <v>2029</v>
      </c>
      <c r="N121" s="63"/>
      <c r="O121" s="63"/>
      <c r="P121" s="63"/>
      <c r="Q121" s="101">
        <f t="shared" si="39"/>
        <v>6</v>
      </c>
      <c r="R121" s="101">
        <v>2.2320000000000002</v>
      </c>
      <c r="S121" s="101">
        <f t="shared" si="43"/>
        <v>2.2320000000000002</v>
      </c>
      <c r="T121" s="101">
        <f t="shared" si="43"/>
        <v>2.2320000000000002</v>
      </c>
      <c r="U121" s="101">
        <f t="shared" si="43"/>
        <v>2.2320000000000002</v>
      </c>
      <c r="V121" s="101">
        <f t="shared" si="43"/>
        <v>2.2320000000000002</v>
      </c>
      <c r="W121" s="101">
        <f t="shared" si="43"/>
        <v>2.2320000000000002</v>
      </c>
      <c r="X121" s="101">
        <f t="shared" si="43"/>
        <v>2.2320000000000002</v>
      </c>
      <c r="Y121" s="101">
        <f t="shared" si="43"/>
        <v>1.488</v>
      </c>
      <c r="Z121" s="101">
        <f t="shared" si="43"/>
        <v>0.74399999999999988</v>
      </c>
      <c r="AA121" s="101">
        <f t="shared" si="43"/>
        <v>0.74399999999999988</v>
      </c>
      <c r="AB121" s="101">
        <f t="shared" si="43"/>
        <v>0</v>
      </c>
      <c r="AC121" s="101">
        <f t="shared" si="43"/>
        <v>0</v>
      </c>
      <c r="AD121" s="101">
        <f t="shared" si="43"/>
        <v>0</v>
      </c>
      <c r="AE121" s="101">
        <f t="shared" si="43"/>
        <v>0</v>
      </c>
      <c r="AF121" s="101">
        <f t="shared" si="43"/>
        <v>0</v>
      </c>
      <c r="AG121" s="101">
        <f t="shared" si="43"/>
        <v>0</v>
      </c>
      <c r="AH121" s="101">
        <f t="shared" si="43"/>
        <v>0</v>
      </c>
      <c r="AI121" s="101">
        <f t="shared" si="41"/>
        <v>0</v>
      </c>
      <c r="AJ121" s="101">
        <f t="shared" si="41"/>
        <v>0</v>
      </c>
      <c r="AK121" s="101">
        <f t="shared" si="41"/>
        <v>0</v>
      </c>
      <c r="AL121" s="101">
        <f t="shared" si="41"/>
        <v>0</v>
      </c>
      <c r="AM121" s="101">
        <f t="shared" si="41"/>
        <v>0</v>
      </c>
      <c r="AN121" s="101">
        <f t="shared" si="41"/>
        <v>0</v>
      </c>
      <c r="AO121" s="101">
        <f t="shared" si="41"/>
        <v>0</v>
      </c>
      <c r="AP121" s="101">
        <f t="shared" si="41"/>
        <v>0</v>
      </c>
      <c r="AQ121" s="101">
        <f t="shared" si="41"/>
        <v>0</v>
      </c>
      <c r="AR121" s="101">
        <f t="shared" si="41"/>
        <v>0</v>
      </c>
      <c r="AS121" s="101">
        <f t="shared" si="41"/>
        <v>0</v>
      </c>
      <c r="AT121" s="101">
        <f t="shared" si="41"/>
        <v>0</v>
      </c>
      <c r="AU121" s="101">
        <f t="shared" si="41"/>
        <v>0</v>
      </c>
      <c r="AV121" s="101">
        <f t="shared" si="41"/>
        <v>0</v>
      </c>
      <c r="AW121" s="101">
        <f t="shared" si="41"/>
        <v>0</v>
      </c>
      <c r="AX121" s="101"/>
      <c r="AY121" s="101"/>
    </row>
    <row r="122" spans="1:51" x14ac:dyDescent="0.25">
      <c r="A122" s="108" t="s">
        <v>283</v>
      </c>
      <c r="B122" s="108" t="s">
        <v>283</v>
      </c>
      <c r="C122" s="62" t="str">
        <f t="shared" si="42"/>
        <v>Scenario A - DUVHA</v>
      </c>
      <c r="D122" s="62" t="str">
        <f t="shared" si="44"/>
        <v xml:space="preserve">Scenario A - </v>
      </c>
      <c r="E122" s="105" t="s">
        <v>157</v>
      </c>
      <c r="F122" s="105"/>
      <c r="G122" s="105" t="s">
        <v>207</v>
      </c>
      <c r="H122" s="63">
        <v>2031</v>
      </c>
      <c r="I122" s="63">
        <v>2031</v>
      </c>
      <c r="J122" s="63"/>
      <c r="K122" s="63">
        <v>2033</v>
      </c>
      <c r="L122" s="63">
        <v>2033</v>
      </c>
      <c r="M122" s="63">
        <v>2034</v>
      </c>
      <c r="N122" s="63"/>
      <c r="O122" s="63"/>
      <c r="P122" s="63"/>
      <c r="Q122" s="101">
        <f t="shared" si="39"/>
        <v>5</v>
      </c>
      <c r="R122" s="101">
        <v>2.875</v>
      </c>
      <c r="S122" s="101">
        <f t="shared" si="43"/>
        <v>2.875</v>
      </c>
      <c r="T122" s="101">
        <f t="shared" si="43"/>
        <v>2.875</v>
      </c>
      <c r="U122" s="101">
        <f t="shared" si="43"/>
        <v>2.875</v>
      </c>
      <c r="V122" s="101">
        <f t="shared" si="43"/>
        <v>2.875</v>
      </c>
      <c r="W122" s="101">
        <f t="shared" si="43"/>
        <v>2.875</v>
      </c>
      <c r="X122" s="101">
        <f t="shared" si="43"/>
        <v>2.875</v>
      </c>
      <c r="Y122" s="101">
        <f t="shared" si="43"/>
        <v>2.875</v>
      </c>
      <c r="Z122" s="101">
        <f t="shared" si="43"/>
        <v>2.875</v>
      </c>
      <c r="AA122" s="101">
        <f t="shared" si="43"/>
        <v>2.875</v>
      </c>
      <c r="AB122" s="101">
        <f t="shared" si="43"/>
        <v>2.875</v>
      </c>
      <c r="AC122" s="101">
        <f t="shared" si="43"/>
        <v>2.875</v>
      </c>
      <c r="AD122" s="101">
        <f t="shared" si="43"/>
        <v>1.7250000000000001</v>
      </c>
      <c r="AE122" s="101">
        <f t="shared" si="43"/>
        <v>1.7250000000000001</v>
      </c>
      <c r="AF122" s="101">
        <f t="shared" si="43"/>
        <v>0.57500000000000018</v>
      </c>
      <c r="AG122" s="101">
        <f t="shared" si="43"/>
        <v>0</v>
      </c>
      <c r="AH122" s="101">
        <f t="shared" si="43"/>
        <v>0</v>
      </c>
      <c r="AI122" s="101">
        <f t="shared" si="41"/>
        <v>0</v>
      </c>
      <c r="AJ122" s="101">
        <f t="shared" si="41"/>
        <v>0</v>
      </c>
      <c r="AK122" s="101">
        <f t="shared" si="41"/>
        <v>0</v>
      </c>
      <c r="AL122" s="101">
        <f t="shared" si="41"/>
        <v>0</v>
      </c>
      <c r="AM122" s="101">
        <f t="shared" si="41"/>
        <v>0</v>
      </c>
      <c r="AN122" s="101">
        <f t="shared" si="41"/>
        <v>0</v>
      </c>
      <c r="AO122" s="101">
        <f t="shared" si="41"/>
        <v>0</v>
      </c>
      <c r="AP122" s="101">
        <f t="shared" si="41"/>
        <v>0</v>
      </c>
      <c r="AQ122" s="101">
        <f t="shared" si="41"/>
        <v>0</v>
      </c>
      <c r="AR122" s="101">
        <f t="shared" si="41"/>
        <v>0</v>
      </c>
      <c r="AS122" s="101">
        <f t="shared" si="41"/>
        <v>0</v>
      </c>
      <c r="AT122" s="101">
        <f t="shared" si="41"/>
        <v>0</v>
      </c>
      <c r="AU122" s="101">
        <f t="shared" si="41"/>
        <v>0</v>
      </c>
      <c r="AV122" s="101">
        <f t="shared" si="41"/>
        <v>0</v>
      </c>
      <c r="AW122" s="101">
        <f t="shared" si="41"/>
        <v>0</v>
      </c>
      <c r="AX122" s="101"/>
      <c r="AY122" s="101"/>
    </row>
    <row r="123" spans="1:51" x14ac:dyDescent="0.25">
      <c r="A123" s="106" t="s">
        <v>282</v>
      </c>
      <c r="B123" s="107" t="s">
        <v>282</v>
      </c>
      <c r="C123" s="62" t="str">
        <f t="shared" si="42"/>
        <v>Scenario A - HENDRINA</v>
      </c>
      <c r="D123" s="62" t="str">
        <f t="shared" si="44"/>
        <v xml:space="preserve">Scenario A - </v>
      </c>
      <c r="E123" s="105" t="s">
        <v>155</v>
      </c>
      <c r="F123" s="105"/>
      <c r="G123" s="105" t="s">
        <v>198</v>
      </c>
      <c r="H123" s="63">
        <v>2021</v>
      </c>
      <c r="I123" s="63">
        <v>2025</v>
      </c>
      <c r="J123" s="63"/>
      <c r="K123" s="63">
        <v>2025</v>
      </c>
      <c r="L123" s="63">
        <v>2025</v>
      </c>
      <c r="M123" s="63">
        <v>2025</v>
      </c>
      <c r="N123" s="63">
        <v>2024</v>
      </c>
      <c r="O123" s="63"/>
      <c r="P123" s="63">
        <v>2023</v>
      </c>
      <c r="Q123" s="101">
        <f t="shared" si="39"/>
        <v>7</v>
      </c>
      <c r="R123" s="101">
        <v>1.2929999999999999</v>
      </c>
      <c r="S123" s="101">
        <f t="shared" si="43"/>
        <v>1.2929999999999999</v>
      </c>
      <c r="T123" s="101">
        <f t="shared" si="43"/>
        <v>1.1082857142857143</v>
      </c>
      <c r="U123" s="101">
        <f t="shared" si="43"/>
        <v>1.1082857142857143</v>
      </c>
      <c r="V123" s="101">
        <f t="shared" si="43"/>
        <v>0.9235714285714286</v>
      </c>
      <c r="W123" s="101">
        <f t="shared" si="43"/>
        <v>0.73885714285714288</v>
      </c>
      <c r="X123" s="101">
        <f t="shared" si="43"/>
        <v>0</v>
      </c>
      <c r="Y123" s="101">
        <f t="shared" si="43"/>
        <v>0</v>
      </c>
      <c r="Z123" s="101">
        <f t="shared" si="43"/>
        <v>0</v>
      </c>
      <c r="AA123" s="101">
        <f t="shared" si="43"/>
        <v>0</v>
      </c>
      <c r="AB123" s="101">
        <f t="shared" si="43"/>
        <v>0</v>
      </c>
      <c r="AC123" s="101">
        <f t="shared" si="43"/>
        <v>0</v>
      </c>
      <c r="AD123" s="101">
        <f t="shared" si="43"/>
        <v>0</v>
      </c>
      <c r="AE123" s="101">
        <f t="shared" si="43"/>
        <v>0</v>
      </c>
      <c r="AF123" s="101">
        <f t="shared" si="43"/>
        <v>0</v>
      </c>
      <c r="AG123" s="101">
        <f t="shared" si="43"/>
        <v>0</v>
      </c>
      <c r="AH123" s="101">
        <f t="shared" si="43"/>
        <v>0</v>
      </c>
      <c r="AI123" s="101">
        <f t="shared" si="41"/>
        <v>0</v>
      </c>
      <c r="AJ123" s="101">
        <f t="shared" si="41"/>
        <v>0</v>
      </c>
      <c r="AK123" s="101">
        <f t="shared" si="41"/>
        <v>0</v>
      </c>
      <c r="AL123" s="101">
        <f t="shared" si="41"/>
        <v>0</v>
      </c>
      <c r="AM123" s="101">
        <f t="shared" si="41"/>
        <v>0</v>
      </c>
      <c r="AN123" s="101">
        <f t="shared" si="41"/>
        <v>0</v>
      </c>
      <c r="AO123" s="101">
        <f t="shared" si="41"/>
        <v>0</v>
      </c>
      <c r="AP123" s="101">
        <f t="shared" si="41"/>
        <v>0</v>
      </c>
      <c r="AQ123" s="101">
        <f t="shared" si="41"/>
        <v>0</v>
      </c>
      <c r="AR123" s="101">
        <f t="shared" si="41"/>
        <v>0</v>
      </c>
      <c r="AS123" s="101">
        <f t="shared" si="41"/>
        <v>0</v>
      </c>
      <c r="AT123" s="101">
        <f t="shared" si="41"/>
        <v>0</v>
      </c>
      <c r="AU123" s="101">
        <f t="shared" si="41"/>
        <v>0</v>
      </c>
      <c r="AV123" s="101">
        <f t="shared" si="41"/>
        <v>0</v>
      </c>
      <c r="AW123" s="101">
        <f t="shared" si="41"/>
        <v>0</v>
      </c>
      <c r="AX123" s="101"/>
      <c r="AY123" s="101"/>
    </row>
    <row r="124" spans="1:51" x14ac:dyDescent="0.25">
      <c r="A124" s="108" t="s">
        <v>283</v>
      </c>
      <c r="B124" s="108" t="s">
        <v>283</v>
      </c>
      <c r="C124" s="62" t="str">
        <f t="shared" si="42"/>
        <v>Scenario A - KENDAL</v>
      </c>
      <c r="D124" s="62" t="str">
        <f t="shared" si="44"/>
        <v xml:space="preserve">Scenario A - </v>
      </c>
      <c r="E124" s="105" t="s">
        <v>153</v>
      </c>
      <c r="F124" s="105"/>
      <c r="G124" s="105" t="s">
        <v>206</v>
      </c>
      <c r="H124" s="63">
        <v>2039</v>
      </c>
      <c r="I124" s="63">
        <v>2041</v>
      </c>
      <c r="J124" s="63">
        <v>2042</v>
      </c>
      <c r="K124" s="63">
        <v>2042</v>
      </c>
      <c r="L124" s="63">
        <v>2043</v>
      </c>
      <c r="M124" s="63">
        <v>2044</v>
      </c>
      <c r="N124" s="63"/>
      <c r="O124" s="63"/>
      <c r="P124" s="63"/>
      <c r="Q124" s="101">
        <f t="shared" si="39"/>
        <v>6</v>
      </c>
      <c r="R124" s="101">
        <v>3.84</v>
      </c>
      <c r="S124" s="101">
        <f t="shared" si="43"/>
        <v>3.84</v>
      </c>
      <c r="T124" s="101">
        <f t="shared" si="43"/>
        <v>3.84</v>
      </c>
      <c r="U124" s="101">
        <f t="shared" si="43"/>
        <v>3.84</v>
      </c>
      <c r="V124" s="101">
        <f t="shared" si="43"/>
        <v>3.84</v>
      </c>
      <c r="W124" s="101">
        <f t="shared" si="43"/>
        <v>3.84</v>
      </c>
      <c r="X124" s="101">
        <f t="shared" si="43"/>
        <v>3.84</v>
      </c>
      <c r="Y124" s="101">
        <f t="shared" si="43"/>
        <v>3.84</v>
      </c>
      <c r="Z124" s="101">
        <f t="shared" si="43"/>
        <v>3.84</v>
      </c>
      <c r="AA124" s="101">
        <f t="shared" si="43"/>
        <v>3.84</v>
      </c>
      <c r="AB124" s="101">
        <f t="shared" si="43"/>
        <v>3.84</v>
      </c>
      <c r="AC124" s="101">
        <f t="shared" si="43"/>
        <v>3.84</v>
      </c>
      <c r="AD124" s="101">
        <f t="shared" si="43"/>
        <v>3.84</v>
      </c>
      <c r="AE124" s="101">
        <f t="shared" si="43"/>
        <v>3.84</v>
      </c>
      <c r="AF124" s="101">
        <f t="shared" si="43"/>
        <v>3.84</v>
      </c>
      <c r="AG124" s="101">
        <f t="shared" si="43"/>
        <v>3.84</v>
      </c>
      <c r="AH124" s="101">
        <f t="shared" si="43"/>
        <v>3.84</v>
      </c>
      <c r="AI124" s="101">
        <f t="shared" si="41"/>
        <v>3.84</v>
      </c>
      <c r="AJ124" s="101">
        <f t="shared" si="41"/>
        <v>3.84</v>
      </c>
      <c r="AK124" s="101">
        <f t="shared" si="41"/>
        <v>3.84</v>
      </c>
      <c r="AL124" s="101">
        <f t="shared" si="41"/>
        <v>3.1999999999999997</v>
      </c>
      <c r="AM124" s="101">
        <f t="shared" si="41"/>
        <v>3.1999999999999997</v>
      </c>
      <c r="AN124" s="101">
        <f t="shared" si="41"/>
        <v>2.5599999999999996</v>
      </c>
      <c r="AO124" s="101">
        <f t="shared" si="41"/>
        <v>1.2799999999999996</v>
      </c>
      <c r="AP124" s="101">
        <f t="shared" si="41"/>
        <v>0.63999999999999957</v>
      </c>
      <c r="AQ124" s="101">
        <f t="shared" si="41"/>
        <v>0</v>
      </c>
      <c r="AR124" s="101">
        <f t="shared" si="41"/>
        <v>0</v>
      </c>
      <c r="AS124" s="101">
        <f t="shared" si="41"/>
        <v>0</v>
      </c>
      <c r="AT124" s="101">
        <f t="shared" si="41"/>
        <v>0</v>
      </c>
      <c r="AU124" s="101">
        <f t="shared" si="41"/>
        <v>0</v>
      </c>
      <c r="AV124" s="101">
        <f t="shared" si="41"/>
        <v>0</v>
      </c>
      <c r="AW124" s="101">
        <f t="shared" si="41"/>
        <v>0</v>
      </c>
      <c r="AX124" s="101"/>
      <c r="AY124" s="101"/>
    </row>
    <row r="125" spans="1:51" x14ac:dyDescent="0.25">
      <c r="A125" s="106" t="s">
        <v>282</v>
      </c>
      <c r="B125" s="107" t="s">
        <v>282</v>
      </c>
      <c r="C125" s="62" t="str">
        <f t="shared" si="42"/>
        <v>Scenario A - KRIEL</v>
      </c>
      <c r="D125" s="62" t="str">
        <f t="shared" si="44"/>
        <v xml:space="preserve">Scenario A - </v>
      </c>
      <c r="E125" s="105" t="s">
        <v>151</v>
      </c>
      <c r="F125" s="105"/>
      <c r="G125" s="105" t="s">
        <v>199</v>
      </c>
      <c r="H125" s="63">
        <v>2026</v>
      </c>
      <c r="I125" s="63">
        <v>2027</v>
      </c>
      <c r="J125" s="63">
        <v>2028</v>
      </c>
      <c r="K125" s="63">
        <v>2029</v>
      </c>
      <c r="L125" s="63">
        <v>2029</v>
      </c>
      <c r="M125" s="63">
        <v>2030</v>
      </c>
      <c r="N125" s="63"/>
      <c r="O125" s="63"/>
      <c r="P125" s="63"/>
      <c r="Q125" s="101">
        <f t="shared" si="39"/>
        <v>6</v>
      </c>
      <c r="R125" s="101">
        <v>2.85</v>
      </c>
      <c r="S125" s="101">
        <f t="shared" si="43"/>
        <v>2.85</v>
      </c>
      <c r="T125" s="101">
        <f t="shared" si="43"/>
        <v>2.85</v>
      </c>
      <c r="U125" s="101">
        <f t="shared" si="43"/>
        <v>2.85</v>
      </c>
      <c r="V125" s="101">
        <f t="shared" si="43"/>
        <v>2.85</v>
      </c>
      <c r="W125" s="101">
        <f t="shared" si="43"/>
        <v>2.85</v>
      </c>
      <c r="X125" s="101">
        <f t="shared" si="43"/>
        <v>2.85</v>
      </c>
      <c r="Y125" s="101">
        <f t="shared" si="43"/>
        <v>2.375</v>
      </c>
      <c r="Z125" s="101">
        <f t="shared" si="43"/>
        <v>1.9</v>
      </c>
      <c r="AA125" s="101">
        <f t="shared" si="43"/>
        <v>1.4249999999999998</v>
      </c>
      <c r="AB125" s="101">
        <f t="shared" si="43"/>
        <v>0.47499999999999976</v>
      </c>
      <c r="AC125" s="101">
        <f t="shared" si="43"/>
        <v>0</v>
      </c>
      <c r="AD125" s="101">
        <f t="shared" si="43"/>
        <v>0</v>
      </c>
      <c r="AE125" s="101">
        <f t="shared" si="43"/>
        <v>0</v>
      </c>
      <c r="AF125" s="101">
        <f t="shared" si="43"/>
        <v>0</v>
      </c>
      <c r="AG125" s="101">
        <f t="shared" si="43"/>
        <v>0</v>
      </c>
      <c r="AH125" s="101">
        <f t="shared" si="43"/>
        <v>0</v>
      </c>
      <c r="AI125" s="101">
        <f t="shared" si="41"/>
        <v>0</v>
      </c>
      <c r="AJ125" s="101">
        <f t="shared" si="41"/>
        <v>0</v>
      </c>
      <c r="AK125" s="101">
        <f t="shared" si="41"/>
        <v>0</v>
      </c>
      <c r="AL125" s="101">
        <f t="shared" si="41"/>
        <v>0</v>
      </c>
      <c r="AM125" s="101">
        <f t="shared" si="41"/>
        <v>0</v>
      </c>
      <c r="AN125" s="101">
        <f t="shared" si="41"/>
        <v>0</v>
      </c>
      <c r="AO125" s="101">
        <f t="shared" si="41"/>
        <v>0</v>
      </c>
      <c r="AP125" s="101">
        <f t="shared" si="41"/>
        <v>0</v>
      </c>
      <c r="AQ125" s="101">
        <f t="shared" si="41"/>
        <v>0</v>
      </c>
      <c r="AR125" s="101">
        <f t="shared" si="41"/>
        <v>0</v>
      </c>
      <c r="AS125" s="101">
        <f t="shared" si="41"/>
        <v>0</v>
      </c>
      <c r="AT125" s="101">
        <f t="shared" si="41"/>
        <v>0</v>
      </c>
      <c r="AU125" s="101">
        <f t="shared" si="41"/>
        <v>0</v>
      </c>
      <c r="AV125" s="101">
        <f t="shared" si="41"/>
        <v>0</v>
      </c>
      <c r="AW125" s="101">
        <f t="shared" si="41"/>
        <v>0</v>
      </c>
      <c r="AX125" s="101"/>
      <c r="AY125" s="101"/>
    </row>
    <row r="126" spans="1:51" x14ac:dyDescent="0.25">
      <c r="A126" s="106" t="s">
        <v>282</v>
      </c>
      <c r="B126" s="108" t="s">
        <v>283</v>
      </c>
      <c r="C126" s="62" t="str">
        <f t="shared" si="42"/>
        <v>Scenario A - LETHABO</v>
      </c>
      <c r="D126" s="62" t="str">
        <f t="shared" si="44"/>
        <v xml:space="preserve">Scenario A - </v>
      </c>
      <c r="E126" s="105" t="s">
        <v>149</v>
      </c>
      <c r="F126" s="105"/>
      <c r="G126" s="105" t="s">
        <v>205</v>
      </c>
      <c r="H126" s="63">
        <v>2036</v>
      </c>
      <c r="I126" s="63">
        <v>2037</v>
      </c>
      <c r="J126" s="63">
        <v>2037</v>
      </c>
      <c r="K126" s="63">
        <v>2038</v>
      </c>
      <c r="L126" s="63">
        <v>2040</v>
      </c>
      <c r="M126" s="63">
        <v>2041</v>
      </c>
      <c r="N126" s="63"/>
      <c r="O126" s="63"/>
      <c r="P126" s="63"/>
      <c r="Q126" s="101">
        <f t="shared" si="39"/>
        <v>6</v>
      </c>
      <c r="R126" s="101">
        <v>3.5579999999999998</v>
      </c>
      <c r="S126" s="101">
        <f t="shared" si="43"/>
        <v>3.5579999999999998</v>
      </c>
      <c r="T126" s="101">
        <f t="shared" si="43"/>
        <v>3.5579999999999998</v>
      </c>
      <c r="U126" s="101">
        <f t="shared" si="43"/>
        <v>3.5579999999999998</v>
      </c>
      <c r="V126" s="101">
        <f t="shared" si="43"/>
        <v>3.5579999999999998</v>
      </c>
      <c r="W126" s="101">
        <f t="shared" si="43"/>
        <v>3.5579999999999998</v>
      </c>
      <c r="X126" s="101">
        <f t="shared" si="43"/>
        <v>3.5579999999999998</v>
      </c>
      <c r="Y126" s="101">
        <f t="shared" si="43"/>
        <v>3.5579999999999998</v>
      </c>
      <c r="Z126" s="101">
        <f t="shared" si="43"/>
        <v>3.5579999999999998</v>
      </c>
      <c r="AA126" s="101">
        <f t="shared" si="43"/>
        <v>3.5579999999999998</v>
      </c>
      <c r="AB126" s="101">
        <f t="shared" si="43"/>
        <v>3.5579999999999998</v>
      </c>
      <c r="AC126" s="101">
        <f t="shared" si="43"/>
        <v>3.5579999999999998</v>
      </c>
      <c r="AD126" s="101">
        <f t="shared" si="43"/>
        <v>3.5579999999999998</v>
      </c>
      <c r="AE126" s="101">
        <f t="shared" si="43"/>
        <v>3.5579999999999998</v>
      </c>
      <c r="AF126" s="101">
        <f t="shared" si="43"/>
        <v>3.5579999999999998</v>
      </c>
      <c r="AG126" s="101">
        <f t="shared" si="43"/>
        <v>3.5579999999999998</v>
      </c>
      <c r="AH126" s="101">
        <f t="shared" si="43"/>
        <v>3.5579999999999998</v>
      </c>
      <c r="AI126" s="101">
        <f t="shared" si="41"/>
        <v>2.9649999999999999</v>
      </c>
      <c r="AJ126" s="101">
        <f t="shared" si="41"/>
        <v>1.7789999999999999</v>
      </c>
      <c r="AK126" s="101">
        <f t="shared" si="41"/>
        <v>1.1859999999999999</v>
      </c>
      <c r="AL126" s="101">
        <f t="shared" si="41"/>
        <v>1.1859999999999999</v>
      </c>
      <c r="AM126" s="101">
        <f t="shared" si="41"/>
        <v>0.59299999999999997</v>
      </c>
      <c r="AN126" s="101">
        <f t="shared" si="41"/>
        <v>0</v>
      </c>
      <c r="AO126" s="101">
        <f t="shared" si="41"/>
        <v>0</v>
      </c>
      <c r="AP126" s="101">
        <f t="shared" si="41"/>
        <v>0</v>
      </c>
      <c r="AQ126" s="101">
        <f t="shared" si="41"/>
        <v>0</v>
      </c>
      <c r="AR126" s="101">
        <f t="shared" si="41"/>
        <v>0</v>
      </c>
      <c r="AS126" s="101">
        <f t="shared" si="41"/>
        <v>0</v>
      </c>
      <c r="AT126" s="101">
        <f t="shared" si="41"/>
        <v>0</v>
      </c>
      <c r="AU126" s="101">
        <f t="shared" si="41"/>
        <v>0</v>
      </c>
      <c r="AV126" s="101">
        <f t="shared" si="41"/>
        <v>0</v>
      </c>
      <c r="AW126" s="101">
        <f t="shared" si="41"/>
        <v>0</v>
      </c>
      <c r="AX126" s="101"/>
      <c r="AY126" s="101"/>
    </row>
    <row r="127" spans="1:51" x14ac:dyDescent="0.25">
      <c r="A127" s="106" t="s">
        <v>282</v>
      </c>
      <c r="B127" s="108" t="s">
        <v>283</v>
      </c>
      <c r="C127" s="62" t="str">
        <f t="shared" si="42"/>
        <v>Scenario A - MAJUBA DRY</v>
      </c>
      <c r="D127" s="62" t="str">
        <f t="shared" si="44"/>
        <v xml:space="preserve">Scenario A - </v>
      </c>
      <c r="E127" s="105" t="s">
        <v>147</v>
      </c>
      <c r="F127" s="105"/>
      <c r="G127" s="105" t="s">
        <v>197</v>
      </c>
      <c r="H127" s="63">
        <v>2046</v>
      </c>
      <c r="I127" s="63">
        <v>2047</v>
      </c>
      <c r="J127" s="63">
        <v>2048</v>
      </c>
      <c r="K127" s="63"/>
      <c r="L127" s="63"/>
      <c r="M127" s="63"/>
      <c r="N127" s="63"/>
      <c r="O127" s="63"/>
      <c r="P127" s="63"/>
      <c r="Q127" s="101">
        <f t="shared" si="39"/>
        <v>3</v>
      </c>
      <c r="R127" s="101">
        <v>1.8330000000000002</v>
      </c>
      <c r="S127" s="101">
        <f t="shared" si="43"/>
        <v>1.8330000000000002</v>
      </c>
      <c r="T127" s="101">
        <f t="shared" si="43"/>
        <v>1.8330000000000002</v>
      </c>
      <c r="U127" s="101">
        <f t="shared" si="43"/>
        <v>1.8330000000000002</v>
      </c>
      <c r="V127" s="101">
        <f t="shared" si="43"/>
        <v>1.8330000000000002</v>
      </c>
      <c r="W127" s="101">
        <f t="shared" si="43"/>
        <v>1.8330000000000002</v>
      </c>
      <c r="X127" s="101">
        <f t="shared" si="43"/>
        <v>1.8330000000000002</v>
      </c>
      <c r="Y127" s="101">
        <f t="shared" si="43"/>
        <v>1.8330000000000002</v>
      </c>
      <c r="Z127" s="101">
        <f t="shared" si="43"/>
        <v>1.8330000000000002</v>
      </c>
      <c r="AA127" s="101">
        <f t="shared" si="43"/>
        <v>1.8330000000000002</v>
      </c>
      <c r="AB127" s="101">
        <f t="shared" si="43"/>
        <v>1.8330000000000002</v>
      </c>
      <c r="AC127" s="101">
        <f t="shared" si="43"/>
        <v>1.8330000000000002</v>
      </c>
      <c r="AD127" s="101">
        <f t="shared" si="43"/>
        <v>1.8330000000000002</v>
      </c>
      <c r="AE127" s="101">
        <f t="shared" si="43"/>
        <v>1.8330000000000002</v>
      </c>
      <c r="AF127" s="101">
        <f t="shared" si="43"/>
        <v>1.8330000000000002</v>
      </c>
      <c r="AG127" s="101">
        <f t="shared" si="43"/>
        <v>1.8330000000000002</v>
      </c>
      <c r="AH127" s="101">
        <f t="shared" si="43"/>
        <v>1.8330000000000002</v>
      </c>
      <c r="AI127" s="101">
        <f t="shared" si="41"/>
        <v>1.8330000000000002</v>
      </c>
      <c r="AJ127" s="101">
        <f t="shared" si="41"/>
        <v>1.8330000000000002</v>
      </c>
      <c r="AK127" s="101">
        <f t="shared" si="41"/>
        <v>1.8330000000000002</v>
      </c>
      <c r="AL127" s="101">
        <f t="shared" si="41"/>
        <v>1.8330000000000002</v>
      </c>
      <c r="AM127" s="101">
        <f t="shared" si="41"/>
        <v>1.8330000000000002</v>
      </c>
      <c r="AN127" s="101">
        <f t="shared" si="41"/>
        <v>1.8330000000000002</v>
      </c>
      <c r="AO127" s="101">
        <f t="shared" si="41"/>
        <v>1.8330000000000002</v>
      </c>
      <c r="AP127" s="101">
        <f t="shared" si="41"/>
        <v>1.8330000000000002</v>
      </c>
      <c r="AQ127" s="101">
        <f t="shared" si="41"/>
        <v>1.8330000000000002</v>
      </c>
      <c r="AR127" s="101">
        <f t="shared" si="41"/>
        <v>1.8330000000000002</v>
      </c>
      <c r="AS127" s="101">
        <f t="shared" si="41"/>
        <v>1.222</v>
      </c>
      <c r="AT127" s="101">
        <f t="shared" si="41"/>
        <v>0.61099999999999988</v>
      </c>
      <c r="AU127" s="101">
        <f t="shared" si="41"/>
        <v>0</v>
      </c>
      <c r="AV127" s="101">
        <f t="shared" si="41"/>
        <v>0</v>
      </c>
      <c r="AW127" s="101">
        <f t="shared" si="41"/>
        <v>0</v>
      </c>
      <c r="AX127" s="101"/>
      <c r="AY127" s="101"/>
    </row>
    <row r="128" spans="1:51" x14ac:dyDescent="0.25">
      <c r="A128" s="106" t="s">
        <v>282</v>
      </c>
      <c r="B128" s="108" t="s">
        <v>283</v>
      </c>
      <c r="C128" s="62" t="str">
        <f t="shared" si="42"/>
        <v>Scenario A - MAJUBA WET</v>
      </c>
      <c r="D128" s="62" t="str">
        <f t="shared" si="44"/>
        <v xml:space="preserve">Scenario A - </v>
      </c>
      <c r="E128" s="105" t="s">
        <v>145</v>
      </c>
      <c r="F128" s="105"/>
      <c r="G128" s="105"/>
      <c r="H128" s="63"/>
      <c r="I128" s="63"/>
      <c r="J128" s="63"/>
      <c r="K128" s="63">
        <v>2049</v>
      </c>
      <c r="L128" s="63">
        <v>2050</v>
      </c>
      <c r="M128" s="63">
        <v>2051</v>
      </c>
      <c r="O128" s="63"/>
      <c r="P128" s="63"/>
      <c r="Q128" s="101">
        <f t="shared" si="39"/>
        <v>3</v>
      </c>
      <c r="R128" s="101">
        <v>2.0099999999999998</v>
      </c>
      <c r="S128" s="101">
        <f t="shared" si="43"/>
        <v>2.0099999999999998</v>
      </c>
      <c r="T128" s="101">
        <f t="shared" si="43"/>
        <v>2.0099999999999998</v>
      </c>
      <c r="U128" s="101">
        <f t="shared" si="43"/>
        <v>2.0099999999999998</v>
      </c>
      <c r="V128" s="101">
        <f t="shared" si="43"/>
        <v>2.0099999999999998</v>
      </c>
      <c r="W128" s="101">
        <f t="shared" si="43"/>
        <v>2.0099999999999998</v>
      </c>
      <c r="X128" s="101">
        <f t="shared" si="43"/>
        <v>2.0099999999999998</v>
      </c>
      <c r="Y128" s="101">
        <f t="shared" si="43"/>
        <v>2.0099999999999998</v>
      </c>
      <c r="Z128" s="101">
        <f t="shared" si="43"/>
        <v>2.0099999999999998</v>
      </c>
      <c r="AA128" s="101">
        <f t="shared" si="43"/>
        <v>2.0099999999999998</v>
      </c>
      <c r="AB128" s="101">
        <f t="shared" si="43"/>
        <v>2.0099999999999998</v>
      </c>
      <c r="AC128" s="101">
        <f t="shared" si="43"/>
        <v>2.0099999999999998</v>
      </c>
      <c r="AD128" s="101">
        <f t="shared" si="43"/>
        <v>2.0099999999999998</v>
      </c>
      <c r="AE128" s="101">
        <f t="shared" si="43"/>
        <v>2.0099999999999998</v>
      </c>
      <c r="AF128" s="101">
        <f t="shared" si="43"/>
        <v>2.0099999999999998</v>
      </c>
      <c r="AG128" s="101">
        <f t="shared" si="43"/>
        <v>2.0099999999999998</v>
      </c>
      <c r="AH128" s="101">
        <f t="shared" si="43"/>
        <v>2.0099999999999998</v>
      </c>
      <c r="AI128" s="101">
        <f t="shared" si="41"/>
        <v>2.0099999999999998</v>
      </c>
      <c r="AJ128" s="101">
        <f t="shared" si="41"/>
        <v>2.0099999999999998</v>
      </c>
      <c r="AK128" s="101">
        <f t="shared" si="41"/>
        <v>2.0099999999999998</v>
      </c>
      <c r="AL128" s="101">
        <f t="shared" si="41"/>
        <v>2.0099999999999998</v>
      </c>
      <c r="AM128" s="101">
        <f t="shared" si="41"/>
        <v>2.0099999999999998</v>
      </c>
      <c r="AN128" s="101">
        <f t="shared" si="41"/>
        <v>2.0099999999999998</v>
      </c>
      <c r="AO128" s="101">
        <f t="shared" si="41"/>
        <v>2.0099999999999998</v>
      </c>
      <c r="AP128" s="101">
        <f t="shared" si="41"/>
        <v>2.0099999999999998</v>
      </c>
      <c r="AQ128" s="101">
        <f t="shared" si="41"/>
        <v>2.0099999999999998</v>
      </c>
      <c r="AR128" s="101">
        <f t="shared" si="41"/>
        <v>2.0099999999999998</v>
      </c>
      <c r="AS128" s="101">
        <f t="shared" si="41"/>
        <v>2.0099999999999998</v>
      </c>
      <c r="AT128" s="101">
        <f t="shared" si="41"/>
        <v>2.0099999999999998</v>
      </c>
      <c r="AU128" s="101">
        <f t="shared" si="41"/>
        <v>2.0099999999999998</v>
      </c>
      <c r="AV128" s="101">
        <f t="shared" si="41"/>
        <v>1.3399999999999999</v>
      </c>
      <c r="AW128" s="101">
        <f t="shared" si="41"/>
        <v>0.66999999999999993</v>
      </c>
      <c r="AX128" s="101"/>
      <c r="AY128" s="101"/>
    </row>
    <row r="129" spans="1:51" x14ac:dyDescent="0.25">
      <c r="A129" s="106" t="s">
        <v>282</v>
      </c>
      <c r="B129" s="108" t="s">
        <v>283</v>
      </c>
      <c r="C129" s="62" t="str">
        <f t="shared" si="42"/>
        <v>Scenario A - MATIMBA</v>
      </c>
      <c r="D129" s="62" t="str">
        <f t="shared" si="44"/>
        <v xml:space="preserve">Scenario A - </v>
      </c>
      <c r="E129" s="105" t="s">
        <v>143</v>
      </c>
      <c r="F129" s="105"/>
      <c r="G129" s="105" t="s">
        <v>204</v>
      </c>
      <c r="H129" s="63">
        <v>2038</v>
      </c>
      <c r="I129" s="63">
        <v>2038</v>
      </c>
      <c r="J129" s="63">
        <v>2039</v>
      </c>
      <c r="K129" s="63">
        <v>2040</v>
      </c>
      <c r="L129" s="63">
        <v>2041</v>
      </c>
      <c r="M129" s="63">
        <v>2042</v>
      </c>
      <c r="N129" s="63"/>
      <c r="O129" s="63"/>
      <c r="P129" s="63"/>
      <c r="Q129" s="101">
        <f t="shared" si="39"/>
        <v>6</v>
      </c>
      <c r="R129" s="101">
        <v>3.69</v>
      </c>
      <c r="S129" s="101">
        <f t="shared" si="43"/>
        <v>3.69</v>
      </c>
      <c r="T129" s="101">
        <f t="shared" si="43"/>
        <v>3.69</v>
      </c>
      <c r="U129" s="101">
        <f t="shared" si="43"/>
        <v>3.69</v>
      </c>
      <c r="V129" s="101">
        <f t="shared" si="43"/>
        <v>3.69</v>
      </c>
      <c r="W129" s="101">
        <f t="shared" si="43"/>
        <v>3.69</v>
      </c>
      <c r="X129" s="101">
        <f t="shared" si="43"/>
        <v>3.69</v>
      </c>
      <c r="Y129" s="101">
        <f t="shared" si="43"/>
        <v>3.69</v>
      </c>
      <c r="Z129" s="101">
        <f t="shared" si="43"/>
        <v>3.69</v>
      </c>
      <c r="AA129" s="101">
        <f t="shared" si="43"/>
        <v>3.69</v>
      </c>
      <c r="AB129" s="101">
        <f t="shared" si="43"/>
        <v>3.69</v>
      </c>
      <c r="AC129" s="101">
        <f t="shared" si="43"/>
        <v>3.69</v>
      </c>
      <c r="AD129" s="101">
        <f t="shared" si="43"/>
        <v>3.69</v>
      </c>
      <c r="AE129" s="101">
        <f t="shared" si="43"/>
        <v>3.69</v>
      </c>
      <c r="AF129" s="101">
        <f t="shared" si="43"/>
        <v>3.69</v>
      </c>
      <c r="AG129" s="101">
        <f t="shared" si="43"/>
        <v>3.69</v>
      </c>
      <c r="AH129" s="101">
        <f t="shared" si="43"/>
        <v>3.69</v>
      </c>
      <c r="AI129" s="101">
        <f t="shared" si="41"/>
        <v>3.69</v>
      </c>
      <c r="AJ129" s="101">
        <f t="shared" si="41"/>
        <v>3.69</v>
      </c>
      <c r="AK129" s="101">
        <f t="shared" si="41"/>
        <v>2.46</v>
      </c>
      <c r="AL129" s="101">
        <f t="shared" si="41"/>
        <v>1.845</v>
      </c>
      <c r="AM129" s="101">
        <f t="shared" si="41"/>
        <v>1.23</v>
      </c>
      <c r="AN129" s="101">
        <f t="shared" si="41"/>
        <v>0.61499999999999999</v>
      </c>
      <c r="AO129" s="101">
        <f t="shared" si="41"/>
        <v>0</v>
      </c>
      <c r="AP129" s="101">
        <f t="shared" si="41"/>
        <v>0</v>
      </c>
      <c r="AQ129" s="101">
        <f t="shared" si="41"/>
        <v>0</v>
      </c>
      <c r="AR129" s="101">
        <f t="shared" si="41"/>
        <v>0</v>
      </c>
      <c r="AS129" s="101">
        <f t="shared" si="41"/>
        <v>0</v>
      </c>
      <c r="AT129" s="101">
        <f t="shared" si="41"/>
        <v>0</v>
      </c>
      <c r="AU129" s="101">
        <f t="shared" si="41"/>
        <v>0</v>
      </c>
      <c r="AV129" s="101">
        <f t="shared" si="41"/>
        <v>0</v>
      </c>
      <c r="AW129" s="101">
        <f t="shared" si="41"/>
        <v>0</v>
      </c>
      <c r="AX129" s="101"/>
      <c r="AY129" s="101"/>
    </row>
    <row r="130" spans="1:51" x14ac:dyDescent="0.25">
      <c r="A130" s="108" t="s">
        <v>283</v>
      </c>
      <c r="B130" s="108" t="s">
        <v>283</v>
      </c>
      <c r="C130" s="62" t="str">
        <f t="shared" si="42"/>
        <v>Scenario A - MATLA</v>
      </c>
      <c r="D130" s="62" t="str">
        <f t="shared" si="44"/>
        <v xml:space="preserve">Scenario A - </v>
      </c>
      <c r="E130" s="105" t="s">
        <v>141</v>
      </c>
      <c r="F130" s="105"/>
      <c r="G130" s="105" t="s">
        <v>200</v>
      </c>
      <c r="H130" s="63">
        <v>2030</v>
      </c>
      <c r="I130" s="63">
        <v>2031</v>
      </c>
      <c r="J130" s="63">
        <v>2031</v>
      </c>
      <c r="K130" s="63">
        <v>2032</v>
      </c>
      <c r="L130" s="63">
        <v>2033</v>
      </c>
      <c r="M130" s="63">
        <v>2034</v>
      </c>
      <c r="N130" s="63"/>
      <c r="O130" s="63"/>
      <c r="P130" s="63"/>
      <c r="Q130" s="101">
        <f t="shared" si="39"/>
        <v>6</v>
      </c>
      <c r="R130" s="101">
        <v>3.45</v>
      </c>
      <c r="S130" s="101">
        <f t="shared" si="43"/>
        <v>3.45</v>
      </c>
      <c r="T130" s="101">
        <f t="shared" si="43"/>
        <v>3.45</v>
      </c>
      <c r="U130" s="101">
        <f t="shared" si="43"/>
        <v>3.45</v>
      </c>
      <c r="V130" s="101">
        <f t="shared" si="43"/>
        <v>3.45</v>
      </c>
      <c r="W130" s="101">
        <f t="shared" si="43"/>
        <v>3.45</v>
      </c>
      <c r="X130" s="101">
        <f t="shared" si="43"/>
        <v>3.45</v>
      </c>
      <c r="Y130" s="101">
        <f t="shared" si="43"/>
        <v>3.45</v>
      </c>
      <c r="Z130" s="101">
        <f t="shared" si="43"/>
        <v>3.45</v>
      </c>
      <c r="AA130" s="101">
        <f t="shared" si="43"/>
        <v>3.45</v>
      </c>
      <c r="AB130" s="101">
        <f t="shared" si="43"/>
        <v>3.45</v>
      </c>
      <c r="AC130" s="101">
        <f t="shared" si="43"/>
        <v>2.875</v>
      </c>
      <c r="AD130" s="101">
        <f t="shared" si="43"/>
        <v>1.7249999999999999</v>
      </c>
      <c r="AE130" s="101">
        <f t="shared" si="43"/>
        <v>1.1499999999999999</v>
      </c>
      <c r="AF130" s="101">
        <f t="shared" si="43"/>
        <v>0.57499999999999984</v>
      </c>
      <c r="AG130" s="101">
        <f t="shared" si="43"/>
        <v>0</v>
      </c>
      <c r="AH130" s="101">
        <f t="shared" si="43"/>
        <v>0</v>
      </c>
      <c r="AI130" s="101">
        <f t="shared" si="41"/>
        <v>0</v>
      </c>
      <c r="AJ130" s="101">
        <f t="shared" si="41"/>
        <v>0</v>
      </c>
      <c r="AK130" s="101">
        <f t="shared" si="41"/>
        <v>0</v>
      </c>
      <c r="AL130" s="101">
        <f t="shared" si="41"/>
        <v>0</v>
      </c>
      <c r="AM130" s="101">
        <f t="shared" si="41"/>
        <v>0</v>
      </c>
      <c r="AN130" s="101">
        <f t="shared" si="41"/>
        <v>0</v>
      </c>
      <c r="AO130" s="101">
        <f t="shared" si="41"/>
        <v>0</v>
      </c>
      <c r="AP130" s="101">
        <f t="shared" si="41"/>
        <v>0</v>
      </c>
      <c r="AQ130" s="101">
        <f t="shared" si="41"/>
        <v>0</v>
      </c>
      <c r="AR130" s="101">
        <f t="shared" si="41"/>
        <v>0</v>
      </c>
      <c r="AS130" s="101">
        <f t="shared" si="41"/>
        <v>0</v>
      </c>
      <c r="AT130" s="101">
        <f t="shared" si="41"/>
        <v>0</v>
      </c>
      <c r="AU130" s="101">
        <f t="shared" si="41"/>
        <v>0</v>
      </c>
      <c r="AV130" s="101">
        <f t="shared" si="41"/>
        <v>0</v>
      </c>
      <c r="AW130" s="101">
        <f t="shared" si="41"/>
        <v>0</v>
      </c>
      <c r="AX130" s="101"/>
      <c r="AY130" s="101"/>
    </row>
    <row r="131" spans="1:51" x14ac:dyDescent="0.25">
      <c r="A131" s="108" t="s">
        <v>283</v>
      </c>
      <c r="B131" s="108" t="s">
        <v>283</v>
      </c>
      <c r="C131" s="62" t="str">
        <f t="shared" si="42"/>
        <v>Scenario A - TUTUKA</v>
      </c>
      <c r="D131" s="62" t="str">
        <f t="shared" si="44"/>
        <v xml:space="preserve">Scenario A - </v>
      </c>
      <c r="E131" s="105" t="s">
        <v>139</v>
      </c>
      <c r="F131" s="105"/>
      <c r="G131" s="105" t="s">
        <v>202</v>
      </c>
      <c r="H131" s="63">
        <v>2030</v>
      </c>
      <c r="I131" s="63">
        <v>2030</v>
      </c>
      <c r="J131" s="63">
        <v>2030</v>
      </c>
      <c r="K131" s="63">
        <v>2030</v>
      </c>
      <c r="L131" s="63">
        <v>2030</v>
      </c>
      <c r="M131" s="63">
        <v>2030</v>
      </c>
      <c r="N131" s="63"/>
      <c r="O131" s="63"/>
      <c r="P131" s="63"/>
      <c r="Q131" s="101">
        <f t="shared" si="39"/>
        <v>6</v>
      </c>
      <c r="R131" s="101">
        <v>3.51</v>
      </c>
      <c r="S131" s="101">
        <f t="shared" si="43"/>
        <v>3.51</v>
      </c>
      <c r="T131" s="101">
        <f t="shared" si="43"/>
        <v>3.51</v>
      </c>
      <c r="U131" s="101">
        <f t="shared" si="43"/>
        <v>3.51</v>
      </c>
      <c r="V131" s="101">
        <f t="shared" si="43"/>
        <v>3.51</v>
      </c>
      <c r="W131" s="101">
        <f t="shared" si="43"/>
        <v>3.51</v>
      </c>
      <c r="X131" s="101">
        <f t="shared" si="43"/>
        <v>3.51</v>
      </c>
      <c r="Y131" s="101">
        <f t="shared" si="43"/>
        <v>3.51</v>
      </c>
      <c r="Z131" s="101">
        <f t="shared" si="43"/>
        <v>3.51</v>
      </c>
      <c r="AA131" s="101">
        <f t="shared" si="43"/>
        <v>3.51</v>
      </c>
      <c r="AB131" s="101">
        <f t="shared" si="43"/>
        <v>3.51</v>
      </c>
      <c r="AC131" s="101">
        <f t="shared" si="43"/>
        <v>0</v>
      </c>
      <c r="AD131" s="101">
        <f t="shared" si="43"/>
        <v>0</v>
      </c>
      <c r="AE131" s="101">
        <f t="shared" si="43"/>
        <v>0</v>
      </c>
      <c r="AF131" s="101">
        <f t="shared" si="43"/>
        <v>0</v>
      </c>
      <c r="AG131" s="101">
        <f t="shared" si="43"/>
        <v>0</v>
      </c>
      <c r="AH131" s="101">
        <f t="shared" si="43"/>
        <v>0</v>
      </c>
      <c r="AI131" s="101">
        <f t="shared" si="41"/>
        <v>0</v>
      </c>
      <c r="AJ131" s="101">
        <f t="shared" si="41"/>
        <v>0</v>
      </c>
      <c r="AK131" s="101">
        <f t="shared" si="41"/>
        <v>0</v>
      </c>
      <c r="AL131" s="101">
        <f t="shared" si="41"/>
        <v>0</v>
      </c>
      <c r="AM131" s="101">
        <f t="shared" si="41"/>
        <v>0</v>
      </c>
      <c r="AN131" s="101">
        <f t="shared" si="41"/>
        <v>0</v>
      </c>
      <c r="AO131" s="101">
        <f t="shared" si="41"/>
        <v>0</v>
      </c>
      <c r="AP131" s="101">
        <f t="shared" si="41"/>
        <v>0</v>
      </c>
      <c r="AQ131" s="101">
        <f t="shared" si="41"/>
        <v>0</v>
      </c>
      <c r="AR131" s="101">
        <f t="shared" si="41"/>
        <v>0</v>
      </c>
      <c r="AS131" s="101">
        <f t="shared" si="41"/>
        <v>0</v>
      </c>
      <c r="AT131" s="101">
        <f t="shared" si="41"/>
        <v>0</v>
      </c>
      <c r="AU131" s="101">
        <f t="shared" si="41"/>
        <v>0</v>
      </c>
      <c r="AV131" s="101">
        <f t="shared" si="41"/>
        <v>0</v>
      </c>
      <c r="AW131" s="101">
        <f t="shared" si="41"/>
        <v>0</v>
      </c>
      <c r="AX131" s="101"/>
      <c r="AY131" s="101"/>
    </row>
    <row r="134" spans="1:51" x14ac:dyDescent="0.25">
      <c r="B134" s="102" t="s">
        <v>254</v>
      </c>
      <c r="C134" s="102"/>
      <c r="D134" s="102"/>
    </row>
    <row r="135" spans="1:51" x14ac:dyDescent="0.25">
      <c r="B135" s="102" t="s">
        <v>264</v>
      </c>
      <c r="C135" s="102"/>
      <c r="D135" s="102"/>
    </row>
    <row r="136" spans="1:51" x14ac:dyDescent="0.25">
      <c r="B136" s="102" t="s">
        <v>269</v>
      </c>
      <c r="C136" s="102"/>
      <c r="D136" s="102"/>
    </row>
    <row r="137" spans="1:51" x14ac:dyDescent="0.25">
      <c r="E137" s="62" t="s">
        <v>294</v>
      </c>
    </row>
    <row r="138" spans="1:51" x14ac:dyDescent="0.25">
      <c r="E138" s="101"/>
      <c r="F138" s="101"/>
      <c r="G138" s="101" t="s">
        <v>210</v>
      </c>
      <c r="H138" s="101">
        <v>1</v>
      </c>
      <c r="I138" s="101">
        <v>2</v>
      </c>
      <c r="J138" s="101">
        <v>3</v>
      </c>
      <c r="K138" s="101">
        <v>4</v>
      </c>
      <c r="L138" s="101">
        <v>5</v>
      </c>
      <c r="M138" s="101">
        <v>6</v>
      </c>
      <c r="N138" s="101">
        <v>7</v>
      </c>
      <c r="O138" s="101">
        <v>8</v>
      </c>
      <c r="P138" s="101">
        <v>9</v>
      </c>
      <c r="Q138" s="101" t="s">
        <v>43</v>
      </c>
      <c r="R138" s="101">
        <v>2019</v>
      </c>
      <c r="S138" s="101">
        <v>2020</v>
      </c>
      <c r="T138" s="101">
        <v>2021</v>
      </c>
      <c r="U138" s="101">
        <v>2022</v>
      </c>
      <c r="V138" s="101">
        <v>2023</v>
      </c>
      <c r="W138" s="101">
        <v>2024</v>
      </c>
      <c r="X138" s="101">
        <v>2025</v>
      </c>
      <c r="Y138" s="101">
        <v>2026</v>
      </c>
      <c r="Z138" s="101">
        <v>2027</v>
      </c>
      <c r="AA138" s="101">
        <v>2028</v>
      </c>
      <c r="AB138" s="101">
        <v>2029</v>
      </c>
      <c r="AC138" s="101">
        <v>2030</v>
      </c>
      <c r="AD138" s="101">
        <v>2031</v>
      </c>
      <c r="AE138" s="101">
        <v>2032</v>
      </c>
      <c r="AF138" s="101">
        <v>2033</v>
      </c>
      <c r="AG138" s="101">
        <v>2034</v>
      </c>
      <c r="AH138" s="101">
        <v>2035</v>
      </c>
      <c r="AI138" s="101">
        <v>2036</v>
      </c>
      <c r="AJ138" s="101">
        <v>2037</v>
      </c>
      <c r="AK138" s="101">
        <v>2038</v>
      </c>
      <c r="AL138" s="101">
        <v>2039</v>
      </c>
      <c r="AM138" s="101">
        <v>2040</v>
      </c>
      <c r="AN138" s="101">
        <v>2041</v>
      </c>
      <c r="AO138" s="101">
        <v>2042</v>
      </c>
      <c r="AP138" s="101">
        <v>2043</v>
      </c>
      <c r="AQ138" s="101">
        <v>2044</v>
      </c>
      <c r="AR138" s="101">
        <v>2045</v>
      </c>
      <c r="AS138" s="101">
        <v>2046</v>
      </c>
      <c r="AT138" s="101">
        <v>2047</v>
      </c>
      <c r="AU138" s="101">
        <v>2048</v>
      </c>
      <c r="AV138" s="101">
        <v>2049</v>
      </c>
      <c r="AW138" s="101">
        <v>2050</v>
      </c>
      <c r="AX138" s="101"/>
      <c r="AY138" s="101"/>
    </row>
    <row r="139" spans="1:51" x14ac:dyDescent="0.25">
      <c r="C139" s="62" t="str">
        <f>D139&amp;E139</f>
        <v>Scenario B - gradualCAMDEN</v>
      </c>
      <c r="D139" s="62" t="str">
        <f>E137</f>
        <v>Scenario B - gradual</v>
      </c>
      <c r="E139" s="101" t="s">
        <v>165</v>
      </c>
      <c r="F139" s="101"/>
      <c r="G139" s="101" t="s">
        <v>208</v>
      </c>
      <c r="H139" s="62">
        <f>IF(H118="","",H118)</f>
        <v>2024</v>
      </c>
      <c r="I139" s="62">
        <f t="shared" ref="I139:O139" si="45">IF(I118="","",I118)</f>
        <v>2024</v>
      </c>
      <c r="J139" s="62">
        <f t="shared" si="45"/>
        <v>2025</v>
      </c>
      <c r="K139" s="62">
        <f t="shared" si="45"/>
        <v>2026</v>
      </c>
      <c r="L139" s="62">
        <f t="shared" si="45"/>
        <v>2026</v>
      </c>
      <c r="M139" s="62">
        <f t="shared" si="45"/>
        <v>2025</v>
      </c>
      <c r="N139" s="62">
        <f t="shared" si="45"/>
        <v>2026</v>
      </c>
      <c r="O139" s="62" t="str">
        <f t="shared" si="45"/>
        <v/>
      </c>
      <c r="Q139" s="101">
        <f t="shared" ref="Q139:Q152" si="46">COUNT(H139:P139)</f>
        <v>7</v>
      </c>
      <c r="R139" s="101">
        <v>1.4810000000000001</v>
      </c>
      <c r="S139" s="101">
        <f>COUNTIF($H139:$P139,S$98)*-$R139/$Q139+R139</f>
        <v>1.4810000000000001</v>
      </c>
      <c r="T139" s="101">
        <f t="shared" ref="T139:AI139" si="47">COUNTIF($H139:$P139,T$98)*-$R139/$Q139+S139</f>
        <v>1.4810000000000001</v>
      </c>
      <c r="U139" s="101">
        <f t="shared" si="47"/>
        <v>1.4810000000000001</v>
      </c>
      <c r="V139" s="101">
        <f t="shared" si="47"/>
        <v>1.4810000000000001</v>
      </c>
      <c r="W139" s="101">
        <f t="shared" si="47"/>
        <v>1.0578571428571428</v>
      </c>
      <c r="X139" s="101">
        <f t="shared" si="47"/>
        <v>0.63471428571428568</v>
      </c>
      <c r="Y139" s="101">
        <f t="shared" si="47"/>
        <v>0</v>
      </c>
      <c r="Z139" s="101">
        <f t="shared" si="47"/>
        <v>0</v>
      </c>
      <c r="AA139" s="101">
        <f t="shared" si="47"/>
        <v>0</v>
      </c>
      <c r="AB139" s="101">
        <f t="shared" si="47"/>
        <v>0</v>
      </c>
      <c r="AC139" s="101">
        <f t="shared" si="47"/>
        <v>0</v>
      </c>
      <c r="AD139" s="101">
        <f t="shared" si="47"/>
        <v>0</v>
      </c>
      <c r="AE139" s="101">
        <f t="shared" si="47"/>
        <v>0</v>
      </c>
      <c r="AF139" s="101">
        <f t="shared" si="47"/>
        <v>0</v>
      </c>
      <c r="AG139" s="101">
        <f t="shared" si="47"/>
        <v>0</v>
      </c>
      <c r="AH139" s="101">
        <f t="shared" si="47"/>
        <v>0</v>
      </c>
      <c r="AI139" s="101">
        <f t="shared" si="47"/>
        <v>0</v>
      </c>
      <c r="AJ139" s="101">
        <f t="shared" ref="AI139:AW152" si="48">COUNTIF($H139:$P139,AJ$98)*-$R139/$Q139+AI139</f>
        <v>0</v>
      </c>
      <c r="AK139" s="101">
        <f t="shared" si="48"/>
        <v>0</v>
      </c>
      <c r="AL139" s="101">
        <f t="shared" si="48"/>
        <v>0</v>
      </c>
      <c r="AM139" s="101">
        <f t="shared" si="48"/>
        <v>0</v>
      </c>
      <c r="AN139" s="101">
        <f t="shared" si="48"/>
        <v>0</v>
      </c>
      <c r="AO139" s="101">
        <f t="shared" si="48"/>
        <v>0</v>
      </c>
      <c r="AP139" s="101">
        <f t="shared" si="48"/>
        <v>0</v>
      </c>
      <c r="AQ139" s="101">
        <f t="shared" si="48"/>
        <v>0</v>
      </c>
      <c r="AR139" s="101">
        <f t="shared" si="48"/>
        <v>0</v>
      </c>
      <c r="AS139" s="101">
        <f t="shared" si="48"/>
        <v>0</v>
      </c>
      <c r="AT139" s="101">
        <f t="shared" si="48"/>
        <v>0</v>
      </c>
      <c r="AU139" s="101">
        <f t="shared" si="48"/>
        <v>0</v>
      </c>
      <c r="AV139" s="101">
        <f t="shared" si="48"/>
        <v>0</v>
      </c>
      <c r="AW139" s="101">
        <f t="shared" si="48"/>
        <v>0</v>
      </c>
      <c r="AX139" s="101"/>
      <c r="AY139" s="101"/>
    </row>
    <row r="140" spans="1:51" x14ac:dyDescent="0.25">
      <c r="C140" s="62" t="str">
        <f t="shared" ref="C140:C152" si="49">D140&amp;E140</f>
        <v>Scenario B - gradualGROOTVLEI</v>
      </c>
      <c r="D140" s="62" t="str">
        <f>D139</f>
        <v>Scenario B - gradual</v>
      </c>
      <c r="E140" s="101" t="s">
        <v>163</v>
      </c>
      <c r="F140" s="101"/>
      <c r="G140" s="101" t="s">
        <v>195</v>
      </c>
      <c r="H140" s="62">
        <f t="shared" ref="H140:O142" si="50">IF(H119="","",H119)</f>
        <v>2026</v>
      </c>
      <c r="I140" s="62">
        <f t="shared" si="50"/>
        <v>2027</v>
      </c>
      <c r="J140" s="62">
        <f t="shared" si="50"/>
        <v>2028</v>
      </c>
      <c r="K140" s="62" t="str">
        <f t="shared" si="50"/>
        <v/>
      </c>
      <c r="L140" s="62" t="str">
        <f t="shared" si="50"/>
        <v/>
      </c>
      <c r="M140" s="62" t="str">
        <f t="shared" si="50"/>
        <v/>
      </c>
      <c r="N140" s="62" t="str">
        <f t="shared" si="50"/>
        <v/>
      </c>
      <c r="O140" s="62" t="str">
        <f t="shared" si="50"/>
        <v/>
      </c>
      <c r="Q140" s="101">
        <f t="shared" si="46"/>
        <v>3</v>
      </c>
      <c r="R140" s="101">
        <v>0.56999999999999995</v>
      </c>
      <c r="S140" s="101">
        <f t="shared" ref="S140:AH152" si="51">COUNTIF($H140:$P140,S$98)*-$R140/$Q140+R140</f>
        <v>0.56999999999999995</v>
      </c>
      <c r="T140" s="101">
        <f t="shared" si="51"/>
        <v>0.56999999999999995</v>
      </c>
      <c r="U140" s="101">
        <f t="shared" si="51"/>
        <v>0.56999999999999995</v>
      </c>
      <c r="V140" s="101">
        <f t="shared" si="51"/>
        <v>0.56999999999999995</v>
      </c>
      <c r="W140" s="101">
        <f t="shared" si="51"/>
        <v>0.56999999999999995</v>
      </c>
      <c r="X140" s="101">
        <f t="shared" si="51"/>
        <v>0.56999999999999995</v>
      </c>
      <c r="Y140" s="101">
        <f t="shared" si="51"/>
        <v>0.38</v>
      </c>
      <c r="Z140" s="101">
        <f t="shared" si="51"/>
        <v>0.19000000000000003</v>
      </c>
      <c r="AA140" s="101">
        <f t="shared" si="51"/>
        <v>0</v>
      </c>
      <c r="AB140" s="101">
        <f t="shared" si="51"/>
        <v>0</v>
      </c>
      <c r="AC140" s="101">
        <f t="shared" si="51"/>
        <v>0</v>
      </c>
      <c r="AD140" s="101">
        <f t="shared" si="51"/>
        <v>0</v>
      </c>
      <c r="AE140" s="101">
        <f t="shared" si="51"/>
        <v>0</v>
      </c>
      <c r="AF140" s="101">
        <f t="shared" si="51"/>
        <v>0</v>
      </c>
      <c r="AG140" s="101">
        <f t="shared" si="51"/>
        <v>0</v>
      </c>
      <c r="AH140" s="101">
        <f t="shared" si="51"/>
        <v>0</v>
      </c>
      <c r="AI140" s="101">
        <f t="shared" si="48"/>
        <v>0</v>
      </c>
      <c r="AJ140" s="101">
        <f t="shared" si="48"/>
        <v>0</v>
      </c>
      <c r="AK140" s="101">
        <f t="shared" si="48"/>
        <v>0</v>
      </c>
      <c r="AL140" s="101">
        <f t="shared" si="48"/>
        <v>0</v>
      </c>
      <c r="AM140" s="101">
        <f t="shared" si="48"/>
        <v>0</v>
      </c>
      <c r="AN140" s="101">
        <f t="shared" si="48"/>
        <v>0</v>
      </c>
      <c r="AO140" s="101">
        <f t="shared" si="48"/>
        <v>0</v>
      </c>
      <c r="AP140" s="101">
        <f t="shared" si="48"/>
        <v>0</v>
      </c>
      <c r="AQ140" s="101">
        <f t="shared" si="48"/>
        <v>0</v>
      </c>
      <c r="AR140" s="101">
        <f t="shared" si="48"/>
        <v>0</v>
      </c>
      <c r="AS140" s="101">
        <f t="shared" si="48"/>
        <v>0</v>
      </c>
      <c r="AT140" s="101">
        <f t="shared" si="48"/>
        <v>0</v>
      </c>
      <c r="AU140" s="101">
        <f t="shared" si="48"/>
        <v>0</v>
      </c>
      <c r="AV140" s="101">
        <f t="shared" si="48"/>
        <v>0</v>
      </c>
      <c r="AW140" s="101">
        <f t="shared" si="48"/>
        <v>0</v>
      </c>
      <c r="AX140" s="101"/>
      <c r="AY140" s="101"/>
    </row>
    <row r="141" spans="1:51" x14ac:dyDescent="0.25">
      <c r="C141" s="62" t="str">
        <f t="shared" si="49"/>
        <v>Scenario B - gradualKOMATI</v>
      </c>
      <c r="D141" s="62" t="str">
        <f t="shared" ref="D141:D152" si="52">D140</f>
        <v>Scenario B - gradual</v>
      </c>
      <c r="E141" s="101" t="s">
        <v>161</v>
      </c>
      <c r="F141" s="101"/>
      <c r="G141" s="101" t="s">
        <v>196</v>
      </c>
      <c r="H141" s="62">
        <f t="shared" si="50"/>
        <v>2020</v>
      </c>
      <c r="I141" s="62">
        <f t="shared" si="50"/>
        <v>2020</v>
      </c>
      <c r="J141" s="62">
        <f t="shared" si="50"/>
        <v>2021</v>
      </c>
      <c r="K141" s="62" t="str">
        <f t="shared" si="50"/>
        <v/>
      </c>
      <c r="L141" s="62" t="str">
        <f t="shared" si="50"/>
        <v/>
      </c>
      <c r="M141" s="62" t="str">
        <f t="shared" si="50"/>
        <v/>
      </c>
      <c r="N141" s="62" t="str">
        <f t="shared" si="50"/>
        <v/>
      </c>
      <c r="O141" s="62" t="str">
        <f t="shared" si="50"/>
        <v/>
      </c>
      <c r="Q141" s="101">
        <f t="shared" si="46"/>
        <v>3</v>
      </c>
      <c r="R141" s="101">
        <v>0.41</v>
      </c>
      <c r="S141" s="101">
        <f t="shared" si="51"/>
        <v>0.13666666666666666</v>
      </c>
      <c r="T141" s="101">
        <f t="shared" si="51"/>
        <v>0</v>
      </c>
      <c r="U141" s="101">
        <f t="shared" si="51"/>
        <v>0</v>
      </c>
      <c r="V141" s="101">
        <f t="shared" si="51"/>
        <v>0</v>
      </c>
      <c r="W141" s="101">
        <f t="shared" si="51"/>
        <v>0</v>
      </c>
      <c r="X141" s="101">
        <f t="shared" si="51"/>
        <v>0</v>
      </c>
      <c r="Y141" s="101">
        <f t="shared" si="51"/>
        <v>0</v>
      </c>
      <c r="Z141" s="101">
        <f t="shared" si="51"/>
        <v>0</v>
      </c>
      <c r="AA141" s="101">
        <f t="shared" si="51"/>
        <v>0</v>
      </c>
      <c r="AB141" s="101">
        <f t="shared" si="51"/>
        <v>0</v>
      </c>
      <c r="AC141" s="101">
        <f t="shared" si="51"/>
        <v>0</v>
      </c>
      <c r="AD141" s="101">
        <f t="shared" si="51"/>
        <v>0</v>
      </c>
      <c r="AE141" s="101">
        <f t="shared" si="51"/>
        <v>0</v>
      </c>
      <c r="AF141" s="101">
        <f t="shared" si="51"/>
        <v>0</v>
      </c>
      <c r="AG141" s="101">
        <f t="shared" si="51"/>
        <v>0</v>
      </c>
      <c r="AH141" s="101">
        <f t="shared" si="51"/>
        <v>0</v>
      </c>
      <c r="AI141" s="101">
        <f t="shared" si="48"/>
        <v>0</v>
      </c>
      <c r="AJ141" s="101">
        <f t="shared" si="48"/>
        <v>0</v>
      </c>
      <c r="AK141" s="101">
        <f t="shared" si="48"/>
        <v>0</v>
      </c>
      <c r="AL141" s="101">
        <f t="shared" si="48"/>
        <v>0</v>
      </c>
      <c r="AM141" s="101">
        <f t="shared" si="48"/>
        <v>0</v>
      </c>
      <c r="AN141" s="101">
        <f t="shared" si="48"/>
        <v>0</v>
      </c>
      <c r="AO141" s="101">
        <f t="shared" si="48"/>
        <v>0</v>
      </c>
      <c r="AP141" s="101">
        <f t="shared" si="48"/>
        <v>0</v>
      </c>
      <c r="AQ141" s="101">
        <f t="shared" si="48"/>
        <v>0</v>
      </c>
      <c r="AR141" s="101">
        <f t="shared" si="48"/>
        <v>0</v>
      </c>
      <c r="AS141" s="101">
        <f t="shared" si="48"/>
        <v>0</v>
      </c>
      <c r="AT141" s="101">
        <f t="shared" si="48"/>
        <v>0</v>
      </c>
      <c r="AU141" s="101">
        <f t="shared" si="48"/>
        <v>0</v>
      </c>
      <c r="AV141" s="101">
        <f t="shared" si="48"/>
        <v>0</v>
      </c>
      <c r="AW141" s="101">
        <f t="shared" si="48"/>
        <v>0</v>
      </c>
      <c r="AX141" s="101"/>
      <c r="AY141" s="101"/>
    </row>
    <row r="142" spans="1:51" x14ac:dyDescent="0.25">
      <c r="C142" s="62" t="str">
        <f t="shared" si="49"/>
        <v>Scenario B - gradualARNOT</v>
      </c>
      <c r="D142" s="62" t="str">
        <f t="shared" si="52"/>
        <v>Scenario B - gradual</v>
      </c>
      <c r="E142" s="101" t="s">
        <v>159</v>
      </c>
      <c r="F142" s="101"/>
      <c r="G142" s="101" t="s">
        <v>201</v>
      </c>
      <c r="H142" s="62">
        <f t="shared" si="50"/>
        <v>2027</v>
      </c>
      <c r="I142" s="62">
        <f t="shared" si="50"/>
        <v>2026</v>
      </c>
      <c r="J142" s="62">
        <f t="shared" si="50"/>
        <v>2026</v>
      </c>
      <c r="K142" s="62">
        <f t="shared" si="50"/>
        <v>2027</v>
      </c>
      <c r="L142" s="62">
        <f t="shared" si="50"/>
        <v>2029</v>
      </c>
      <c r="M142" s="62">
        <f t="shared" si="50"/>
        <v>2029</v>
      </c>
      <c r="N142" s="62" t="str">
        <f t="shared" si="50"/>
        <v/>
      </c>
      <c r="O142" s="62" t="str">
        <f t="shared" si="50"/>
        <v/>
      </c>
      <c r="Q142" s="101">
        <f t="shared" si="46"/>
        <v>6</v>
      </c>
      <c r="R142" s="101">
        <v>2.2320000000000002</v>
      </c>
      <c r="S142" s="101">
        <f t="shared" si="51"/>
        <v>2.2320000000000002</v>
      </c>
      <c r="T142" s="101">
        <f t="shared" si="51"/>
        <v>2.2320000000000002</v>
      </c>
      <c r="U142" s="101">
        <f t="shared" si="51"/>
        <v>2.2320000000000002</v>
      </c>
      <c r="V142" s="101">
        <f t="shared" si="51"/>
        <v>2.2320000000000002</v>
      </c>
      <c r="W142" s="101">
        <f t="shared" si="51"/>
        <v>2.2320000000000002</v>
      </c>
      <c r="X142" s="101">
        <f t="shared" si="51"/>
        <v>2.2320000000000002</v>
      </c>
      <c r="Y142" s="101">
        <f t="shared" si="51"/>
        <v>1.488</v>
      </c>
      <c r="Z142" s="101">
        <f t="shared" si="51"/>
        <v>0.74399999999999988</v>
      </c>
      <c r="AA142" s="101">
        <f t="shared" si="51"/>
        <v>0.74399999999999988</v>
      </c>
      <c r="AB142" s="101">
        <f t="shared" si="51"/>
        <v>0</v>
      </c>
      <c r="AC142" s="101">
        <f t="shared" si="51"/>
        <v>0</v>
      </c>
      <c r="AD142" s="101">
        <f t="shared" si="51"/>
        <v>0</v>
      </c>
      <c r="AE142" s="101">
        <f t="shared" si="51"/>
        <v>0</v>
      </c>
      <c r="AF142" s="101">
        <f t="shared" si="51"/>
        <v>0</v>
      </c>
      <c r="AG142" s="101">
        <f t="shared" si="51"/>
        <v>0</v>
      </c>
      <c r="AH142" s="101">
        <f t="shared" si="51"/>
        <v>0</v>
      </c>
      <c r="AI142" s="101">
        <f t="shared" si="48"/>
        <v>0</v>
      </c>
      <c r="AJ142" s="101">
        <f t="shared" si="48"/>
        <v>0</v>
      </c>
      <c r="AK142" s="101">
        <f t="shared" si="48"/>
        <v>0</v>
      </c>
      <c r="AL142" s="101">
        <f t="shared" si="48"/>
        <v>0</v>
      </c>
      <c r="AM142" s="101">
        <f t="shared" si="48"/>
        <v>0</v>
      </c>
      <c r="AN142" s="101">
        <f t="shared" si="48"/>
        <v>0</v>
      </c>
      <c r="AO142" s="101">
        <f t="shared" si="48"/>
        <v>0</v>
      </c>
      <c r="AP142" s="101">
        <f t="shared" si="48"/>
        <v>0</v>
      </c>
      <c r="AQ142" s="101">
        <f t="shared" si="48"/>
        <v>0</v>
      </c>
      <c r="AR142" s="101">
        <f t="shared" si="48"/>
        <v>0</v>
      </c>
      <c r="AS142" s="101">
        <f t="shared" si="48"/>
        <v>0</v>
      </c>
      <c r="AT142" s="101">
        <f t="shared" si="48"/>
        <v>0</v>
      </c>
      <c r="AU142" s="101">
        <f t="shared" si="48"/>
        <v>0</v>
      </c>
      <c r="AV142" s="101">
        <f t="shared" si="48"/>
        <v>0</v>
      </c>
      <c r="AW142" s="101">
        <f t="shared" si="48"/>
        <v>0</v>
      </c>
      <c r="AX142" s="101"/>
      <c r="AY142" s="101"/>
    </row>
    <row r="143" spans="1:51" x14ac:dyDescent="0.25">
      <c r="C143" s="62" t="str">
        <f t="shared" si="49"/>
        <v>Scenario B - gradualDUVHA</v>
      </c>
      <c r="D143" s="62" t="str">
        <f t="shared" si="52"/>
        <v>Scenario B - gradual</v>
      </c>
      <c r="E143" s="103" t="s">
        <v>157</v>
      </c>
      <c r="F143" s="101"/>
      <c r="G143" s="101" t="s">
        <v>207</v>
      </c>
      <c r="H143" s="62">
        <f>'[8]new retirement plan'!G43</f>
        <v>2028</v>
      </c>
      <c r="I143" s="62">
        <f>'[8]new retirement plan'!H43</f>
        <v>2028</v>
      </c>
      <c r="J143" s="62">
        <f>'[8]new retirement plan'!I43</f>
        <v>2030</v>
      </c>
      <c r="K143" s="62">
        <f>'[8]new retirement plan'!J43</f>
        <v>2030</v>
      </c>
      <c r="L143" s="62">
        <f>'[8]new retirement plan'!K43</f>
        <v>2031</v>
      </c>
      <c r="M143" s="62" t="s">
        <v>277</v>
      </c>
      <c r="N143" s="62" t="s">
        <v>277</v>
      </c>
      <c r="O143" s="62" t="s">
        <v>277</v>
      </c>
      <c r="Q143" s="101">
        <f t="shared" si="46"/>
        <v>5</v>
      </c>
      <c r="R143" s="101">
        <v>2.875</v>
      </c>
      <c r="S143" s="101">
        <f t="shared" si="51"/>
        <v>2.875</v>
      </c>
      <c r="T143" s="101">
        <f t="shared" si="51"/>
        <v>2.875</v>
      </c>
      <c r="U143" s="101">
        <f t="shared" si="51"/>
        <v>2.875</v>
      </c>
      <c r="V143" s="101">
        <f t="shared" si="51"/>
        <v>2.875</v>
      </c>
      <c r="W143" s="101">
        <f t="shared" si="51"/>
        <v>2.875</v>
      </c>
      <c r="X143" s="101">
        <f t="shared" si="51"/>
        <v>2.875</v>
      </c>
      <c r="Y143" s="101">
        <f t="shared" si="51"/>
        <v>2.875</v>
      </c>
      <c r="Z143" s="101">
        <f t="shared" si="51"/>
        <v>2.875</v>
      </c>
      <c r="AA143" s="101">
        <f t="shared" si="51"/>
        <v>1.7250000000000001</v>
      </c>
      <c r="AB143" s="101">
        <f t="shared" si="51"/>
        <v>1.7250000000000001</v>
      </c>
      <c r="AC143" s="101">
        <f t="shared" si="51"/>
        <v>0.57500000000000018</v>
      </c>
      <c r="AD143" s="101">
        <f t="shared" si="51"/>
        <v>0</v>
      </c>
      <c r="AE143" s="101">
        <f t="shared" si="51"/>
        <v>0</v>
      </c>
      <c r="AF143" s="101">
        <f t="shared" si="51"/>
        <v>0</v>
      </c>
      <c r="AG143" s="101">
        <f t="shared" si="51"/>
        <v>0</v>
      </c>
      <c r="AH143" s="101">
        <f t="shared" si="51"/>
        <v>0</v>
      </c>
      <c r="AI143" s="101">
        <f t="shared" si="48"/>
        <v>0</v>
      </c>
      <c r="AJ143" s="101">
        <f t="shared" si="48"/>
        <v>0</v>
      </c>
      <c r="AK143" s="101">
        <f t="shared" si="48"/>
        <v>0</v>
      </c>
      <c r="AL143" s="101">
        <f t="shared" si="48"/>
        <v>0</v>
      </c>
      <c r="AM143" s="101">
        <f t="shared" si="48"/>
        <v>0</v>
      </c>
      <c r="AN143" s="101">
        <f t="shared" si="48"/>
        <v>0</v>
      </c>
      <c r="AO143" s="101">
        <f t="shared" si="48"/>
        <v>0</v>
      </c>
      <c r="AP143" s="101">
        <f t="shared" si="48"/>
        <v>0</v>
      </c>
      <c r="AQ143" s="101">
        <f t="shared" si="48"/>
        <v>0</v>
      </c>
      <c r="AR143" s="101">
        <f t="shared" si="48"/>
        <v>0</v>
      </c>
      <c r="AS143" s="101">
        <f t="shared" si="48"/>
        <v>0</v>
      </c>
      <c r="AT143" s="101">
        <f t="shared" si="48"/>
        <v>0</v>
      </c>
      <c r="AU143" s="101">
        <f t="shared" si="48"/>
        <v>0</v>
      </c>
      <c r="AV143" s="101">
        <f t="shared" si="48"/>
        <v>0</v>
      </c>
      <c r="AW143" s="101">
        <f t="shared" si="48"/>
        <v>0</v>
      </c>
      <c r="AX143" s="101"/>
      <c r="AY143" s="101"/>
    </row>
    <row r="144" spans="1:51" x14ac:dyDescent="0.25">
      <c r="C144" s="62" t="str">
        <f t="shared" si="49"/>
        <v>Scenario B - gradualHENDRINA</v>
      </c>
      <c r="D144" s="62" t="str">
        <f t="shared" si="52"/>
        <v>Scenario B - gradual</v>
      </c>
      <c r="E144" s="101" t="s">
        <v>155</v>
      </c>
      <c r="F144" s="101"/>
      <c r="G144" s="101" t="s">
        <v>198</v>
      </c>
      <c r="H144" s="62">
        <f>IF(H123="","",H123)</f>
        <v>2021</v>
      </c>
      <c r="I144" s="62">
        <f t="shared" ref="I144:O145" si="53">IF(I123="","",I123)</f>
        <v>2025</v>
      </c>
      <c r="J144" s="62" t="str">
        <f t="shared" si="53"/>
        <v/>
      </c>
      <c r="K144" s="62">
        <f t="shared" si="53"/>
        <v>2025</v>
      </c>
      <c r="L144" s="62">
        <f t="shared" si="53"/>
        <v>2025</v>
      </c>
      <c r="M144" s="62">
        <f t="shared" si="53"/>
        <v>2025</v>
      </c>
      <c r="N144" s="62">
        <f t="shared" si="53"/>
        <v>2024</v>
      </c>
      <c r="O144" s="62" t="str">
        <f t="shared" si="53"/>
        <v/>
      </c>
      <c r="Q144" s="101">
        <f t="shared" si="46"/>
        <v>6</v>
      </c>
      <c r="R144" s="101">
        <v>1.2929999999999999</v>
      </c>
      <c r="S144" s="101">
        <f t="shared" si="51"/>
        <v>1.2929999999999999</v>
      </c>
      <c r="T144" s="101">
        <f t="shared" si="51"/>
        <v>1.0774999999999999</v>
      </c>
      <c r="U144" s="101">
        <f t="shared" si="51"/>
        <v>1.0774999999999999</v>
      </c>
      <c r="V144" s="101">
        <f t="shared" si="51"/>
        <v>1.0774999999999999</v>
      </c>
      <c r="W144" s="101">
        <f t="shared" si="51"/>
        <v>0.86199999999999988</v>
      </c>
      <c r="X144" s="101">
        <f t="shared" si="51"/>
        <v>0</v>
      </c>
      <c r="Y144" s="101">
        <f t="shared" si="51"/>
        <v>0</v>
      </c>
      <c r="Z144" s="101">
        <f t="shared" si="51"/>
        <v>0</v>
      </c>
      <c r="AA144" s="101">
        <f t="shared" si="51"/>
        <v>0</v>
      </c>
      <c r="AB144" s="101">
        <f t="shared" si="51"/>
        <v>0</v>
      </c>
      <c r="AC144" s="101">
        <f t="shared" si="51"/>
        <v>0</v>
      </c>
      <c r="AD144" s="101">
        <f t="shared" si="51"/>
        <v>0</v>
      </c>
      <c r="AE144" s="101">
        <f t="shared" si="51"/>
        <v>0</v>
      </c>
      <c r="AF144" s="101">
        <f t="shared" si="51"/>
        <v>0</v>
      </c>
      <c r="AG144" s="101">
        <f t="shared" si="51"/>
        <v>0</v>
      </c>
      <c r="AH144" s="101">
        <f t="shared" si="51"/>
        <v>0</v>
      </c>
      <c r="AI144" s="101">
        <f t="shared" si="48"/>
        <v>0</v>
      </c>
      <c r="AJ144" s="101">
        <f t="shared" si="48"/>
        <v>0</v>
      </c>
      <c r="AK144" s="101">
        <f t="shared" si="48"/>
        <v>0</v>
      </c>
      <c r="AL144" s="101">
        <f t="shared" si="48"/>
        <v>0</v>
      </c>
      <c r="AM144" s="101">
        <f t="shared" si="48"/>
        <v>0</v>
      </c>
      <c r="AN144" s="101">
        <f t="shared" si="48"/>
        <v>0</v>
      </c>
      <c r="AO144" s="101">
        <f t="shared" si="48"/>
        <v>0</v>
      </c>
      <c r="AP144" s="101">
        <f t="shared" si="48"/>
        <v>0</v>
      </c>
      <c r="AQ144" s="101">
        <f t="shared" si="48"/>
        <v>0</v>
      </c>
      <c r="AR144" s="101">
        <f t="shared" si="48"/>
        <v>0</v>
      </c>
      <c r="AS144" s="101">
        <f t="shared" si="48"/>
        <v>0</v>
      </c>
      <c r="AT144" s="101">
        <f t="shared" si="48"/>
        <v>0</v>
      </c>
      <c r="AU144" s="101">
        <f t="shared" si="48"/>
        <v>0</v>
      </c>
      <c r="AV144" s="101">
        <f t="shared" si="48"/>
        <v>0</v>
      </c>
      <c r="AW144" s="101">
        <f t="shared" si="48"/>
        <v>0</v>
      </c>
      <c r="AX144" s="101"/>
      <c r="AY144" s="101"/>
    </row>
    <row r="145" spans="3:51" x14ac:dyDescent="0.25">
      <c r="C145" s="62" t="str">
        <f t="shared" si="49"/>
        <v>Scenario B - gradualKENDAL</v>
      </c>
      <c r="D145" s="62" t="str">
        <f t="shared" si="52"/>
        <v>Scenario B - gradual</v>
      </c>
      <c r="E145" s="103" t="s">
        <v>153</v>
      </c>
      <c r="F145" s="101"/>
      <c r="G145" s="101" t="s">
        <v>206</v>
      </c>
      <c r="H145" s="62">
        <f>IF(H124="","",H124)</f>
        <v>2039</v>
      </c>
      <c r="I145" s="62">
        <f t="shared" si="53"/>
        <v>2041</v>
      </c>
      <c r="J145" s="62">
        <f t="shared" si="53"/>
        <v>2042</v>
      </c>
      <c r="K145" s="62">
        <f t="shared" si="53"/>
        <v>2042</v>
      </c>
      <c r="L145" s="62">
        <f t="shared" si="53"/>
        <v>2043</v>
      </c>
      <c r="M145" s="62">
        <f t="shared" si="53"/>
        <v>2044</v>
      </c>
      <c r="N145" s="62" t="s">
        <v>277</v>
      </c>
      <c r="O145" s="62" t="s">
        <v>277</v>
      </c>
      <c r="Q145" s="101">
        <f t="shared" si="46"/>
        <v>6</v>
      </c>
      <c r="R145" s="101">
        <v>3.84</v>
      </c>
      <c r="S145" s="101">
        <f t="shared" si="51"/>
        <v>3.84</v>
      </c>
      <c r="T145" s="101">
        <f t="shared" si="51"/>
        <v>3.84</v>
      </c>
      <c r="U145" s="101">
        <f t="shared" si="51"/>
        <v>3.84</v>
      </c>
      <c r="V145" s="101">
        <f t="shared" si="51"/>
        <v>3.84</v>
      </c>
      <c r="W145" s="101">
        <f t="shared" si="51"/>
        <v>3.84</v>
      </c>
      <c r="X145" s="101">
        <f t="shared" si="51"/>
        <v>3.84</v>
      </c>
      <c r="Y145" s="101">
        <f t="shared" si="51"/>
        <v>3.84</v>
      </c>
      <c r="Z145" s="101">
        <f t="shared" si="51"/>
        <v>3.84</v>
      </c>
      <c r="AA145" s="101">
        <f t="shared" si="51"/>
        <v>3.84</v>
      </c>
      <c r="AB145" s="101">
        <f t="shared" si="51"/>
        <v>3.84</v>
      </c>
      <c r="AC145" s="101">
        <f t="shared" si="51"/>
        <v>3.84</v>
      </c>
      <c r="AD145" s="101">
        <f t="shared" si="51"/>
        <v>3.84</v>
      </c>
      <c r="AE145" s="101">
        <f t="shared" si="51"/>
        <v>3.84</v>
      </c>
      <c r="AF145" s="101">
        <f t="shared" si="51"/>
        <v>3.84</v>
      </c>
      <c r="AG145" s="101">
        <f t="shared" si="51"/>
        <v>3.84</v>
      </c>
      <c r="AH145" s="101">
        <f t="shared" si="51"/>
        <v>3.84</v>
      </c>
      <c r="AI145" s="101">
        <f t="shared" si="48"/>
        <v>3.84</v>
      </c>
      <c r="AJ145" s="101">
        <f t="shared" si="48"/>
        <v>3.84</v>
      </c>
      <c r="AK145" s="101">
        <f t="shared" si="48"/>
        <v>3.84</v>
      </c>
      <c r="AL145" s="101">
        <f t="shared" si="48"/>
        <v>3.1999999999999997</v>
      </c>
      <c r="AM145" s="101">
        <f t="shared" si="48"/>
        <v>3.1999999999999997</v>
      </c>
      <c r="AN145" s="101">
        <f t="shared" si="48"/>
        <v>2.5599999999999996</v>
      </c>
      <c r="AO145" s="101">
        <f t="shared" si="48"/>
        <v>1.2799999999999996</v>
      </c>
      <c r="AP145" s="101">
        <f t="shared" si="48"/>
        <v>0.63999999999999957</v>
      </c>
      <c r="AQ145" s="101">
        <f t="shared" si="48"/>
        <v>0</v>
      </c>
      <c r="AR145" s="101">
        <f t="shared" si="48"/>
        <v>0</v>
      </c>
      <c r="AS145" s="101">
        <f t="shared" si="48"/>
        <v>0</v>
      </c>
      <c r="AT145" s="101">
        <f t="shared" si="48"/>
        <v>0</v>
      </c>
      <c r="AU145" s="101">
        <f t="shared" si="48"/>
        <v>0</v>
      </c>
      <c r="AV145" s="101">
        <f t="shared" si="48"/>
        <v>0</v>
      </c>
      <c r="AW145" s="101">
        <f t="shared" si="48"/>
        <v>0</v>
      </c>
      <c r="AX145" s="101"/>
      <c r="AY145" s="101"/>
    </row>
    <row r="146" spans="3:51" x14ac:dyDescent="0.25">
      <c r="C146" s="62" t="str">
        <f t="shared" si="49"/>
        <v>Scenario B - gradualKRIEL</v>
      </c>
      <c r="D146" s="62" t="str">
        <f t="shared" si="52"/>
        <v>Scenario B - gradual</v>
      </c>
      <c r="E146" s="101" t="s">
        <v>151</v>
      </c>
      <c r="F146" s="101"/>
      <c r="G146" s="101" t="s">
        <v>199</v>
      </c>
      <c r="H146" s="62">
        <f>IF(H125="","",H125)</f>
        <v>2026</v>
      </c>
      <c r="I146" s="62">
        <f t="shared" ref="I146:O146" si="54">IF(I125="","",I125)</f>
        <v>2027</v>
      </c>
      <c r="J146" s="62">
        <f t="shared" si="54"/>
        <v>2028</v>
      </c>
      <c r="K146" s="62">
        <f t="shared" si="54"/>
        <v>2029</v>
      </c>
      <c r="L146" s="62">
        <f t="shared" si="54"/>
        <v>2029</v>
      </c>
      <c r="M146" s="62">
        <f t="shared" si="54"/>
        <v>2030</v>
      </c>
      <c r="N146" s="62" t="str">
        <f t="shared" si="54"/>
        <v/>
      </c>
      <c r="O146" s="62" t="str">
        <f t="shared" si="54"/>
        <v/>
      </c>
      <c r="Q146" s="101">
        <f t="shared" si="46"/>
        <v>6</v>
      </c>
      <c r="R146" s="101">
        <v>2.85</v>
      </c>
      <c r="S146" s="101">
        <f t="shared" si="51"/>
        <v>2.85</v>
      </c>
      <c r="T146" s="101">
        <f t="shared" si="51"/>
        <v>2.85</v>
      </c>
      <c r="U146" s="101">
        <f t="shared" si="51"/>
        <v>2.85</v>
      </c>
      <c r="V146" s="101">
        <f t="shared" si="51"/>
        <v>2.85</v>
      </c>
      <c r="W146" s="101">
        <f t="shared" si="51"/>
        <v>2.85</v>
      </c>
      <c r="X146" s="101">
        <f t="shared" si="51"/>
        <v>2.85</v>
      </c>
      <c r="Y146" s="101">
        <f t="shared" si="51"/>
        <v>2.375</v>
      </c>
      <c r="Z146" s="101">
        <f t="shared" si="51"/>
        <v>1.9</v>
      </c>
      <c r="AA146" s="101">
        <f t="shared" si="51"/>
        <v>1.4249999999999998</v>
      </c>
      <c r="AB146" s="101">
        <f t="shared" si="51"/>
        <v>0.47499999999999976</v>
      </c>
      <c r="AC146" s="101">
        <f t="shared" si="51"/>
        <v>0</v>
      </c>
      <c r="AD146" s="101">
        <f t="shared" si="51"/>
        <v>0</v>
      </c>
      <c r="AE146" s="101">
        <f t="shared" si="51"/>
        <v>0</v>
      </c>
      <c r="AF146" s="101">
        <f t="shared" si="51"/>
        <v>0</v>
      </c>
      <c r="AG146" s="101">
        <f t="shared" si="51"/>
        <v>0</v>
      </c>
      <c r="AH146" s="101">
        <f t="shared" si="51"/>
        <v>0</v>
      </c>
      <c r="AI146" s="101">
        <f t="shared" si="48"/>
        <v>0</v>
      </c>
      <c r="AJ146" s="101">
        <f t="shared" si="48"/>
        <v>0</v>
      </c>
      <c r="AK146" s="101">
        <f t="shared" si="48"/>
        <v>0</v>
      </c>
      <c r="AL146" s="101">
        <f t="shared" si="48"/>
        <v>0</v>
      </c>
      <c r="AM146" s="101">
        <f t="shared" si="48"/>
        <v>0</v>
      </c>
      <c r="AN146" s="101">
        <f t="shared" si="48"/>
        <v>0</v>
      </c>
      <c r="AO146" s="101">
        <f t="shared" si="48"/>
        <v>0</v>
      </c>
      <c r="AP146" s="101">
        <f t="shared" si="48"/>
        <v>0</v>
      </c>
      <c r="AQ146" s="101">
        <f t="shared" si="48"/>
        <v>0</v>
      </c>
      <c r="AR146" s="101">
        <f t="shared" si="48"/>
        <v>0</v>
      </c>
      <c r="AS146" s="101">
        <f t="shared" si="48"/>
        <v>0</v>
      </c>
      <c r="AT146" s="101">
        <f t="shared" si="48"/>
        <v>0</v>
      </c>
      <c r="AU146" s="101">
        <f t="shared" si="48"/>
        <v>0</v>
      </c>
      <c r="AV146" s="101">
        <f t="shared" si="48"/>
        <v>0</v>
      </c>
      <c r="AW146" s="101">
        <f t="shared" si="48"/>
        <v>0</v>
      </c>
      <c r="AX146" s="101"/>
      <c r="AY146" s="101"/>
    </row>
    <row r="147" spans="3:51" x14ac:dyDescent="0.25">
      <c r="C147" s="62" t="str">
        <f t="shared" si="49"/>
        <v>Scenario B - gradualLETHABO</v>
      </c>
      <c r="D147" s="62" t="str">
        <f t="shared" si="52"/>
        <v>Scenario B - gradual</v>
      </c>
      <c r="E147" s="104" t="s">
        <v>149</v>
      </c>
      <c r="F147" s="101"/>
      <c r="G147" s="101" t="s">
        <v>205</v>
      </c>
      <c r="H147" s="62">
        <f t="shared" ref="H147:O150" si="55">IF(H126="","",H126)</f>
        <v>2036</v>
      </c>
      <c r="I147" s="62">
        <f t="shared" si="55"/>
        <v>2037</v>
      </c>
      <c r="J147" s="62">
        <f t="shared" si="55"/>
        <v>2037</v>
      </c>
      <c r="K147" s="62">
        <f t="shared" si="55"/>
        <v>2038</v>
      </c>
      <c r="L147" s="62">
        <f t="shared" si="55"/>
        <v>2040</v>
      </c>
      <c r="M147" s="62">
        <f t="shared" si="55"/>
        <v>2041</v>
      </c>
      <c r="N147" s="62" t="str">
        <f t="shared" si="55"/>
        <v/>
      </c>
      <c r="O147" s="62" t="str">
        <f t="shared" si="55"/>
        <v/>
      </c>
      <c r="Q147" s="101">
        <f t="shared" si="46"/>
        <v>6</v>
      </c>
      <c r="R147" s="101">
        <v>3.5579999999999998</v>
      </c>
      <c r="S147" s="101">
        <f t="shared" si="51"/>
        <v>3.5579999999999998</v>
      </c>
      <c r="T147" s="101">
        <f t="shared" si="51"/>
        <v>3.5579999999999998</v>
      </c>
      <c r="U147" s="101">
        <f t="shared" si="51"/>
        <v>3.5579999999999998</v>
      </c>
      <c r="V147" s="101">
        <f t="shared" si="51"/>
        <v>3.5579999999999998</v>
      </c>
      <c r="W147" s="101">
        <f t="shared" si="51"/>
        <v>3.5579999999999998</v>
      </c>
      <c r="X147" s="101">
        <f t="shared" si="51"/>
        <v>3.5579999999999998</v>
      </c>
      <c r="Y147" s="101">
        <f t="shared" si="51"/>
        <v>3.5579999999999998</v>
      </c>
      <c r="Z147" s="101">
        <f t="shared" si="51"/>
        <v>3.5579999999999998</v>
      </c>
      <c r="AA147" s="101">
        <f t="shared" si="51"/>
        <v>3.5579999999999998</v>
      </c>
      <c r="AB147" s="101">
        <f t="shared" si="51"/>
        <v>3.5579999999999998</v>
      </c>
      <c r="AC147" s="101">
        <f t="shared" si="51"/>
        <v>3.5579999999999998</v>
      </c>
      <c r="AD147" s="101">
        <f t="shared" si="51"/>
        <v>3.5579999999999998</v>
      </c>
      <c r="AE147" s="101">
        <f t="shared" si="51"/>
        <v>3.5579999999999998</v>
      </c>
      <c r="AF147" s="101">
        <f t="shared" si="51"/>
        <v>3.5579999999999998</v>
      </c>
      <c r="AG147" s="101">
        <f t="shared" si="51"/>
        <v>3.5579999999999998</v>
      </c>
      <c r="AH147" s="101">
        <f t="shared" si="51"/>
        <v>3.5579999999999998</v>
      </c>
      <c r="AI147" s="101">
        <f t="shared" si="48"/>
        <v>2.9649999999999999</v>
      </c>
      <c r="AJ147" s="101">
        <f t="shared" si="48"/>
        <v>1.7789999999999999</v>
      </c>
      <c r="AK147" s="101">
        <f t="shared" si="48"/>
        <v>1.1859999999999999</v>
      </c>
      <c r="AL147" s="101">
        <f t="shared" si="48"/>
        <v>1.1859999999999999</v>
      </c>
      <c r="AM147" s="101">
        <f t="shared" si="48"/>
        <v>0.59299999999999997</v>
      </c>
      <c r="AN147" s="101">
        <f t="shared" si="48"/>
        <v>0</v>
      </c>
      <c r="AO147" s="101">
        <f t="shared" si="48"/>
        <v>0</v>
      </c>
      <c r="AP147" s="101">
        <f t="shared" si="48"/>
        <v>0</v>
      </c>
      <c r="AQ147" s="101">
        <f t="shared" si="48"/>
        <v>0</v>
      </c>
      <c r="AR147" s="101">
        <f t="shared" si="48"/>
        <v>0</v>
      </c>
      <c r="AS147" s="101">
        <f t="shared" si="48"/>
        <v>0</v>
      </c>
      <c r="AT147" s="101">
        <f t="shared" si="48"/>
        <v>0</v>
      </c>
      <c r="AU147" s="101">
        <f t="shared" si="48"/>
        <v>0</v>
      </c>
      <c r="AV147" s="101">
        <f t="shared" si="48"/>
        <v>0</v>
      </c>
      <c r="AW147" s="101">
        <f t="shared" si="48"/>
        <v>0</v>
      </c>
      <c r="AX147" s="101"/>
      <c r="AY147" s="101"/>
    </row>
    <row r="148" spans="3:51" x14ac:dyDescent="0.25">
      <c r="C148" s="62" t="str">
        <f t="shared" si="49"/>
        <v>Scenario B - gradualMAJUBA DRY</v>
      </c>
      <c r="D148" s="62" t="str">
        <f t="shared" si="52"/>
        <v>Scenario B - gradual</v>
      </c>
      <c r="E148" s="104" t="s">
        <v>147</v>
      </c>
      <c r="F148" s="101"/>
      <c r="G148" s="101" t="s">
        <v>197</v>
      </c>
      <c r="H148" s="62">
        <f t="shared" si="55"/>
        <v>2046</v>
      </c>
      <c r="I148" s="62">
        <f t="shared" si="55"/>
        <v>2047</v>
      </c>
      <c r="J148" s="62">
        <f t="shared" si="55"/>
        <v>2048</v>
      </c>
      <c r="K148" s="62" t="str">
        <f t="shared" si="55"/>
        <v/>
      </c>
      <c r="L148" s="62" t="str">
        <f t="shared" si="55"/>
        <v/>
      </c>
      <c r="M148" s="62" t="str">
        <f t="shared" si="55"/>
        <v/>
      </c>
      <c r="N148" s="62" t="str">
        <f t="shared" si="55"/>
        <v/>
      </c>
      <c r="O148" s="62" t="str">
        <f t="shared" si="55"/>
        <v/>
      </c>
      <c r="Q148" s="101">
        <f t="shared" si="46"/>
        <v>3</v>
      </c>
      <c r="R148" s="101">
        <v>1.8330000000000002</v>
      </c>
      <c r="S148" s="101">
        <f t="shared" si="51"/>
        <v>1.8330000000000002</v>
      </c>
      <c r="T148" s="101">
        <f t="shared" si="51"/>
        <v>1.8330000000000002</v>
      </c>
      <c r="U148" s="101">
        <f t="shared" si="51"/>
        <v>1.8330000000000002</v>
      </c>
      <c r="V148" s="101">
        <f t="shared" si="51"/>
        <v>1.8330000000000002</v>
      </c>
      <c r="W148" s="101">
        <f t="shared" si="51"/>
        <v>1.8330000000000002</v>
      </c>
      <c r="X148" s="101">
        <f t="shared" si="51"/>
        <v>1.8330000000000002</v>
      </c>
      <c r="Y148" s="101">
        <f t="shared" si="51"/>
        <v>1.8330000000000002</v>
      </c>
      <c r="Z148" s="101">
        <f t="shared" si="51"/>
        <v>1.8330000000000002</v>
      </c>
      <c r="AA148" s="101">
        <f t="shared" si="51"/>
        <v>1.8330000000000002</v>
      </c>
      <c r="AB148" s="101">
        <f t="shared" si="51"/>
        <v>1.8330000000000002</v>
      </c>
      <c r="AC148" s="101">
        <f t="shared" si="51"/>
        <v>1.8330000000000002</v>
      </c>
      <c r="AD148" s="101">
        <f t="shared" si="51"/>
        <v>1.8330000000000002</v>
      </c>
      <c r="AE148" s="101">
        <f t="shared" si="51"/>
        <v>1.8330000000000002</v>
      </c>
      <c r="AF148" s="101">
        <f t="shared" si="51"/>
        <v>1.8330000000000002</v>
      </c>
      <c r="AG148" s="101">
        <f t="shared" si="51"/>
        <v>1.8330000000000002</v>
      </c>
      <c r="AH148" s="101">
        <f t="shared" si="51"/>
        <v>1.8330000000000002</v>
      </c>
      <c r="AI148" s="101">
        <f t="shared" si="48"/>
        <v>1.8330000000000002</v>
      </c>
      <c r="AJ148" s="101">
        <f t="shared" si="48"/>
        <v>1.8330000000000002</v>
      </c>
      <c r="AK148" s="101">
        <f t="shared" si="48"/>
        <v>1.8330000000000002</v>
      </c>
      <c r="AL148" s="101">
        <f t="shared" si="48"/>
        <v>1.8330000000000002</v>
      </c>
      <c r="AM148" s="101">
        <f t="shared" si="48"/>
        <v>1.8330000000000002</v>
      </c>
      <c r="AN148" s="101">
        <f t="shared" si="48"/>
        <v>1.8330000000000002</v>
      </c>
      <c r="AO148" s="101">
        <f t="shared" si="48"/>
        <v>1.8330000000000002</v>
      </c>
      <c r="AP148" s="101">
        <f t="shared" si="48"/>
        <v>1.8330000000000002</v>
      </c>
      <c r="AQ148" s="101">
        <f t="shared" si="48"/>
        <v>1.8330000000000002</v>
      </c>
      <c r="AR148" s="101">
        <f t="shared" si="48"/>
        <v>1.8330000000000002</v>
      </c>
      <c r="AS148" s="101">
        <f t="shared" si="48"/>
        <v>1.222</v>
      </c>
      <c r="AT148" s="101">
        <f t="shared" si="48"/>
        <v>0.61099999999999988</v>
      </c>
      <c r="AU148" s="101">
        <f t="shared" si="48"/>
        <v>0</v>
      </c>
      <c r="AV148" s="101">
        <f t="shared" si="48"/>
        <v>0</v>
      </c>
      <c r="AW148" s="101">
        <f t="shared" si="48"/>
        <v>0</v>
      </c>
      <c r="AX148" s="101"/>
      <c r="AY148" s="101"/>
    </row>
    <row r="149" spans="3:51" x14ac:dyDescent="0.25">
      <c r="C149" s="62" t="str">
        <f t="shared" si="49"/>
        <v>Scenario B - gradualMAJUBA WET</v>
      </c>
      <c r="D149" s="62" t="str">
        <f t="shared" si="52"/>
        <v>Scenario B - gradual</v>
      </c>
      <c r="E149" s="104" t="s">
        <v>145</v>
      </c>
      <c r="F149" s="101"/>
      <c r="G149" s="101"/>
      <c r="H149" s="62" t="str">
        <f t="shared" si="55"/>
        <v/>
      </c>
      <c r="I149" s="62" t="str">
        <f t="shared" si="55"/>
        <v/>
      </c>
      <c r="J149" s="62" t="str">
        <f t="shared" si="55"/>
        <v/>
      </c>
      <c r="K149" s="62">
        <f t="shared" si="55"/>
        <v>2049</v>
      </c>
      <c r="L149" s="62">
        <f t="shared" si="55"/>
        <v>2050</v>
      </c>
      <c r="M149" s="62">
        <f t="shared" si="55"/>
        <v>2051</v>
      </c>
      <c r="N149" s="62" t="str">
        <f t="shared" si="55"/>
        <v/>
      </c>
      <c r="O149" s="62" t="str">
        <f t="shared" si="55"/>
        <v/>
      </c>
      <c r="Q149" s="101">
        <f t="shared" si="46"/>
        <v>3</v>
      </c>
      <c r="R149" s="101">
        <v>2.0099999999999998</v>
      </c>
      <c r="S149" s="101">
        <f t="shared" si="51"/>
        <v>2.0099999999999998</v>
      </c>
      <c r="T149" s="101">
        <f t="shared" si="51"/>
        <v>2.0099999999999998</v>
      </c>
      <c r="U149" s="101">
        <f t="shared" si="51"/>
        <v>2.0099999999999998</v>
      </c>
      <c r="V149" s="101">
        <f t="shared" si="51"/>
        <v>2.0099999999999998</v>
      </c>
      <c r="W149" s="101">
        <f t="shared" si="51"/>
        <v>2.0099999999999998</v>
      </c>
      <c r="X149" s="101">
        <f t="shared" si="51"/>
        <v>2.0099999999999998</v>
      </c>
      <c r="Y149" s="101">
        <f t="shared" si="51"/>
        <v>2.0099999999999998</v>
      </c>
      <c r="Z149" s="101">
        <f t="shared" si="51"/>
        <v>2.0099999999999998</v>
      </c>
      <c r="AA149" s="101">
        <f t="shared" si="51"/>
        <v>2.0099999999999998</v>
      </c>
      <c r="AB149" s="101">
        <f t="shared" si="51"/>
        <v>2.0099999999999998</v>
      </c>
      <c r="AC149" s="101">
        <f t="shared" si="51"/>
        <v>2.0099999999999998</v>
      </c>
      <c r="AD149" s="101">
        <f t="shared" si="51"/>
        <v>2.0099999999999998</v>
      </c>
      <c r="AE149" s="101">
        <f t="shared" si="51"/>
        <v>2.0099999999999998</v>
      </c>
      <c r="AF149" s="101">
        <f t="shared" si="51"/>
        <v>2.0099999999999998</v>
      </c>
      <c r="AG149" s="101">
        <f t="shared" si="51"/>
        <v>2.0099999999999998</v>
      </c>
      <c r="AH149" s="101">
        <f t="shared" si="51"/>
        <v>2.0099999999999998</v>
      </c>
      <c r="AI149" s="101">
        <f t="shared" si="48"/>
        <v>2.0099999999999998</v>
      </c>
      <c r="AJ149" s="101">
        <f t="shared" si="48"/>
        <v>2.0099999999999998</v>
      </c>
      <c r="AK149" s="101">
        <f t="shared" si="48"/>
        <v>2.0099999999999998</v>
      </c>
      <c r="AL149" s="101">
        <f t="shared" si="48"/>
        <v>2.0099999999999998</v>
      </c>
      <c r="AM149" s="101">
        <f t="shared" si="48"/>
        <v>2.0099999999999998</v>
      </c>
      <c r="AN149" s="101">
        <f t="shared" si="48"/>
        <v>2.0099999999999998</v>
      </c>
      <c r="AO149" s="101">
        <f t="shared" si="48"/>
        <v>2.0099999999999998</v>
      </c>
      <c r="AP149" s="101">
        <f t="shared" si="48"/>
        <v>2.0099999999999998</v>
      </c>
      <c r="AQ149" s="101">
        <f t="shared" si="48"/>
        <v>2.0099999999999998</v>
      </c>
      <c r="AR149" s="101">
        <f t="shared" si="48"/>
        <v>2.0099999999999998</v>
      </c>
      <c r="AS149" s="101">
        <f t="shared" si="48"/>
        <v>2.0099999999999998</v>
      </c>
      <c r="AT149" s="101">
        <f t="shared" si="48"/>
        <v>2.0099999999999998</v>
      </c>
      <c r="AU149" s="101">
        <f t="shared" si="48"/>
        <v>2.0099999999999998</v>
      </c>
      <c r="AV149" s="101">
        <f t="shared" si="48"/>
        <v>1.3399999999999999</v>
      </c>
      <c r="AW149" s="101">
        <f t="shared" si="48"/>
        <v>0.66999999999999993</v>
      </c>
      <c r="AX149" s="101"/>
      <c r="AY149" s="101"/>
    </row>
    <row r="150" spans="3:51" x14ac:dyDescent="0.25">
      <c r="C150" s="62" t="str">
        <f t="shared" si="49"/>
        <v>Scenario B - gradualMATIMBA</v>
      </c>
      <c r="D150" s="62" t="str">
        <f t="shared" si="52"/>
        <v>Scenario B - gradual</v>
      </c>
      <c r="E150" s="104" t="s">
        <v>143</v>
      </c>
      <c r="F150" s="101"/>
      <c r="G150" s="101" t="s">
        <v>204</v>
      </c>
      <c r="H150" s="62">
        <f t="shared" si="55"/>
        <v>2038</v>
      </c>
      <c r="I150" s="62">
        <f t="shared" si="55"/>
        <v>2038</v>
      </c>
      <c r="J150" s="62">
        <f t="shared" si="55"/>
        <v>2039</v>
      </c>
      <c r="K150" s="62">
        <f t="shared" si="55"/>
        <v>2040</v>
      </c>
      <c r="L150" s="62">
        <f t="shared" si="55"/>
        <v>2041</v>
      </c>
      <c r="M150" s="62">
        <f t="shared" si="55"/>
        <v>2042</v>
      </c>
      <c r="N150" s="62" t="str">
        <f t="shared" si="55"/>
        <v/>
      </c>
      <c r="O150" s="62" t="str">
        <f t="shared" si="55"/>
        <v/>
      </c>
      <c r="Q150" s="101">
        <f t="shared" si="46"/>
        <v>6</v>
      </c>
      <c r="R150" s="101">
        <v>3.69</v>
      </c>
      <c r="S150" s="101">
        <f t="shared" si="51"/>
        <v>3.69</v>
      </c>
      <c r="T150" s="101">
        <f t="shared" si="51"/>
        <v>3.69</v>
      </c>
      <c r="U150" s="101">
        <f t="shared" si="51"/>
        <v>3.69</v>
      </c>
      <c r="V150" s="101">
        <f t="shared" si="51"/>
        <v>3.69</v>
      </c>
      <c r="W150" s="101">
        <f t="shared" si="51"/>
        <v>3.69</v>
      </c>
      <c r="X150" s="101">
        <f t="shared" si="51"/>
        <v>3.69</v>
      </c>
      <c r="Y150" s="101">
        <f t="shared" si="51"/>
        <v>3.69</v>
      </c>
      <c r="Z150" s="101">
        <f t="shared" si="51"/>
        <v>3.69</v>
      </c>
      <c r="AA150" s="101">
        <f t="shared" si="51"/>
        <v>3.69</v>
      </c>
      <c r="AB150" s="101">
        <f t="shared" si="51"/>
        <v>3.69</v>
      </c>
      <c r="AC150" s="101">
        <f t="shared" si="51"/>
        <v>3.69</v>
      </c>
      <c r="AD150" s="101">
        <f t="shared" si="51"/>
        <v>3.69</v>
      </c>
      <c r="AE150" s="101">
        <f t="shared" si="51"/>
        <v>3.69</v>
      </c>
      <c r="AF150" s="101">
        <f t="shared" si="51"/>
        <v>3.69</v>
      </c>
      <c r="AG150" s="101">
        <f t="shared" si="51"/>
        <v>3.69</v>
      </c>
      <c r="AH150" s="101">
        <f t="shared" si="51"/>
        <v>3.69</v>
      </c>
      <c r="AI150" s="101">
        <f t="shared" si="48"/>
        <v>3.69</v>
      </c>
      <c r="AJ150" s="101">
        <f t="shared" si="48"/>
        <v>3.69</v>
      </c>
      <c r="AK150" s="101">
        <f t="shared" si="48"/>
        <v>2.46</v>
      </c>
      <c r="AL150" s="101">
        <f t="shared" si="48"/>
        <v>1.845</v>
      </c>
      <c r="AM150" s="101">
        <f t="shared" si="48"/>
        <v>1.23</v>
      </c>
      <c r="AN150" s="101">
        <f t="shared" si="48"/>
        <v>0.61499999999999999</v>
      </c>
      <c r="AO150" s="101">
        <f t="shared" si="48"/>
        <v>0</v>
      </c>
      <c r="AP150" s="101">
        <f t="shared" si="48"/>
        <v>0</v>
      </c>
      <c r="AQ150" s="101">
        <f t="shared" si="48"/>
        <v>0</v>
      </c>
      <c r="AR150" s="101">
        <f t="shared" si="48"/>
        <v>0</v>
      </c>
      <c r="AS150" s="101">
        <f t="shared" si="48"/>
        <v>0</v>
      </c>
      <c r="AT150" s="101">
        <f t="shared" si="48"/>
        <v>0</v>
      </c>
      <c r="AU150" s="101">
        <f t="shared" si="48"/>
        <v>0</v>
      </c>
      <c r="AV150" s="101">
        <f t="shared" si="48"/>
        <v>0</v>
      </c>
      <c r="AW150" s="101">
        <f t="shared" si="48"/>
        <v>0</v>
      </c>
      <c r="AX150" s="101"/>
      <c r="AY150" s="101"/>
    </row>
    <row r="151" spans="3:51" x14ac:dyDescent="0.25">
      <c r="C151" s="62" t="str">
        <f t="shared" si="49"/>
        <v>Scenario B - gradualMATLA</v>
      </c>
      <c r="D151" s="62" t="str">
        <f t="shared" si="52"/>
        <v>Scenario B - gradual</v>
      </c>
      <c r="E151" s="103" t="s">
        <v>141</v>
      </c>
      <c r="F151" s="101"/>
      <c r="G151" s="101" t="s">
        <v>200</v>
      </c>
      <c r="H151" s="62">
        <f>'[8]new retirement plan'!G51</f>
        <v>2027</v>
      </c>
      <c r="I151" s="62">
        <f>'[8]new retirement plan'!H51</f>
        <v>2028</v>
      </c>
      <c r="J151" s="62">
        <f>'[8]new retirement plan'!I51</f>
        <v>2028</v>
      </c>
      <c r="K151" s="62">
        <f>'[8]new retirement plan'!J51</f>
        <v>2029</v>
      </c>
      <c r="L151" s="62">
        <f>'[8]new retirement plan'!K51</f>
        <v>2030</v>
      </c>
      <c r="M151" s="62">
        <f>'[8]new retirement plan'!L51</f>
        <v>2031</v>
      </c>
      <c r="Q151" s="101">
        <f t="shared" si="46"/>
        <v>6</v>
      </c>
      <c r="R151" s="101">
        <v>3.45</v>
      </c>
      <c r="S151" s="101">
        <f t="shared" si="51"/>
        <v>3.45</v>
      </c>
      <c r="T151" s="101">
        <f t="shared" si="51"/>
        <v>3.45</v>
      </c>
      <c r="U151" s="101">
        <f t="shared" si="51"/>
        <v>3.45</v>
      </c>
      <c r="V151" s="101">
        <f t="shared" si="51"/>
        <v>3.45</v>
      </c>
      <c r="W151" s="101">
        <f t="shared" si="51"/>
        <v>3.45</v>
      </c>
      <c r="X151" s="101">
        <f t="shared" si="51"/>
        <v>3.45</v>
      </c>
      <c r="Y151" s="101">
        <f t="shared" si="51"/>
        <v>3.45</v>
      </c>
      <c r="Z151" s="101">
        <f t="shared" si="51"/>
        <v>2.875</v>
      </c>
      <c r="AA151" s="101">
        <f t="shared" si="51"/>
        <v>1.7249999999999999</v>
      </c>
      <c r="AB151" s="101">
        <f t="shared" si="51"/>
        <v>1.1499999999999999</v>
      </c>
      <c r="AC151" s="101">
        <f t="shared" si="51"/>
        <v>0.57499999999999984</v>
      </c>
      <c r="AD151" s="101">
        <f t="shared" si="51"/>
        <v>0</v>
      </c>
      <c r="AE151" s="101">
        <f t="shared" si="51"/>
        <v>0</v>
      </c>
      <c r="AF151" s="101">
        <f t="shared" si="51"/>
        <v>0</v>
      </c>
      <c r="AG151" s="101">
        <f t="shared" si="51"/>
        <v>0</v>
      </c>
      <c r="AH151" s="101">
        <f t="shared" si="51"/>
        <v>0</v>
      </c>
      <c r="AI151" s="101">
        <f t="shared" si="48"/>
        <v>0</v>
      </c>
      <c r="AJ151" s="101">
        <f t="shared" si="48"/>
        <v>0</v>
      </c>
      <c r="AK151" s="101">
        <f t="shared" si="48"/>
        <v>0</v>
      </c>
      <c r="AL151" s="101">
        <f t="shared" si="48"/>
        <v>0</v>
      </c>
      <c r="AM151" s="101">
        <f t="shared" si="48"/>
        <v>0</v>
      </c>
      <c r="AN151" s="101">
        <f t="shared" si="48"/>
        <v>0</v>
      </c>
      <c r="AO151" s="101">
        <f t="shared" si="48"/>
        <v>0</v>
      </c>
      <c r="AP151" s="101">
        <f t="shared" si="48"/>
        <v>0</v>
      </c>
      <c r="AQ151" s="101">
        <f t="shared" si="48"/>
        <v>0</v>
      </c>
      <c r="AR151" s="101">
        <f t="shared" si="48"/>
        <v>0</v>
      </c>
      <c r="AS151" s="101">
        <f t="shared" si="48"/>
        <v>0</v>
      </c>
      <c r="AT151" s="101">
        <f t="shared" si="48"/>
        <v>0</v>
      </c>
      <c r="AU151" s="101">
        <f t="shared" si="48"/>
        <v>0</v>
      </c>
      <c r="AV151" s="101">
        <f t="shared" si="48"/>
        <v>0</v>
      </c>
      <c r="AW151" s="101">
        <f t="shared" si="48"/>
        <v>0</v>
      </c>
      <c r="AX151" s="101"/>
      <c r="AY151" s="101"/>
    </row>
    <row r="152" spans="3:51" x14ac:dyDescent="0.25">
      <c r="C152" s="62" t="str">
        <f t="shared" si="49"/>
        <v>Scenario B - gradualTUTUKA</v>
      </c>
      <c r="D152" s="62" t="str">
        <f t="shared" si="52"/>
        <v>Scenario B - gradual</v>
      </c>
      <c r="E152" s="103" t="s">
        <v>139</v>
      </c>
      <c r="F152" s="101"/>
      <c r="G152" s="101" t="s">
        <v>202</v>
      </c>
      <c r="H152" s="62">
        <f>'[8]new retirement plan'!G52</f>
        <v>2025</v>
      </c>
      <c r="I152" s="62">
        <f>'[8]new retirement plan'!H52</f>
        <v>2026</v>
      </c>
      <c r="J152" s="62">
        <f>'[8]new retirement plan'!I52</f>
        <v>2027</v>
      </c>
      <c r="K152" s="62">
        <f>'[8]new retirement plan'!J52</f>
        <v>2027</v>
      </c>
      <c r="L152" s="62">
        <f>'[8]new retirement plan'!K52</f>
        <v>2029</v>
      </c>
      <c r="M152" s="62">
        <f>'[8]new retirement plan'!L52</f>
        <v>2031</v>
      </c>
      <c r="Q152" s="101">
        <f t="shared" si="46"/>
        <v>6</v>
      </c>
      <c r="R152" s="101">
        <v>3.51</v>
      </c>
      <c r="S152" s="101">
        <f t="shared" si="51"/>
        <v>3.51</v>
      </c>
      <c r="T152" s="101">
        <f t="shared" si="51"/>
        <v>3.51</v>
      </c>
      <c r="U152" s="101">
        <f t="shared" si="51"/>
        <v>3.51</v>
      </c>
      <c r="V152" s="101">
        <f t="shared" si="51"/>
        <v>3.51</v>
      </c>
      <c r="W152" s="101">
        <f t="shared" si="51"/>
        <v>3.51</v>
      </c>
      <c r="X152" s="101">
        <f t="shared" si="51"/>
        <v>2.9249999999999998</v>
      </c>
      <c r="Y152" s="101">
        <f t="shared" si="51"/>
        <v>2.34</v>
      </c>
      <c r="Z152" s="101">
        <f t="shared" si="51"/>
        <v>1.17</v>
      </c>
      <c r="AA152" s="101">
        <f t="shared" si="51"/>
        <v>1.17</v>
      </c>
      <c r="AB152" s="101">
        <f t="shared" si="51"/>
        <v>0.58499999999999996</v>
      </c>
      <c r="AC152" s="101">
        <f t="shared" si="51"/>
        <v>0.58499999999999996</v>
      </c>
      <c r="AD152" s="101">
        <f t="shared" si="51"/>
        <v>0</v>
      </c>
      <c r="AE152" s="101">
        <f t="shared" si="51"/>
        <v>0</v>
      </c>
      <c r="AF152" s="101">
        <f t="shared" si="51"/>
        <v>0</v>
      </c>
      <c r="AG152" s="101">
        <f t="shared" si="51"/>
        <v>0</v>
      </c>
      <c r="AH152" s="101">
        <f t="shared" si="51"/>
        <v>0</v>
      </c>
      <c r="AI152" s="101">
        <f t="shared" si="48"/>
        <v>0</v>
      </c>
      <c r="AJ152" s="101">
        <f t="shared" si="48"/>
        <v>0</v>
      </c>
      <c r="AK152" s="101">
        <f t="shared" si="48"/>
        <v>0</v>
      </c>
      <c r="AL152" s="101">
        <f t="shared" si="48"/>
        <v>0</v>
      </c>
      <c r="AM152" s="101">
        <f t="shared" si="48"/>
        <v>0</v>
      </c>
      <c r="AN152" s="101">
        <f t="shared" si="48"/>
        <v>0</v>
      </c>
      <c r="AO152" s="101">
        <f t="shared" si="48"/>
        <v>0</v>
      </c>
      <c r="AP152" s="101">
        <f t="shared" si="48"/>
        <v>0</v>
      </c>
      <c r="AQ152" s="101">
        <f t="shared" si="48"/>
        <v>0</v>
      </c>
      <c r="AR152" s="101">
        <f t="shared" si="48"/>
        <v>0</v>
      </c>
      <c r="AS152" s="101">
        <f t="shared" si="48"/>
        <v>0</v>
      </c>
      <c r="AT152" s="101">
        <f t="shared" si="48"/>
        <v>0</v>
      </c>
      <c r="AU152" s="101">
        <f t="shared" si="48"/>
        <v>0</v>
      </c>
      <c r="AV152" s="101">
        <f t="shared" si="48"/>
        <v>0</v>
      </c>
      <c r="AW152" s="101">
        <f t="shared" si="48"/>
        <v>0</v>
      </c>
      <c r="AX152" s="101"/>
      <c r="AY152" s="101"/>
    </row>
    <row r="155" spans="3:51" x14ac:dyDescent="0.25">
      <c r="E155" s="62" t="s">
        <v>292</v>
      </c>
    </row>
    <row r="156" spans="3:51" x14ac:dyDescent="0.25">
      <c r="E156" s="101"/>
      <c r="F156" s="101"/>
      <c r="G156" s="101" t="s">
        <v>210</v>
      </c>
      <c r="H156" s="101">
        <v>1</v>
      </c>
      <c r="I156" s="101">
        <v>2</v>
      </c>
      <c r="J156" s="101">
        <v>3</v>
      </c>
      <c r="K156" s="101">
        <v>4</v>
      </c>
      <c r="L156" s="101">
        <v>5</v>
      </c>
      <c r="M156" s="101">
        <v>6</v>
      </c>
      <c r="N156" s="101">
        <v>7</v>
      </c>
      <c r="O156" s="101">
        <v>8</v>
      </c>
      <c r="P156" s="101">
        <v>9</v>
      </c>
      <c r="Q156" s="101" t="s">
        <v>43</v>
      </c>
      <c r="R156" s="101">
        <v>2019</v>
      </c>
      <c r="S156" s="101">
        <v>2020</v>
      </c>
      <c r="T156" s="101">
        <v>2021</v>
      </c>
      <c r="U156" s="101">
        <v>2022</v>
      </c>
      <c r="V156" s="101">
        <v>2023</v>
      </c>
      <c r="W156" s="101">
        <v>2024</v>
      </c>
      <c r="X156" s="101">
        <v>2025</v>
      </c>
      <c r="Y156" s="101">
        <v>2026</v>
      </c>
      <c r="Z156" s="101">
        <v>2027</v>
      </c>
      <c r="AA156" s="101">
        <v>2028</v>
      </c>
      <c r="AB156" s="101">
        <v>2029</v>
      </c>
      <c r="AC156" s="101">
        <v>2030</v>
      </c>
      <c r="AD156" s="101">
        <v>2031</v>
      </c>
      <c r="AE156" s="101">
        <v>2032</v>
      </c>
      <c r="AF156" s="101">
        <v>2033</v>
      </c>
      <c r="AG156" s="101">
        <v>2034</v>
      </c>
      <c r="AH156" s="101">
        <v>2035</v>
      </c>
      <c r="AI156" s="101">
        <v>2036</v>
      </c>
      <c r="AJ156" s="101">
        <v>2037</v>
      </c>
      <c r="AK156" s="101">
        <v>2038</v>
      </c>
      <c r="AL156" s="101">
        <v>2039</v>
      </c>
      <c r="AM156" s="101">
        <v>2040</v>
      </c>
      <c r="AN156" s="101">
        <v>2041</v>
      </c>
      <c r="AO156" s="101">
        <v>2042</v>
      </c>
      <c r="AP156" s="101">
        <v>2043</v>
      </c>
      <c r="AQ156" s="101">
        <v>2044</v>
      </c>
      <c r="AR156" s="101">
        <v>2045</v>
      </c>
      <c r="AS156" s="101">
        <v>2046</v>
      </c>
      <c r="AT156" s="101">
        <v>2047</v>
      </c>
      <c r="AU156" s="101">
        <v>2048</v>
      </c>
      <c r="AV156" s="101">
        <v>2049</v>
      </c>
      <c r="AW156" s="101">
        <v>2050</v>
      </c>
      <c r="AX156" s="101"/>
      <c r="AY156" s="101"/>
    </row>
    <row r="157" spans="3:51" x14ac:dyDescent="0.25">
      <c r="C157" s="62" t="str">
        <f>D157&amp;E157</f>
        <v>Scenario B - 2030 cliffCAMDEN</v>
      </c>
      <c r="D157" s="62" t="str">
        <f>E155</f>
        <v>Scenario B - 2030 cliff</v>
      </c>
      <c r="E157" s="101" t="s">
        <v>165</v>
      </c>
      <c r="F157" s="101"/>
      <c r="G157" s="101" t="s">
        <v>208</v>
      </c>
      <c r="H157" s="62">
        <f>H139</f>
        <v>2024</v>
      </c>
      <c r="I157" s="62">
        <f t="shared" ref="I157:O157" si="56">I139</f>
        <v>2024</v>
      </c>
      <c r="J157" s="62">
        <f t="shared" si="56"/>
        <v>2025</v>
      </c>
      <c r="K157" s="62">
        <f t="shared" si="56"/>
        <v>2026</v>
      </c>
      <c r="L157" s="62">
        <f t="shared" si="56"/>
        <v>2026</v>
      </c>
      <c r="M157" s="62">
        <f t="shared" si="56"/>
        <v>2025</v>
      </c>
      <c r="N157" s="62">
        <f t="shared" si="56"/>
        <v>2026</v>
      </c>
      <c r="O157" s="62" t="str">
        <f t="shared" si="56"/>
        <v/>
      </c>
      <c r="Q157" s="101">
        <f t="shared" ref="Q157:Q170" si="57">COUNT(H157:P157)</f>
        <v>7</v>
      </c>
      <c r="R157" s="101">
        <v>1.4810000000000001</v>
      </c>
      <c r="S157" s="101">
        <f>COUNTIF($H157:$P157,S$98)*-$R157/$Q157+R157</f>
        <v>1.4810000000000001</v>
      </c>
      <c r="T157" s="101">
        <f t="shared" ref="T157:AI157" si="58">COUNTIF($H157:$P157,T$98)*-$R157/$Q157+S157</f>
        <v>1.4810000000000001</v>
      </c>
      <c r="U157" s="101">
        <f t="shared" si="58"/>
        <v>1.4810000000000001</v>
      </c>
      <c r="V157" s="101">
        <f t="shared" si="58"/>
        <v>1.4810000000000001</v>
      </c>
      <c r="W157" s="101">
        <f t="shared" si="58"/>
        <v>1.0578571428571428</v>
      </c>
      <c r="X157" s="101">
        <f t="shared" si="58"/>
        <v>0.63471428571428568</v>
      </c>
      <c r="Y157" s="101">
        <f t="shared" si="58"/>
        <v>0</v>
      </c>
      <c r="Z157" s="101">
        <f t="shared" si="58"/>
        <v>0</v>
      </c>
      <c r="AA157" s="101">
        <f t="shared" si="58"/>
        <v>0</v>
      </c>
      <c r="AB157" s="101">
        <f t="shared" si="58"/>
        <v>0</v>
      </c>
      <c r="AC157" s="101">
        <f t="shared" si="58"/>
        <v>0</v>
      </c>
      <c r="AD157" s="101">
        <f t="shared" si="58"/>
        <v>0</v>
      </c>
      <c r="AE157" s="101">
        <f t="shared" si="58"/>
        <v>0</v>
      </c>
      <c r="AF157" s="101">
        <f t="shared" si="58"/>
        <v>0</v>
      </c>
      <c r="AG157" s="101">
        <f t="shared" si="58"/>
        <v>0</v>
      </c>
      <c r="AH157" s="101">
        <f t="shared" si="58"/>
        <v>0</v>
      </c>
      <c r="AI157" s="101">
        <f t="shared" si="58"/>
        <v>0</v>
      </c>
      <c r="AJ157" s="101">
        <f t="shared" ref="AI157:AW170" si="59">COUNTIF($H157:$P157,AJ$98)*-$R157/$Q157+AI157</f>
        <v>0</v>
      </c>
      <c r="AK157" s="101">
        <f t="shared" si="59"/>
        <v>0</v>
      </c>
      <c r="AL157" s="101">
        <f t="shared" si="59"/>
        <v>0</v>
      </c>
      <c r="AM157" s="101">
        <f t="shared" si="59"/>
        <v>0</v>
      </c>
      <c r="AN157" s="101">
        <f t="shared" si="59"/>
        <v>0</v>
      </c>
      <c r="AO157" s="101">
        <f t="shared" si="59"/>
        <v>0</v>
      </c>
      <c r="AP157" s="101">
        <f t="shared" si="59"/>
        <v>0</v>
      </c>
      <c r="AQ157" s="101">
        <f t="shared" si="59"/>
        <v>0</v>
      </c>
      <c r="AR157" s="101">
        <f t="shared" si="59"/>
        <v>0</v>
      </c>
      <c r="AS157" s="101">
        <f t="shared" si="59"/>
        <v>0</v>
      </c>
      <c r="AT157" s="101">
        <f t="shared" si="59"/>
        <v>0</v>
      </c>
      <c r="AU157" s="101">
        <f t="shared" si="59"/>
        <v>0</v>
      </c>
      <c r="AV157" s="101">
        <f t="shared" si="59"/>
        <v>0</v>
      </c>
      <c r="AW157" s="101">
        <f t="shared" si="59"/>
        <v>0</v>
      </c>
      <c r="AX157" s="101"/>
      <c r="AY157" s="101"/>
    </row>
    <row r="158" spans="3:51" x14ac:dyDescent="0.25">
      <c r="C158" s="62" t="str">
        <f t="shared" ref="C158:C170" si="60">D158&amp;E158</f>
        <v>Scenario B - 2030 cliffGROOTVLEI</v>
      </c>
      <c r="D158" s="62" t="str">
        <f>D157</f>
        <v>Scenario B - 2030 cliff</v>
      </c>
      <c r="E158" s="101" t="s">
        <v>163</v>
      </c>
      <c r="F158" s="101"/>
      <c r="G158" s="101" t="s">
        <v>195</v>
      </c>
      <c r="H158" s="62">
        <f t="shared" ref="H158:O160" si="61">H140</f>
        <v>2026</v>
      </c>
      <c r="I158" s="62">
        <f t="shared" si="61"/>
        <v>2027</v>
      </c>
      <c r="J158" s="62">
        <f t="shared" si="61"/>
        <v>2028</v>
      </c>
      <c r="K158" s="62" t="str">
        <f t="shared" si="61"/>
        <v/>
      </c>
      <c r="L158" s="62" t="str">
        <f t="shared" si="61"/>
        <v/>
      </c>
      <c r="M158" s="62" t="str">
        <f t="shared" si="61"/>
        <v/>
      </c>
      <c r="N158" s="62" t="str">
        <f t="shared" si="61"/>
        <v/>
      </c>
      <c r="O158" s="62" t="str">
        <f t="shared" si="61"/>
        <v/>
      </c>
      <c r="Q158" s="101">
        <f t="shared" si="57"/>
        <v>3</v>
      </c>
      <c r="R158" s="101">
        <v>0.56999999999999995</v>
      </c>
      <c r="S158" s="101">
        <f t="shared" ref="S158:AH170" si="62">COUNTIF($H158:$P158,S$98)*-$R158/$Q158+R158</f>
        <v>0.56999999999999995</v>
      </c>
      <c r="T158" s="101">
        <f t="shared" si="62"/>
        <v>0.56999999999999995</v>
      </c>
      <c r="U158" s="101">
        <f t="shared" si="62"/>
        <v>0.56999999999999995</v>
      </c>
      <c r="V158" s="101">
        <f t="shared" si="62"/>
        <v>0.56999999999999995</v>
      </c>
      <c r="W158" s="101">
        <f t="shared" si="62"/>
        <v>0.56999999999999995</v>
      </c>
      <c r="X158" s="101">
        <f t="shared" si="62"/>
        <v>0.56999999999999995</v>
      </c>
      <c r="Y158" s="101">
        <f t="shared" si="62"/>
        <v>0.38</v>
      </c>
      <c r="Z158" s="101">
        <f t="shared" si="62"/>
        <v>0.19000000000000003</v>
      </c>
      <c r="AA158" s="101">
        <f t="shared" si="62"/>
        <v>0</v>
      </c>
      <c r="AB158" s="101">
        <f t="shared" si="62"/>
        <v>0</v>
      </c>
      <c r="AC158" s="101">
        <f t="shared" si="62"/>
        <v>0</v>
      </c>
      <c r="AD158" s="101">
        <f t="shared" si="62"/>
        <v>0</v>
      </c>
      <c r="AE158" s="101">
        <f t="shared" si="62"/>
        <v>0</v>
      </c>
      <c r="AF158" s="101">
        <f t="shared" si="62"/>
        <v>0</v>
      </c>
      <c r="AG158" s="101">
        <f t="shared" si="62"/>
        <v>0</v>
      </c>
      <c r="AH158" s="101">
        <f t="shared" si="62"/>
        <v>0</v>
      </c>
      <c r="AI158" s="101">
        <f t="shared" si="59"/>
        <v>0</v>
      </c>
      <c r="AJ158" s="101">
        <f t="shared" si="59"/>
        <v>0</v>
      </c>
      <c r="AK158" s="101">
        <f t="shared" si="59"/>
        <v>0</v>
      </c>
      <c r="AL158" s="101">
        <f t="shared" si="59"/>
        <v>0</v>
      </c>
      <c r="AM158" s="101">
        <f t="shared" si="59"/>
        <v>0</v>
      </c>
      <c r="AN158" s="101">
        <f t="shared" si="59"/>
        <v>0</v>
      </c>
      <c r="AO158" s="101">
        <f t="shared" si="59"/>
        <v>0</v>
      </c>
      <c r="AP158" s="101">
        <f t="shared" si="59"/>
        <v>0</v>
      </c>
      <c r="AQ158" s="101">
        <f t="shared" si="59"/>
        <v>0</v>
      </c>
      <c r="AR158" s="101">
        <f t="shared" si="59"/>
        <v>0</v>
      </c>
      <c r="AS158" s="101">
        <f t="shared" si="59"/>
        <v>0</v>
      </c>
      <c r="AT158" s="101">
        <f t="shared" si="59"/>
        <v>0</v>
      </c>
      <c r="AU158" s="101">
        <f t="shared" si="59"/>
        <v>0</v>
      </c>
      <c r="AV158" s="101">
        <f t="shared" si="59"/>
        <v>0</v>
      </c>
      <c r="AW158" s="101">
        <f t="shared" si="59"/>
        <v>0</v>
      </c>
      <c r="AX158" s="101"/>
      <c r="AY158" s="101"/>
    </row>
    <row r="159" spans="3:51" x14ac:dyDescent="0.25">
      <c r="C159" s="62" t="str">
        <f t="shared" si="60"/>
        <v>Scenario B - 2030 cliffKOMATI</v>
      </c>
      <c r="D159" s="62" t="str">
        <f t="shared" ref="D159:D170" si="63">D158</f>
        <v>Scenario B - 2030 cliff</v>
      </c>
      <c r="E159" s="101" t="s">
        <v>161</v>
      </c>
      <c r="F159" s="101"/>
      <c r="G159" s="101" t="s">
        <v>196</v>
      </c>
      <c r="H159" s="62">
        <f t="shared" si="61"/>
        <v>2020</v>
      </c>
      <c r="I159" s="62">
        <f t="shared" si="61"/>
        <v>2020</v>
      </c>
      <c r="J159" s="62">
        <f t="shared" si="61"/>
        <v>2021</v>
      </c>
      <c r="K159" s="62" t="str">
        <f t="shared" si="61"/>
        <v/>
      </c>
      <c r="L159" s="62" t="str">
        <f t="shared" si="61"/>
        <v/>
      </c>
      <c r="M159" s="62" t="str">
        <f t="shared" si="61"/>
        <v/>
      </c>
      <c r="N159" s="62" t="str">
        <f t="shared" si="61"/>
        <v/>
      </c>
      <c r="O159" s="62" t="str">
        <f t="shared" si="61"/>
        <v/>
      </c>
      <c r="Q159" s="101">
        <f t="shared" si="57"/>
        <v>3</v>
      </c>
      <c r="R159" s="101">
        <v>0.41</v>
      </c>
      <c r="S159" s="101">
        <f t="shared" si="62"/>
        <v>0.13666666666666666</v>
      </c>
      <c r="T159" s="101">
        <f t="shared" si="62"/>
        <v>0</v>
      </c>
      <c r="U159" s="101">
        <f t="shared" si="62"/>
        <v>0</v>
      </c>
      <c r="V159" s="101">
        <f t="shared" si="62"/>
        <v>0</v>
      </c>
      <c r="W159" s="101">
        <f t="shared" si="62"/>
        <v>0</v>
      </c>
      <c r="X159" s="101">
        <f t="shared" si="62"/>
        <v>0</v>
      </c>
      <c r="Y159" s="101">
        <f t="shared" si="62"/>
        <v>0</v>
      </c>
      <c r="Z159" s="101">
        <f t="shared" si="62"/>
        <v>0</v>
      </c>
      <c r="AA159" s="101">
        <f t="shared" si="62"/>
        <v>0</v>
      </c>
      <c r="AB159" s="101">
        <f t="shared" si="62"/>
        <v>0</v>
      </c>
      <c r="AC159" s="101">
        <f t="shared" si="62"/>
        <v>0</v>
      </c>
      <c r="AD159" s="101">
        <f t="shared" si="62"/>
        <v>0</v>
      </c>
      <c r="AE159" s="101">
        <f t="shared" si="62"/>
        <v>0</v>
      </c>
      <c r="AF159" s="101">
        <f t="shared" si="62"/>
        <v>0</v>
      </c>
      <c r="AG159" s="101">
        <f t="shared" si="62"/>
        <v>0</v>
      </c>
      <c r="AH159" s="101">
        <f t="shared" si="62"/>
        <v>0</v>
      </c>
      <c r="AI159" s="101">
        <f t="shared" si="59"/>
        <v>0</v>
      </c>
      <c r="AJ159" s="101">
        <f t="shared" si="59"/>
        <v>0</v>
      </c>
      <c r="AK159" s="101">
        <f t="shared" si="59"/>
        <v>0</v>
      </c>
      <c r="AL159" s="101">
        <f t="shared" si="59"/>
        <v>0</v>
      </c>
      <c r="AM159" s="101">
        <f t="shared" si="59"/>
        <v>0</v>
      </c>
      <c r="AN159" s="101">
        <f t="shared" si="59"/>
        <v>0</v>
      </c>
      <c r="AO159" s="101">
        <f t="shared" si="59"/>
        <v>0</v>
      </c>
      <c r="AP159" s="101">
        <f t="shared" si="59"/>
        <v>0</v>
      </c>
      <c r="AQ159" s="101">
        <f t="shared" si="59"/>
        <v>0</v>
      </c>
      <c r="AR159" s="101">
        <f t="shared" si="59"/>
        <v>0</v>
      </c>
      <c r="AS159" s="101">
        <f t="shared" si="59"/>
        <v>0</v>
      </c>
      <c r="AT159" s="101">
        <f t="shared" si="59"/>
        <v>0</v>
      </c>
      <c r="AU159" s="101">
        <f t="shared" si="59"/>
        <v>0</v>
      </c>
      <c r="AV159" s="101">
        <f t="shared" si="59"/>
        <v>0</v>
      </c>
      <c r="AW159" s="101">
        <f t="shared" si="59"/>
        <v>0</v>
      </c>
      <c r="AX159" s="101"/>
      <c r="AY159" s="101"/>
    </row>
    <row r="160" spans="3:51" x14ac:dyDescent="0.25">
      <c r="C160" s="62" t="str">
        <f t="shared" si="60"/>
        <v>Scenario B - 2030 cliffARNOT</v>
      </c>
      <c r="D160" s="62" t="str">
        <f t="shared" si="63"/>
        <v>Scenario B - 2030 cliff</v>
      </c>
      <c r="E160" s="101" t="s">
        <v>159</v>
      </c>
      <c r="F160" s="101"/>
      <c r="G160" s="101" t="s">
        <v>201</v>
      </c>
      <c r="H160" s="62">
        <f t="shared" si="61"/>
        <v>2027</v>
      </c>
      <c r="I160" s="62">
        <f t="shared" si="61"/>
        <v>2026</v>
      </c>
      <c r="J160" s="62">
        <f t="shared" si="61"/>
        <v>2026</v>
      </c>
      <c r="K160" s="62">
        <f t="shared" si="61"/>
        <v>2027</v>
      </c>
      <c r="L160" s="62">
        <f t="shared" si="61"/>
        <v>2029</v>
      </c>
      <c r="M160" s="62">
        <f t="shared" si="61"/>
        <v>2029</v>
      </c>
      <c r="N160" s="62" t="str">
        <f t="shared" si="61"/>
        <v/>
      </c>
      <c r="O160" s="62" t="str">
        <f t="shared" si="61"/>
        <v/>
      </c>
      <c r="Q160" s="101">
        <f t="shared" si="57"/>
        <v>6</v>
      </c>
      <c r="R160" s="101">
        <v>2.2320000000000002</v>
      </c>
      <c r="S160" s="101">
        <f t="shared" si="62"/>
        <v>2.2320000000000002</v>
      </c>
      <c r="T160" s="101">
        <f t="shared" si="62"/>
        <v>2.2320000000000002</v>
      </c>
      <c r="U160" s="101">
        <f t="shared" si="62"/>
        <v>2.2320000000000002</v>
      </c>
      <c r="V160" s="101">
        <f t="shared" si="62"/>
        <v>2.2320000000000002</v>
      </c>
      <c r="W160" s="101">
        <f t="shared" si="62"/>
        <v>2.2320000000000002</v>
      </c>
      <c r="X160" s="101">
        <f t="shared" si="62"/>
        <v>2.2320000000000002</v>
      </c>
      <c r="Y160" s="101">
        <f t="shared" si="62"/>
        <v>1.488</v>
      </c>
      <c r="Z160" s="101">
        <f t="shared" si="62"/>
        <v>0.74399999999999988</v>
      </c>
      <c r="AA160" s="101">
        <f t="shared" si="62"/>
        <v>0.74399999999999988</v>
      </c>
      <c r="AB160" s="101">
        <f t="shared" si="62"/>
        <v>0</v>
      </c>
      <c r="AC160" s="101">
        <f t="shared" si="62"/>
        <v>0</v>
      </c>
      <c r="AD160" s="101">
        <f t="shared" si="62"/>
        <v>0</v>
      </c>
      <c r="AE160" s="101">
        <f t="shared" si="62"/>
        <v>0</v>
      </c>
      <c r="AF160" s="101">
        <f t="shared" si="62"/>
        <v>0</v>
      </c>
      <c r="AG160" s="101">
        <f t="shared" si="62"/>
        <v>0</v>
      </c>
      <c r="AH160" s="101">
        <f t="shared" si="62"/>
        <v>0</v>
      </c>
      <c r="AI160" s="101">
        <f t="shared" si="59"/>
        <v>0</v>
      </c>
      <c r="AJ160" s="101">
        <f t="shared" si="59"/>
        <v>0</v>
      </c>
      <c r="AK160" s="101">
        <f t="shared" si="59"/>
        <v>0</v>
      </c>
      <c r="AL160" s="101">
        <f t="shared" si="59"/>
        <v>0</v>
      </c>
      <c r="AM160" s="101">
        <f t="shared" si="59"/>
        <v>0</v>
      </c>
      <c r="AN160" s="101">
        <f t="shared" si="59"/>
        <v>0</v>
      </c>
      <c r="AO160" s="101">
        <f t="shared" si="59"/>
        <v>0</v>
      </c>
      <c r="AP160" s="101">
        <f t="shared" si="59"/>
        <v>0</v>
      </c>
      <c r="AQ160" s="101">
        <f t="shared" si="59"/>
        <v>0</v>
      </c>
      <c r="AR160" s="101">
        <f t="shared" si="59"/>
        <v>0</v>
      </c>
      <c r="AS160" s="101">
        <f t="shared" si="59"/>
        <v>0</v>
      </c>
      <c r="AT160" s="101">
        <f t="shared" si="59"/>
        <v>0</v>
      </c>
      <c r="AU160" s="101">
        <f t="shared" si="59"/>
        <v>0</v>
      </c>
      <c r="AV160" s="101">
        <f t="shared" si="59"/>
        <v>0</v>
      </c>
      <c r="AW160" s="101">
        <f t="shared" si="59"/>
        <v>0</v>
      </c>
      <c r="AX160" s="101"/>
      <c r="AY160" s="101"/>
    </row>
    <row r="161" spans="3:51" x14ac:dyDescent="0.25">
      <c r="C161" s="62" t="str">
        <f t="shared" si="60"/>
        <v>Scenario B - 2030 cliffDUVHA</v>
      </c>
      <c r="D161" s="62" t="str">
        <f t="shared" si="63"/>
        <v>Scenario B - 2030 cliff</v>
      </c>
      <c r="E161" s="103" t="s">
        <v>157</v>
      </c>
      <c r="F161" s="101"/>
      <c r="G161" s="101" t="s">
        <v>207</v>
      </c>
      <c r="H161" s="62">
        <v>2031</v>
      </c>
      <c r="I161" s="62">
        <v>2031</v>
      </c>
      <c r="J161" s="62">
        <v>2031</v>
      </c>
      <c r="K161" s="62">
        <v>2031</v>
      </c>
      <c r="L161" s="62">
        <v>2031</v>
      </c>
      <c r="M161" s="62" t="s">
        <v>277</v>
      </c>
      <c r="N161" s="62" t="s">
        <v>277</v>
      </c>
      <c r="O161" s="62" t="s">
        <v>277</v>
      </c>
      <c r="Q161" s="101">
        <f t="shared" si="57"/>
        <v>5</v>
      </c>
      <c r="R161" s="101">
        <v>2.875</v>
      </c>
      <c r="S161" s="101">
        <f t="shared" si="62"/>
        <v>2.875</v>
      </c>
      <c r="T161" s="101">
        <f t="shared" si="62"/>
        <v>2.875</v>
      </c>
      <c r="U161" s="101">
        <f t="shared" si="62"/>
        <v>2.875</v>
      </c>
      <c r="V161" s="101">
        <f t="shared" si="62"/>
        <v>2.875</v>
      </c>
      <c r="W161" s="101">
        <f t="shared" si="62"/>
        <v>2.875</v>
      </c>
      <c r="X161" s="101">
        <f t="shared" si="62"/>
        <v>2.875</v>
      </c>
      <c r="Y161" s="101">
        <f t="shared" si="62"/>
        <v>2.875</v>
      </c>
      <c r="Z161" s="101">
        <f t="shared" si="62"/>
        <v>2.875</v>
      </c>
      <c r="AA161" s="101">
        <f t="shared" si="62"/>
        <v>2.875</v>
      </c>
      <c r="AB161" s="101">
        <f t="shared" si="62"/>
        <v>2.875</v>
      </c>
      <c r="AC161" s="101">
        <f t="shared" si="62"/>
        <v>2.875</v>
      </c>
      <c r="AD161" s="101">
        <f t="shared" si="62"/>
        <v>0</v>
      </c>
      <c r="AE161" s="101">
        <f t="shared" si="62"/>
        <v>0</v>
      </c>
      <c r="AF161" s="101">
        <f t="shared" si="62"/>
        <v>0</v>
      </c>
      <c r="AG161" s="101">
        <f t="shared" si="62"/>
        <v>0</v>
      </c>
      <c r="AH161" s="101">
        <f t="shared" si="62"/>
        <v>0</v>
      </c>
      <c r="AI161" s="101">
        <f t="shared" si="59"/>
        <v>0</v>
      </c>
      <c r="AJ161" s="101">
        <f t="shared" si="59"/>
        <v>0</v>
      </c>
      <c r="AK161" s="101">
        <f t="shared" si="59"/>
        <v>0</v>
      </c>
      <c r="AL161" s="101">
        <f t="shared" si="59"/>
        <v>0</v>
      </c>
      <c r="AM161" s="101">
        <f t="shared" si="59"/>
        <v>0</v>
      </c>
      <c r="AN161" s="101">
        <f t="shared" si="59"/>
        <v>0</v>
      </c>
      <c r="AO161" s="101">
        <f t="shared" si="59"/>
        <v>0</v>
      </c>
      <c r="AP161" s="101">
        <f t="shared" si="59"/>
        <v>0</v>
      </c>
      <c r="AQ161" s="101">
        <f t="shared" si="59"/>
        <v>0</v>
      </c>
      <c r="AR161" s="101">
        <f t="shared" si="59"/>
        <v>0</v>
      </c>
      <c r="AS161" s="101">
        <f t="shared" si="59"/>
        <v>0</v>
      </c>
      <c r="AT161" s="101">
        <f t="shared" si="59"/>
        <v>0</v>
      </c>
      <c r="AU161" s="101">
        <f t="shared" si="59"/>
        <v>0</v>
      </c>
      <c r="AV161" s="101">
        <f t="shared" si="59"/>
        <v>0</v>
      </c>
      <c r="AW161" s="101">
        <f t="shared" si="59"/>
        <v>0</v>
      </c>
      <c r="AX161" s="101"/>
      <c r="AY161" s="101"/>
    </row>
    <row r="162" spans="3:51" x14ac:dyDescent="0.25">
      <c r="C162" s="62" t="str">
        <f t="shared" si="60"/>
        <v>Scenario B - 2030 cliffHENDRINA</v>
      </c>
      <c r="D162" s="62" t="str">
        <f t="shared" si="63"/>
        <v>Scenario B - 2030 cliff</v>
      </c>
      <c r="E162" s="101" t="s">
        <v>155</v>
      </c>
      <c r="F162" s="101"/>
      <c r="G162" s="101" t="s">
        <v>198</v>
      </c>
      <c r="H162" s="62">
        <f>H144</f>
        <v>2021</v>
      </c>
      <c r="I162" s="62">
        <f t="shared" ref="I162:O163" si="64">I144</f>
        <v>2025</v>
      </c>
      <c r="J162" s="62" t="str">
        <f t="shared" si="64"/>
        <v/>
      </c>
      <c r="K162" s="62">
        <f t="shared" si="64"/>
        <v>2025</v>
      </c>
      <c r="L162" s="62">
        <f t="shared" si="64"/>
        <v>2025</v>
      </c>
      <c r="M162" s="62">
        <f t="shared" si="64"/>
        <v>2025</v>
      </c>
      <c r="N162" s="62">
        <f t="shared" si="64"/>
        <v>2024</v>
      </c>
      <c r="O162" s="62" t="str">
        <f t="shared" si="64"/>
        <v/>
      </c>
      <c r="Q162" s="101">
        <f t="shared" si="57"/>
        <v>6</v>
      </c>
      <c r="R162" s="101">
        <v>1.2929999999999999</v>
      </c>
      <c r="S162" s="101">
        <f t="shared" si="62"/>
        <v>1.2929999999999999</v>
      </c>
      <c r="T162" s="101">
        <f t="shared" si="62"/>
        <v>1.0774999999999999</v>
      </c>
      <c r="U162" s="101">
        <f t="shared" si="62"/>
        <v>1.0774999999999999</v>
      </c>
      <c r="V162" s="101">
        <f t="shared" si="62"/>
        <v>1.0774999999999999</v>
      </c>
      <c r="W162" s="101">
        <f t="shared" si="62"/>
        <v>0.86199999999999988</v>
      </c>
      <c r="X162" s="101">
        <f t="shared" si="62"/>
        <v>0</v>
      </c>
      <c r="Y162" s="101">
        <f t="shared" si="62"/>
        <v>0</v>
      </c>
      <c r="Z162" s="101">
        <f t="shared" si="62"/>
        <v>0</v>
      </c>
      <c r="AA162" s="101">
        <f t="shared" si="62"/>
        <v>0</v>
      </c>
      <c r="AB162" s="101">
        <f t="shared" si="62"/>
        <v>0</v>
      </c>
      <c r="AC162" s="101">
        <f t="shared" si="62"/>
        <v>0</v>
      </c>
      <c r="AD162" s="101">
        <f t="shared" si="62"/>
        <v>0</v>
      </c>
      <c r="AE162" s="101">
        <f t="shared" si="62"/>
        <v>0</v>
      </c>
      <c r="AF162" s="101">
        <f t="shared" si="62"/>
        <v>0</v>
      </c>
      <c r="AG162" s="101">
        <f t="shared" si="62"/>
        <v>0</v>
      </c>
      <c r="AH162" s="101">
        <f t="shared" si="62"/>
        <v>0</v>
      </c>
      <c r="AI162" s="101">
        <f t="shared" si="59"/>
        <v>0</v>
      </c>
      <c r="AJ162" s="101">
        <f t="shared" si="59"/>
        <v>0</v>
      </c>
      <c r="AK162" s="101">
        <f t="shared" si="59"/>
        <v>0</v>
      </c>
      <c r="AL162" s="101">
        <f t="shared" si="59"/>
        <v>0</v>
      </c>
      <c r="AM162" s="101">
        <f t="shared" si="59"/>
        <v>0</v>
      </c>
      <c r="AN162" s="101">
        <f t="shared" si="59"/>
        <v>0</v>
      </c>
      <c r="AO162" s="101">
        <f t="shared" si="59"/>
        <v>0</v>
      </c>
      <c r="AP162" s="101">
        <f t="shared" si="59"/>
        <v>0</v>
      </c>
      <c r="AQ162" s="101">
        <f t="shared" si="59"/>
        <v>0</v>
      </c>
      <c r="AR162" s="101">
        <f t="shared" si="59"/>
        <v>0</v>
      </c>
      <c r="AS162" s="101">
        <f t="shared" si="59"/>
        <v>0</v>
      </c>
      <c r="AT162" s="101">
        <f t="shared" si="59"/>
        <v>0</v>
      </c>
      <c r="AU162" s="101">
        <f t="shared" si="59"/>
        <v>0</v>
      </c>
      <c r="AV162" s="101">
        <f t="shared" si="59"/>
        <v>0</v>
      </c>
      <c r="AW162" s="101">
        <f t="shared" si="59"/>
        <v>0</v>
      </c>
      <c r="AX162" s="101"/>
      <c r="AY162" s="101"/>
    </row>
    <row r="163" spans="3:51" x14ac:dyDescent="0.25">
      <c r="C163" s="62" t="str">
        <f t="shared" si="60"/>
        <v>Scenario B - 2030 cliffKENDAL</v>
      </c>
      <c r="D163" s="62" t="str">
        <f t="shared" si="63"/>
        <v>Scenario B - 2030 cliff</v>
      </c>
      <c r="E163" s="104" t="s">
        <v>153</v>
      </c>
      <c r="F163" s="101"/>
      <c r="G163" s="101" t="s">
        <v>206</v>
      </c>
      <c r="H163" s="62">
        <f>H145</f>
        <v>2039</v>
      </c>
      <c r="I163" s="62">
        <f t="shared" si="64"/>
        <v>2041</v>
      </c>
      <c r="J163" s="62">
        <f t="shared" si="64"/>
        <v>2042</v>
      </c>
      <c r="K163" s="62">
        <f t="shared" si="64"/>
        <v>2042</v>
      </c>
      <c r="L163" s="62">
        <f t="shared" si="64"/>
        <v>2043</v>
      </c>
      <c r="M163" s="62">
        <f t="shared" si="64"/>
        <v>2044</v>
      </c>
      <c r="N163" s="62" t="s">
        <v>277</v>
      </c>
      <c r="O163" s="62" t="s">
        <v>277</v>
      </c>
      <c r="Q163" s="101">
        <f t="shared" si="57"/>
        <v>6</v>
      </c>
      <c r="R163" s="101">
        <v>3.84</v>
      </c>
      <c r="S163" s="101">
        <f t="shared" si="62"/>
        <v>3.84</v>
      </c>
      <c r="T163" s="101">
        <f t="shared" si="62"/>
        <v>3.84</v>
      </c>
      <c r="U163" s="101">
        <f t="shared" si="62"/>
        <v>3.84</v>
      </c>
      <c r="V163" s="101">
        <f t="shared" si="62"/>
        <v>3.84</v>
      </c>
      <c r="W163" s="101">
        <f t="shared" si="62"/>
        <v>3.84</v>
      </c>
      <c r="X163" s="101">
        <f t="shared" si="62"/>
        <v>3.84</v>
      </c>
      <c r="Y163" s="101">
        <f t="shared" si="62"/>
        <v>3.84</v>
      </c>
      <c r="Z163" s="101">
        <f t="shared" si="62"/>
        <v>3.84</v>
      </c>
      <c r="AA163" s="101">
        <f t="shared" si="62"/>
        <v>3.84</v>
      </c>
      <c r="AB163" s="101">
        <f t="shared" si="62"/>
        <v>3.84</v>
      </c>
      <c r="AC163" s="101">
        <f t="shared" si="62"/>
        <v>3.84</v>
      </c>
      <c r="AD163" s="101">
        <f t="shared" si="62"/>
        <v>3.84</v>
      </c>
      <c r="AE163" s="101">
        <f t="shared" si="62"/>
        <v>3.84</v>
      </c>
      <c r="AF163" s="101">
        <f t="shared" si="62"/>
        <v>3.84</v>
      </c>
      <c r="AG163" s="101">
        <f t="shared" si="62"/>
        <v>3.84</v>
      </c>
      <c r="AH163" s="101">
        <f t="shared" si="62"/>
        <v>3.84</v>
      </c>
      <c r="AI163" s="101">
        <f t="shared" si="59"/>
        <v>3.84</v>
      </c>
      <c r="AJ163" s="101">
        <f t="shared" si="59"/>
        <v>3.84</v>
      </c>
      <c r="AK163" s="101">
        <f t="shared" si="59"/>
        <v>3.84</v>
      </c>
      <c r="AL163" s="101">
        <f t="shared" si="59"/>
        <v>3.1999999999999997</v>
      </c>
      <c r="AM163" s="101">
        <f t="shared" si="59"/>
        <v>3.1999999999999997</v>
      </c>
      <c r="AN163" s="101">
        <f t="shared" si="59"/>
        <v>2.5599999999999996</v>
      </c>
      <c r="AO163" s="101">
        <f t="shared" si="59"/>
        <v>1.2799999999999996</v>
      </c>
      <c r="AP163" s="101">
        <f t="shared" si="59"/>
        <v>0.63999999999999957</v>
      </c>
      <c r="AQ163" s="101">
        <f t="shared" si="59"/>
        <v>0</v>
      </c>
      <c r="AR163" s="101">
        <f t="shared" si="59"/>
        <v>0</v>
      </c>
      <c r="AS163" s="101">
        <f t="shared" si="59"/>
        <v>0</v>
      </c>
      <c r="AT163" s="101">
        <f t="shared" si="59"/>
        <v>0</v>
      </c>
      <c r="AU163" s="101">
        <f t="shared" si="59"/>
        <v>0</v>
      </c>
      <c r="AV163" s="101">
        <f t="shared" si="59"/>
        <v>0</v>
      </c>
      <c r="AW163" s="101">
        <f t="shared" si="59"/>
        <v>0</v>
      </c>
      <c r="AX163" s="101"/>
      <c r="AY163" s="101"/>
    </row>
    <row r="164" spans="3:51" x14ac:dyDescent="0.25">
      <c r="C164" s="62" t="str">
        <f t="shared" si="60"/>
        <v>Scenario B - 2030 cliffKRIEL</v>
      </c>
      <c r="D164" s="62" t="str">
        <f t="shared" si="63"/>
        <v>Scenario B - 2030 cliff</v>
      </c>
      <c r="E164" s="101" t="s">
        <v>151</v>
      </c>
      <c r="F164" s="101"/>
      <c r="G164" s="101" t="s">
        <v>199</v>
      </c>
      <c r="H164" s="62">
        <f>H146</f>
        <v>2026</v>
      </c>
      <c r="I164" s="62">
        <f t="shared" ref="I164:O164" si="65">I146</f>
        <v>2027</v>
      </c>
      <c r="J164" s="62">
        <f t="shared" si="65"/>
        <v>2028</v>
      </c>
      <c r="K164" s="62">
        <f t="shared" si="65"/>
        <v>2029</v>
      </c>
      <c r="L164" s="62">
        <f t="shared" si="65"/>
        <v>2029</v>
      </c>
      <c r="M164" s="62">
        <f t="shared" si="65"/>
        <v>2030</v>
      </c>
      <c r="N164" s="62" t="str">
        <f t="shared" si="65"/>
        <v/>
      </c>
      <c r="O164" s="62" t="str">
        <f t="shared" si="65"/>
        <v/>
      </c>
      <c r="Q164" s="101">
        <f t="shared" si="57"/>
        <v>6</v>
      </c>
      <c r="R164" s="101">
        <v>2.85</v>
      </c>
      <c r="S164" s="101">
        <f t="shared" si="62"/>
        <v>2.85</v>
      </c>
      <c r="T164" s="101">
        <f t="shared" si="62"/>
        <v>2.85</v>
      </c>
      <c r="U164" s="101">
        <f t="shared" si="62"/>
        <v>2.85</v>
      </c>
      <c r="V164" s="101">
        <f t="shared" si="62"/>
        <v>2.85</v>
      </c>
      <c r="W164" s="101">
        <f t="shared" si="62"/>
        <v>2.85</v>
      </c>
      <c r="X164" s="101">
        <f t="shared" si="62"/>
        <v>2.85</v>
      </c>
      <c r="Y164" s="101">
        <f t="shared" si="62"/>
        <v>2.375</v>
      </c>
      <c r="Z164" s="101">
        <f t="shared" si="62"/>
        <v>1.9</v>
      </c>
      <c r="AA164" s="101">
        <f t="shared" si="62"/>
        <v>1.4249999999999998</v>
      </c>
      <c r="AB164" s="101">
        <f t="shared" si="62"/>
        <v>0.47499999999999976</v>
      </c>
      <c r="AC164" s="101">
        <f t="shared" si="62"/>
        <v>0</v>
      </c>
      <c r="AD164" s="101">
        <f t="shared" si="62"/>
        <v>0</v>
      </c>
      <c r="AE164" s="101">
        <f t="shared" si="62"/>
        <v>0</v>
      </c>
      <c r="AF164" s="101">
        <f t="shared" si="62"/>
        <v>0</v>
      </c>
      <c r="AG164" s="101">
        <f t="shared" si="62"/>
        <v>0</v>
      </c>
      <c r="AH164" s="101">
        <f t="shared" si="62"/>
        <v>0</v>
      </c>
      <c r="AI164" s="101">
        <f t="shared" si="59"/>
        <v>0</v>
      </c>
      <c r="AJ164" s="101">
        <f t="shared" si="59"/>
        <v>0</v>
      </c>
      <c r="AK164" s="101">
        <f t="shared" si="59"/>
        <v>0</v>
      </c>
      <c r="AL164" s="101">
        <f t="shared" si="59"/>
        <v>0</v>
      </c>
      <c r="AM164" s="101">
        <f t="shared" si="59"/>
        <v>0</v>
      </c>
      <c r="AN164" s="101">
        <f t="shared" si="59"/>
        <v>0</v>
      </c>
      <c r="AO164" s="101">
        <f t="shared" si="59"/>
        <v>0</v>
      </c>
      <c r="AP164" s="101">
        <f t="shared" si="59"/>
        <v>0</v>
      </c>
      <c r="AQ164" s="101">
        <f t="shared" si="59"/>
        <v>0</v>
      </c>
      <c r="AR164" s="101">
        <f t="shared" si="59"/>
        <v>0</v>
      </c>
      <c r="AS164" s="101">
        <f t="shared" si="59"/>
        <v>0</v>
      </c>
      <c r="AT164" s="101">
        <f t="shared" si="59"/>
        <v>0</v>
      </c>
      <c r="AU164" s="101">
        <f t="shared" si="59"/>
        <v>0</v>
      </c>
      <c r="AV164" s="101">
        <f t="shared" si="59"/>
        <v>0</v>
      </c>
      <c r="AW164" s="101">
        <f t="shared" si="59"/>
        <v>0</v>
      </c>
      <c r="AX164" s="101"/>
      <c r="AY164" s="101"/>
    </row>
    <row r="165" spans="3:51" x14ac:dyDescent="0.25">
      <c r="C165" s="62" t="str">
        <f t="shared" si="60"/>
        <v>Scenario B - 2030 cliffLETHABO</v>
      </c>
      <c r="D165" s="62" t="str">
        <f t="shared" si="63"/>
        <v>Scenario B - 2030 cliff</v>
      </c>
      <c r="E165" s="104" t="s">
        <v>149</v>
      </c>
      <c r="F165" s="101"/>
      <c r="G165" s="101" t="s">
        <v>205</v>
      </c>
      <c r="H165" s="62">
        <f t="shared" ref="H165:O168" si="66">H147</f>
        <v>2036</v>
      </c>
      <c r="I165" s="62">
        <f t="shared" si="66"/>
        <v>2037</v>
      </c>
      <c r="J165" s="62">
        <f t="shared" si="66"/>
        <v>2037</v>
      </c>
      <c r="K165" s="62">
        <f t="shared" si="66"/>
        <v>2038</v>
      </c>
      <c r="L165" s="62">
        <f t="shared" si="66"/>
        <v>2040</v>
      </c>
      <c r="M165" s="62">
        <f t="shared" si="66"/>
        <v>2041</v>
      </c>
      <c r="N165" s="62" t="str">
        <f t="shared" si="66"/>
        <v/>
      </c>
      <c r="O165" s="62" t="str">
        <f t="shared" si="66"/>
        <v/>
      </c>
      <c r="Q165" s="101">
        <f t="shared" si="57"/>
        <v>6</v>
      </c>
      <c r="R165" s="101">
        <v>3.5579999999999998</v>
      </c>
      <c r="S165" s="101">
        <f t="shared" si="62"/>
        <v>3.5579999999999998</v>
      </c>
      <c r="T165" s="101">
        <f t="shared" si="62"/>
        <v>3.5579999999999998</v>
      </c>
      <c r="U165" s="101">
        <f t="shared" si="62"/>
        <v>3.5579999999999998</v>
      </c>
      <c r="V165" s="101">
        <f t="shared" si="62"/>
        <v>3.5579999999999998</v>
      </c>
      <c r="W165" s="101">
        <f t="shared" si="62"/>
        <v>3.5579999999999998</v>
      </c>
      <c r="X165" s="101">
        <f t="shared" si="62"/>
        <v>3.5579999999999998</v>
      </c>
      <c r="Y165" s="101">
        <f t="shared" si="62"/>
        <v>3.5579999999999998</v>
      </c>
      <c r="Z165" s="101">
        <f t="shared" si="62"/>
        <v>3.5579999999999998</v>
      </c>
      <c r="AA165" s="101">
        <f t="shared" si="62"/>
        <v>3.5579999999999998</v>
      </c>
      <c r="AB165" s="101">
        <f t="shared" si="62"/>
        <v>3.5579999999999998</v>
      </c>
      <c r="AC165" s="101">
        <f t="shared" si="62"/>
        <v>3.5579999999999998</v>
      </c>
      <c r="AD165" s="101">
        <f t="shared" si="62"/>
        <v>3.5579999999999998</v>
      </c>
      <c r="AE165" s="101">
        <f t="shared" si="62"/>
        <v>3.5579999999999998</v>
      </c>
      <c r="AF165" s="101">
        <f t="shared" si="62"/>
        <v>3.5579999999999998</v>
      </c>
      <c r="AG165" s="101">
        <f t="shared" si="62"/>
        <v>3.5579999999999998</v>
      </c>
      <c r="AH165" s="101">
        <f t="shared" si="62"/>
        <v>3.5579999999999998</v>
      </c>
      <c r="AI165" s="101">
        <f t="shared" si="59"/>
        <v>2.9649999999999999</v>
      </c>
      <c r="AJ165" s="101">
        <f t="shared" si="59"/>
        <v>1.7789999999999999</v>
      </c>
      <c r="AK165" s="101">
        <f t="shared" si="59"/>
        <v>1.1859999999999999</v>
      </c>
      <c r="AL165" s="101">
        <f t="shared" si="59"/>
        <v>1.1859999999999999</v>
      </c>
      <c r="AM165" s="101">
        <f t="shared" si="59"/>
        <v>0.59299999999999997</v>
      </c>
      <c r="AN165" s="101">
        <f t="shared" si="59"/>
        <v>0</v>
      </c>
      <c r="AO165" s="101">
        <f t="shared" si="59"/>
        <v>0</v>
      </c>
      <c r="AP165" s="101">
        <f t="shared" si="59"/>
        <v>0</v>
      </c>
      <c r="AQ165" s="101">
        <f t="shared" si="59"/>
        <v>0</v>
      </c>
      <c r="AR165" s="101">
        <f t="shared" si="59"/>
        <v>0</v>
      </c>
      <c r="AS165" s="101">
        <f t="shared" si="59"/>
        <v>0</v>
      </c>
      <c r="AT165" s="101">
        <f t="shared" si="59"/>
        <v>0</v>
      </c>
      <c r="AU165" s="101">
        <f t="shared" si="59"/>
        <v>0</v>
      </c>
      <c r="AV165" s="101">
        <f t="shared" si="59"/>
        <v>0</v>
      </c>
      <c r="AW165" s="101">
        <f t="shared" si="59"/>
        <v>0</v>
      </c>
      <c r="AX165" s="101"/>
      <c r="AY165" s="101"/>
    </row>
    <row r="166" spans="3:51" x14ac:dyDescent="0.25">
      <c r="C166" s="62" t="str">
        <f t="shared" si="60"/>
        <v>Scenario B - 2030 cliffMAJUBA DRY</v>
      </c>
      <c r="D166" s="62" t="str">
        <f t="shared" si="63"/>
        <v>Scenario B - 2030 cliff</v>
      </c>
      <c r="E166" s="104" t="s">
        <v>147</v>
      </c>
      <c r="F166" s="101"/>
      <c r="G166" s="101" t="s">
        <v>197</v>
      </c>
      <c r="H166" s="62">
        <f t="shared" si="66"/>
        <v>2046</v>
      </c>
      <c r="I166" s="62">
        <f t="shared" si="66"/>
        <v>2047</v>
      </c>
      <c r="J166" s="62">
        <f t="shared" si="66"/>
        <v>2048</v>
      </c>
      <c r="K166" s="62" t="str">
        <f t="shared" si="66"/>
        <v/>
      </c>
      <c r="L166" s="62" t="str">
        <f t="shared" si="66"/>
        <v/>
      </c>
      <c r="M166" s="62" t="str">
        <f t="shared" si="66"/>
        <v/>
      </c>
      <c r="N166" s="62" t="str">
        <f t="shared" si="66"/>
        <v/>
      </c>
      <c r="O166" s="62" t="str">
        <f t="shared" si="66"/>
        <v/>
      </c>
      <c r="Q166" s="101">
        <f t="shared" si="57"/>
        <v>3</v>
      </c>
      <c r="R166" s="101">
        <v>1.8330000000000002</v>
      </c>
      <c r="S166" s="101">
        <f t="shared" si="62"/>
        <v>1.8330000000000002</v>
      </c>
      <c r="T166" s="101">
        <f t="shared" si="62"/>
        <v>1.8330000000000002</v>
      </c>
      <c r="U166" s="101">
        <f t="shared" si="62"/>
        <v>1.8330000000000002</v>
      </c>
      <c r="V166" s="101">
        <f t="shared" si="62"/>
        <v>1.8330000000000002</v>
      </c>
      <c r="W166" s="101">
        <f t="shared" si="62"/>
        <v>1.8330000000000002</v>
      </c>
      <c r="X166" s="101">
        <f t="shared" si="62"/>
        <v>1.8330000000000002</v>
      </c>
      <c r="Y166" s="101">
        <f t="shared" si="62"/>
        <v>1.8330000000000002</v>
      </c>
      <c r="Z166" s="101">
        <f t="shared" si="62"/>
        <v>1.8330000000000002</v>
      </c>
      <c r="AA166" s="101">
        <f t="shared" si="62"/>
        <v>1.8330000000000002</v>
      </c>
      <c r="AB166" s="101">
        <f t="shared" si="62"/>
        <v>1.8330000000000002</v>
      </c>
      <c r="AC166" s="101">
        <f t="shared" si="62"/>
        <v>1.8330000000000002</v>
      </c>
      <c r="AD166" s="101">
        <f t="shared" si="62"/>
        <v>1.8330000000000002</v>
      </c>
      <c r="AE166" s="101">
        <f t="shared" si="62"/>
        <v>1.8330000000000002</v>
      </c>
      <c r="AF166" s="101">
        <f t="shared" si="62"/>
        <v>1.8330000000000002</v>
      </c>
      <c r="AG166" s="101">
        <f t="shared" si="62"/>
        <v>1.8330000000000002</v>
      </c>
      <c r="AH166" s="101">
        <f t="shared" si="62"/>
        <v>1.8330000000000002</v>
      </c>
      <c r="AI166" s="101">
        <f t="shared" si="59"/>
        <v>1.8330000000000002</v>
      </c>
      <c r="AJ166" s="101">
        <f t="shared" si="59"/>
        <v>1.8330000000000002</v>
      </c>
      <c r="AK166" s="101">
        <f t="shared" si="59"/>
        <v>1.8330000000000002</v>
      </c>
      <c r="AL166" s="101">
        <f t="shared" si="59"/>
        <v>1.8330000000000002</v>
      </c>
      <c r="AM166" s="101">
        <f t="shared" si="59"/>
        <v>1.8330000000000002</v>
      </c>
      <c r="AN166" s="101">
        <f t="shared" si="59"/>
        <v>1.8330000000000002</v>
      </c>
      <c r="AO166" s="101">
        <f t="shared" si="59"/>
        <v>1.8330000000000002</v>
      </c>
      <c r="AP166" s="101">
        <f t="shared" si="59"/>
        <v>1.8330000000000002</v>
      </c>
      <c r="AQ166" s="101">
        <f t="shared" si="59"/>
        <v>1.8330000000000002</v>
      </c>
      <c r="AR166" s="101">
        <f t="shared" si="59"/>
        <v>1.8330000000000002</v>
      </c>
      <c r="AS166" s="101">
        <f t="shared" si="59"/>
        <v>1.222</v>
      </c>
      <c r="AT166" s="101">
        <f t="shared" si="59"/>
        <v>0.61099999999999988</v>
      </c>
      <c r="AU166" s="101">
        <f t="shared" si="59"/>
        <v>0</v>
      </c>
      <c r="AV166" s="101">
        <f t="shared" si="59"/>
        <v>0</v>
      </c>
      <c r="AW166" s="101">
        <f t="shared" si="59"/>
        <v>0</v>
      </c>
      <c r="AX166" s="101"/>
      <c r="AY166" s="101"/>
    </row>
    <row r="167" spans="3:51" x14ac:dyDescent="0.25">
      <c r="C167" s="62" t="str">
        <f t="shared" si="60"/>
        <v>Scenario B - 2030 cliffMAJUBA WET</v>
      </c>
      <c r="D167" s="62" t="str">
        <f t="shared" si="63"/>
        <v>Scenario B - 2030 cliff</v>
      </c>
      <c r="E167" s="104" t="s">
        <v>145</v>
      </c>
      <c r="F167" s="101"/>
      <c r="G167" s="101"/>
      <c r="H167" s="62" t="str">
        <f t="shared" si="66"/>
        <v/>
      </c>
      <c r="I167" s="62" t="str">
        <f t="shared" si="66"/>
        <v/>
      </c>
      <c r="J167" s="62" t="str">
        <f t="shared" si="66"/>
        <v/>
      </c>
      <c r="K167" s="62">
        <f t="shared" si="66"/>
        <v>2049</v>
      </c>
      <c r="L167" s="62">
        <f t="shared" si="66"/>
        <v>2050</v>
      </c>
      <c r="M167" s="62">
        <f t="shared" si="66"/>
        <v>2051</v>
      </c>
      <c r="N167" s="62" t="str">
        <f t="shared" si="66"/>
        <v/>
      </c>
      <c r="O167" s="62" t="str">
        <f t="shared" si="66"/>
        <v/>
      </c>
      <c r="Q167" s="101">
        <f t="shared" si="57"/>
        <v>3</v>
      </c>
      <c r="R167" s="101">
        <v>2.0099999999999998</v>
      </c>
      <c r="S167" s="101">
        <f t="shared" si="62"/>
        <v>2.0099999999999998</v>
      </c>
      <c r="T167" s="101">
        <f t="shared" si="62"/>
        <v>2.0099999999999998</v>
      </c>
      <c r="U167" s="101">
        <f t="shared" si="62"/>
        <v>2.0099999999999998</v>
      </c>
      <c r="V167" s="101">
        <f t="shared" si="62"/>
        <v>2.0099999999999998</v>
      </c>
      <c r="W167" s="101">
        <f t="shared" si="62"/>
        <v>2.0099999999999998</v>
      </c>
      <c r="X167" s="101">
        <f t="shared" si="62"/>
        <v>2.0099999999999998</v>
      </c>
      <c r="Y167" s="101">
        <f t="shared" si="62"/>
        <v>2.0099999999999998</v>
      </c>
      <c r="Z167" s="101">
        <f t="shared" si="62"/>
        <v>2.0099999999999998</v>
      </c>
      <c r="AA167" s="101">
        <f t="shared" si="62"/>
        <v>2.0099999999999998</v>
      </c>
      <c r="AB167" s="101">
        <f t="shared" si="62"/>
        <v>2.0099999999999998</v>
      </c>
      <c r="AC167" s="101">
        <f t="shared" si="62"/>
        <v>2.0099999999999998</v>
      </c>
      <c r="AD167" s="101">
        <f t="shared" si="62"/>
        <v>2.0099999999999998</v>
      </c>
      <c r="AE167" s="101">
        <f t="shared" si="62"/>
        <v>2.0099999999999998</v>
      </c>
      <c r="AF167" s="101">
        <f t="shared" si="62"/>
        <v>2.0099999999999998</v>
      </c>
      <c r="AG167" s="101">
        <f t="shared" si="62"/>
        <v>2.0099999999999998</v>
      </c>
      <c r="AH167" s="101">
        <f t="shared" si="62"/>
        <v>2.0099999999999998</v>
      </c>
      <c r="AI167" s="101">
        <f t="shared" si="59"/>
        <v>2.0099999999999998</v>
      </c>
      <c r="AJ167" s="101">
        <f t="shared" si="59"/>
        <v>2.0099999999999998</v>
      </c>
      <c r="AK167" s="101">
        <f t="shared" si="59"/>
        <v>2.0099999999999998</v>
      </c>
      <c r="AL167" s="101">
        <f t="shared" si="59"/>
        <v>2.0099999999999998</v>
      </c>
      <c r="AM167" s="101">
        <f t="shared" si="59"/>
        <v>2.0099999999999998</v>
      </c>
      <c r="AN167" s="101">
        <f t="shared" si="59"/>
        <v>2.0099999999999998</v>
      </c>
      <c r="AO167" s="101">
        <f t="shared" si="59"/>
        <v>2.0099999999999998</v>
      </c>
      <c r="AP167" s="101">
        <f t="shared" si="59"/>
        <v>2.0099999999999998</v>
      </c>
      <c r="AQ167" s="101">
        <f t="shared" si="59"/>
        <v>2.0099999999999998</v>
      </c>
      <c r="AR167" s="101">
        <f t="shared" si="59"/>
        <v>2.0099999999999998</v>
      </c>
      <c r="AS167" s="101">
        <f t="shared" si="59"/>
        <v>2.0099999999999998</v>
      </c>
      <c r="AT167" s="101">
        <f t="shared" si="59"/>
        <v>2.0099999999999998</v>
      </c>
      <c r="AU167" s="101">
        <f t="shared" si="59"/>
        <v>2.0099999999999998</v>
      </c>
      <c r="AV167" s="101">
        <f t="shared" si="59"/>
        <v>1.3399999999999999</v>
      </c>
      <c r="AW167" s="101">
        <f t="shared" si="59"/>
        <v>0.66999999999999993</v>
      </c>
      <c r="AX167" s="101"/>
      <c r="AY167" s="101"/>
    </row>
    <row r="168" spans="3:51" x14ac:dyDescent="0.25">
      <c r="C168" s="62" t="str">
        <f t="shared" si="60"/>
        <v>Scenario B - 2030 cliffMATIMBA</v>
      </c>
      <c r="D168" s="62" t="str">
        <f t="shared" si="63"/>
        <v>Scenario B - 2030 cliff</v>
      </c>
      <c r="E168" s="104" t="s">
        <v>143</v>
      </c>
      <c r="F168" s="101"/>
      <c r="G168" s="101" t="s">
        <v>204</v>
      </c>
      <c r="H168" s="62">
        <f t="shared" si="66"/>
        <v>2038</v>
      </c>
      <c r="I168" s="62">
        <f t="shared" si="66"/>
        <v>2038</v>
      </c>
      <c r="J168" s="62">
        <f t="shared" si="66"/>
        <v>2039</v>
      </c>
      <c r="K168" s="62">
        <f t="shared" si="66"/>
        <v>2040</v>
      </c>
      <c r="L168" s="62">
        <f t="shared" si="66"/>
        <v>2041</v>
      </c>
      <c r="M168" s="62">
        <f t="shared" si="66"/>
        <v>2042</v>
      </c>
      <c r="N168" s="62" t="str">
        <f t="shared" si="66"/>
        <v/>
      </c>
      <c r="O168" s="62" t="str">
        <f t="shared" si="66"/>
        <v/>
      </c>
      <c r="Q168" s="101">
        <f t="shared" si="57"/>
        <v>6</v>
      </c>
      <c r="R168" s="101">
        <v>3.69</v>
      </c>
      <c r="S168" s="101">
        <f t="shared" si="62"/>
        <v>3.69</v>
      </c>
      <c r="T168" s="101">
        <f t="shared" si="62"/>
        <v>3.69</v>
      </c>
      <c r="U168" s="101">
        <f t="shared" si="62"/>
        <v>3.69</v>
      </c>
      <c r="V168" s="101">
        <f t="shared" si="62"/>
        <v>3.69</v>
      </c>
      <c r="W168" s="101">
        <f t="shared" si="62"/>
        <v>3.69</v>
      </c>
      <c r="X168" s="101">
        <f t="shared" si="62"/>
        <v>3.69</v>
      </c>
      <c r="Y168" s="101">
        <f t="shared" si="62"/>
        <v>3.69</v>
      </c>
      <c r="Z168" s="101">
        <f t="shared" si="62"/>
        <v>3.69</v>
      </c>
      <c r="AA168" s="101">
        <f t="shared" si="62"/>
        <v>3.69</v>
      </c>
      <c r="AB168" s="101">
        <f t="shared" si="62"/>
        <v>3.69</v>
      </c>
      <c r="AC168" s="101">
        <f t="shared" si="62"/>
        <v>3.69</v>
      </c>
      <c r="AD168" s="101">
        <f t="shared" si="62"/>
        <v>3.69</v>
      </c>
      <c r="AE168" s="101">
        <f t="shared" si="62"/>
        <v>3.69</v>
      </c>
      <c r="AF168" s="101">
        <f t="shared" si="62"/>
        <v>3.69</v>
      </c>
      <c r="AG168" s="101">
        <f t="shared" si="62"/>
        <v>3.69</v>
      </c>
      <c r="AH168" s="101">
        <f t="shared" si="62"/>
        <v>3.69</v>
      </c>
      <c r="AI168" s="101">
        <f t="shared" si="59"/>
        <v>3.69</v>
      </c>
      <c r="AJ168" s="101">
        <f t="shared" si="59"/>
        <v>3.69</v>
      </c>
      <c r="AK168" s="101">
        <f t="shared" si="59"/>
        <v>2.46</v>
      </c>
      <c r="AL168" s="101">
        <f t="shared" si="59"/>
        <v>1.845</v>
      </c>
      <c r="AM168" s="101">
        <f t="shared" si="59"/>
        <v>1.23</v>
      </c>
      <c r="AN168" s="101">
        <f t="shared" si="59"/>
        <v>0.61499999999999999</v>
      </c>
      <c r="AO168" s="101">
        <f t="shared" si="59"/>
        <v>0</v>
      </c>
      <c r="AP168" s="101">
        <f t="shared" si="59"/>
        <v>0</v>
      </c>
      <c r="AQ168" s="101">
        <f t="shared" si="59"/>
        <v>0</v>
      </c>
      <c r="AR168" s="101">
        <f t="shared" si="59"/>
        <v>0</v>
      </c>
      <c r="AS168" s="101">
        <f t="shared" si="59"/>
        <v>0</v>
      </c>
      <c r="AT168" s="101">
        <f t="shared" si="59"/>
        <v>0</v>
      </c>
      <c r="AU168" s="101">
        <f t="shared" si="59"/>
        <v>0</v>
      </c>
      <c r="AV168" s="101">
        <f t="shared" si="59"/>
        <v>0</v>
      </c>
      <c r="AW168" s="101">
        <f t="shared" si="59"/>
        <v>0</v>
      </c>
      <c r="AX168" s="101"/>
      <c r="AY168" s="101"/>
    </row>
    <row r="169" spans="3:51" x14ac:dyDescent="0.25">
      <c r="C169" s="62" t="str">
        <f t="shared" si="60"/>
        <v>Scenario B - 2030 cliffMATLA</v>
      </c>
      <c r="D169" s="62" t="str">
        <f t="shared" si="63"/>
        <v>Scenario B - 2030 cliff</v>
      </c>
      <c r="E169" s="103" t="s">
        <v>141</v>
      </c>
      <c r="F169" s="101"/>
      <c r="G169" s="101" t="s">
        <v>200</v>
      </c>
      <c r="H169" s="62">
        <v>2031</v>
      </c>
      <c r="I169" s="62">
        <v>2031</v>
      </c>
      <c r="J169" s="62">
        <v>2031</v>
      </c>
      <c r="K169" s="62">
        <v>2031</v>
      </c>
      <c r="L169" s="62">
        <v>2031</v>
      </c>
      <c r="M169" s="62">
        <v>2031</v>
      </c>
      <c r="Q169" s="101">
        <f t="shared" si="57"/>
        <v>6</v>
      </c>
      <c r="R169" s="101">
        <v>3.45</v>
      </c>
      <c r="S169" s="101">
        <f t="shared" si="62"/>
        <v>3.45</v>
      </c>
      <c r="T169" s="101">
        <f t="shared" si="62"/>
        <v>3.45</v>
      </c>
      <c r="U169" s="101">
        <f t="shared" si="62"/>
        <v>3.45</v>
      </c>
      <c r="V169" s="101">
        <f t="shared" si="62"/>
        <v>3.45</v>
      </c>
      <c r="W169" s="101">
        <f t="shared" si="62"/>
        <v>3.45</v>
      </c>
      <c r="X169" s="101">
        <f t="shared" si="62"/>
        <v>3.45</v>
      </c>
      <c r="Y169" s="101">
        <f t="shared" si="62"/>
        <v>3.45</v>
      </c>
      <c r="Z169" s="101">
        <f t="shared" si="62"/>
        <v>3.45</v>
      </c>
      <c r="AA169" s="101">
        <f t="shared" si="62"/>
        <v>3.45</v>
      </c>
      <c r="AB169" s="101">
        <f t="shared" si="62"/>
        <v>3.45</v>
      </c>
      <c r="AC169" s="101">
        <f t="shared" si="62"/>
        <v>3.45</v>
      </c>
      <c r="AD169" s="101">
        <f t="shared" si="62"/>
        <v>0</v>
      </c>
      <c r="AE169" s="101">
        <f t="shared" si="62"/>
        <v>0</v>
      </c>
      <c r="AF169" s="101">
        <f t="shared" si="62"/>
        <v>0</v>
      </c>
      <c r="AG169" s="101">
        <f t="shared" si="62"/>
        <v>0</v>
      </c>
      <c r="AH169" s="101">
        <f t="shared" si="62"/>
        <v>0</v>
      </c>
      <c r="AI169" s="101">
        <f t="shared" si="59"/>
        <v>0</v>
      </c>
      <c r="AJ169" s="101">
        <f t="shared" si="59"/>
        <v>0</v>
      </c>
      <c r="AK169" s="101">
        <f t="shared" si="59"/>
        <v>0</v>
      </c>
      <c r="AL169" s="101">
        <f t="shared" si="59"/>
        <v>0</v>
      </c>
      <c r="AM169" s="101">
        <f t="shared" si="59"/>
        <v>0</v>
      </c>
      <c r="AN169" s="101">
        <f t="shared" si="59"/>
        <v>0</v>
      </c>
      <c r="AO169" s="101">
        <f t="shared" si="59"/>
        <v>0</v>
      </c>
      <c r="AP169" s="101">
        <f t="shared" si="59"/>
        <v>0</v>
      </c>
      <c r="AQ169" s="101">
        <f t="shared" si="59"/>
        <v>0</v>
      </c>
      <c r="AR169" s="101">
        <f t="shared" si="59"/>
        <v>0</v>
      </c>
      <c r="AS169" s="101">
        <f t="shared" si="59"/>
        <v>0</v>
      </c>
      <c r="AT169" s="101">
        <f t="shared" si="59"/>
        <v>0</v>
      </c>
      <c r="AU169" s="101">
        <f t="shared" si="59"/>
        <v>0</v>
      </c>
      <c r="AV169" s="101">
        <f t="shared" si="59"/>
        <v>0</v>
      </c>
      <c r="AW169" s="101">
        <f t="shared" si="59"/>
        <v>0</v>
      </c>
      <c r="AX169" s="101"/>
      <c r="AY169" s="101"/>
    </row>
    <row r="170" spans="3:51" x14ac:dyDescent="0.25">
      <c r="C170" s="62" t="str">
        <f t="shared" si="60"/>
        <v>Scenario B - 2030 cliffTUTUKA</v>
      </c>
      <c r="D170" s="62" t="str">
        <f t="shared" si="63"/>
        <v>Scenario B - 2030 cliff</v>
      </c>
      <c r="E170" s="103" t="s">
        <v>139</v>
      </c>
      <c r="F170" s="101"/>
      <c r="G170" s="101" t="s">
        <v>202</v>
      </c>
      <c r="H170" s="62">
        <v>2031</v>
      </c>
      <c r="I170" s="62">
        <v>2031</v>
      </c>
      <c r="J170" s="62">
        <v>2031</v>
      </c>
      <c r="K170" s="62">
        <v>2031</v>
      </c>
      <c r="L170" s="62">
        <v>2031</v>
      </c>
      <c r="M170" s="62">
        <v>2031</v>
      </c>
      <c r="Q170" s="101">
        <f t="shared" si="57"/>
        <v>6</v>
      </c>
      <c r="R170" s="101">
        <v>3.51</v>
      </c>
      <c r="S170" s="101">
        <f t="shared" si="62"/>
        <v>3.51</v>
      </c>
      <c r="T170" s="101">
        <f t="shared" si="62"/>
        <v>3.51</v>
      </c>
      <c r="U170" s="101">
        <f t="shared" si="62"/>
        <v>3.51</v>
      </c>
      <c r="V170" s="101">
        <f t="shared" si="62"/>
        <v>3.51</v>
      </c>
      <c r="W170" s="101">
        <f t="shared" si="62"/>
        <v>3.51</v>
      </c>
      <c r="X170" s="101">
        <f t="shared" si="62"/>
        <v>3.51</v>
      </c>
      <c r="Y170" s="101">
        <f t="shared" si="62"/>
        <v>3.51</v>
      </c>
      <c r="Z170" s="101">
        <f t="shared" si="62"/>
        <v>3.51</v>
      </c>
      <c r="AA170" s="101">
        <f t="shared" si="62"/>
        <v>3.51</v>
      </c>
      <c r="AB170" s="101">
        <f t="shared" si="62"/>
        <v>3.51</v>
      </c>
      <c r="AC170" s="101">
        <f t="shared" si="62"/>
        <v>3.51</v>
      </c>
      <c r="AD170" s="101">
        <f t="shared" si="62"/>
        <v>0</v>
      </c>
      <c r="AE170" s="101">
        <f t="shared" si="62"/>
        <v>0</v>
      </c>
      <c r="AF170" s="101">
        <f t="shared" si="62"/>
        <v>0</v>
      </c>
      <c r="AG170" s="101">
        <f t="shared" si="62"/>
        <v>0</v>
      </c>
      <c r="AH170" s="101">
        <f t="shared" si="62"/>
        <v>0</v>
      </c>
      <c r="AI170" s="101">
        <f t="shared" si="59"/>
        <v>0</v>
      </c>
      <c r="AJ170" s="101">
        <f t="shared" si="59"/>
        <v>0</v>
      </c>
      <c r="AK170" s="101">
        <f t="shared" si="59"/>
        <v>0</v>
      </c>
      <c r="AL170" s="101">
        <f t="shared" si="59"/>
        <v>0</v>
      </c>
      <c r="AM170" s="101">
        <f t="shared" si="59"/>
        <v>0</v>
      </c>
      <c r="AN170" s="101">
        <f t="shared" si="59"/>
        <v>0</v>
      </c>
      <c r="AO170" s="101">
        <f t="shared" si="59"/>
        <v>0</v>
      </c>
      <c r="AP170" s="101">
        <f t="shared" si="59"/>
        <v>0</v>
      </c>
      <c r="AQ170" s="101">
        <f t="shared" si="59"/>
        <v>0</v>
      </c>
      <c r="AR170" s="101">
        <f t="shared" si="59"/>
        <v>0</v>
      </c>
      <c r="AS170" s="101">
        <f t="shared" si="59"/>
        <v>0</v>
      </c>
      <c r="AT170" s="101">
        <f t="shared" si="59"/>
        <v>0</v>
      </c>
      <c r="AU170" s="101">
        <f t="shared" si="59"/>
        <v>0</v>
      </c>
      <c r="AV170" s="101">
        <f t="shared" si="59"/>
        <v>0</v>
      </c>
      <c r="AW170" s="101">
        <f t="shared" si="59"/>
        <v>0</v>
      </c>
      <c r="AX170" s="101"/>
      <c r="AY170" s="101"/>
    </row>
    <row r="172" spans="3:51" x14ac:dyDescent="0.25">
      <c r="E172" s="62" t="s">
        <v>291</v>
      </c>
    </row>
    <row r="173" spans="3:51" x14ac:dyDescent="0.25">
      <c r="E173" s="101"/>
      <c r="F173" s="101"/>
      <c r="G173" s="101" t="s">
        <v>210</v>
      </c>
      <c r="H173" s="101">
        <v>1</v>
      </c>
      <c r="I173" s="101">
        <v>2</v>
      </c>
      <c r="J173" s="101">
        <v>3</v>
      </c>
      <c r="K173" s="101">
        <v>4</v>
      </c>
      <c r="L173" s="101">
        <v>5</v>
      </c>
      <c r="M173" s="101">
        <v>6</v>
      </c>
      <c r="N173" s="101">
        <v>7</v>
      </c>
      <c r="O173" s="101">
        <v>8</v>
      </c>
      <c r="P173" s="101">
        <v>9</v>
      </c>
      <c r="Q173" s="101" t="s">
        <v>43</v>
      </c>
      <c r="R173" s="101">
        <v>2019</v>
      </c>
      <c r="S173" s="101">
        <v>2020</v>
      </c>
      <c r="T173" s="101">
        <v>2021</v>
      </c>
      <c r="U173" s="101">
        <v>2022</v>
      </c>
      <c r="V173" s="101">
        <v>2023</v>
      </c>
      <c r="W173" s="101">
        <v>2024</v>
      </c>
      <c r="X173" s="101">
        <v>2025</v>
      </c>
      <c r="Y173" s="101">
        <v>2026</v>
      </c>
      <c r="Z173" s="101">
        <v>2027</v>
      </c>
      <c r="AA173" s="101">
        <v>2028</v>
      </c>
      <c r="AB173" s="101">
        <v>2029</v>
      </c>
      <c r="AC173" s="101">
        <v>2030</v>
      </c>
      <c r="AD173" s="101">
        <v>2031</v>
      </c>
      <c r="AE173" s="101">
        <v>2032</v>
      </c>
      <c r="AF173" s="101">
        <v>2033</v>
      </c>
      <c r="AG173" s="101">
        <v>2034</v>
      </c>
      <c r="AH173" s="101">
        <v>2035</v>
      </c>
      <c r="AI173" s="101">
        <v>2036</v>
      </c>
      <c r="AJ173" s="101">
        <v>2037</v>
      </c>
      <c r="AK173" s="101">
        <v>2038</v>
      </c>
      <c r="AL173" s="101">
        <v>2039</v>
      </c>
      <c r="AM173" s="101">
        <v>2040</v>
      </c>
      <c r="AN173" s="101">
        <v>2041</v>
      </c>
      <c r="AO173" s="101">
        <v>2042</v>
      </c>
      <c r="AP173" s="101">
        <v>2043</v>
      </c>
      <c r="AQ173" s="101">
        <v>2044</v>
      </c>
      <c r="AR173" s="101">
        <v>2045</v>
      </c>
      <c r="AS173" s="101">
        <v>2046</v>
      </c>
      <c r="AT173" s="101">
        <v>2047</v>
      </c>
      <c r="AU173" s="101">
        <v>2048</v>
      </c>
      <c r="AV173" s="101">
        <v>2049</v>
      </c>
      <c r="AW173" s="101">
        <v>2050</v>
      </c>
      <c r="AX173" s="101"/>
      <c r="AY173" s="101"/>
    </row>
    <row r="174" spans="3:51" x14ac:dyDescent="0.25">
      <c r="C174" s="62" t="str">
        <f>D174&amp;E174</f>
        <v>Scenario B - last 3 yearsCAMDEN</v>
      </c>
      <c r="D174" s="62" t="str">
        <f>E172</f>
        <v>Scenario B - last 3 years</v>
      </c>
      <c r="E174" s="101" t="s">
        <v>165</v>
      </c>
      <c r="F174" s="101"/>
      <c r="G174" s="101" t="s">
        <v>208</v>
      </c>
      <c r="H174" s="62">
        <f>H157</f>
        <v>2024</v>
      </c>
      <c r="I174" s="62">
        <f t="shared" ref="I174:O174" si="67">I157</f>
        <v>2024</v>
      </c>
      <c r="J174" s="62">
        <f t="shared" si="67"/>
        <v>2025</v>
      </c>
      <c r="K174" s="62">
        <f t="shared" si="67"/>
        <v>2026</v>
      </c>
      <c r="L174" s="62">
        <f t="shared" si="67"/>
        <v>2026</v>
      </c>
      <c r="M174" s="62">
        <f t="shared" si="67"/>
        <v>2025</v>
      </c>
      <c r="N174" s="62">
        <f t="shared" si="67"/>
        <v>2026</v>
      </c>
      <c r="O174" s="62" t="str">
        <f t="shared" si="67"/>
        <v/>
      </c>
      <c r="Q174" s="101">
        <f t="shared" ref="Q174:Q187" si="68">COUNT(H174:P174)</f>
        <v>7</v>
      </c>
      <c r="R174" s="101">
        <v>1.4810000000000001</v>
      </c>
      <c r="S174" s="101">
        <f>COUNTIF($H174:$P174,S$98)*-$R174/$Q174+R174</f>
        <v>1.4810000000000001</v>
      </c>
      <c r="T174" s="101">
        <f t="shared" ref="T174:AI174" si="69">COUNTIF($H174:$P174,T$98)*-$R174/$Q174+S174</f>
        <v>1.4810000000000001</v>
      </c>
      <c r="U174" s="101">
        <f t="shared" si="69"/>
        <v>1.4810000000000001</v>
      </c>
      <c r="V174" s="101">
        <f t="shared" si="69"/>
        <v>1.4810000000000001</v>
      </c>
      <c r="W174" s="101">
        <f t="shared" si="69"/>
        <v>1.0578571428571428</v>
      </c>
      <c r="X174" s="101">
        <f t="shared" si="69"/>
        <v>0.63471428571428568</v>
      </c>
      <c r="Y174" s="101">
        <f t="shared" si="69"/>
        <v>0</v>
      </c>
      <c r="Z174" s="101">
        <f t="shared" si="69"/>
        <v>0</v>
      </c>
      <c r="AA174" s="101">
        <f t="shared" si="69"/>
        <v>0</v>
      </c>
      <c r="AB174" s="101">
        <f t="shared" si="69"/>
        <v>0</v>
      </c>
      <c r="AC174" s="101">
        <f t="shared" si="69"/>
        <v>0</v>
      </c>
      <c r="AD174" s="101">
        <f t="shared" si="69"/>
        <v>0</v>
      </c>
      <c r="AE174" s="101">
        <f t="shared" si="69"/>
        <v>0</v>
      </c>
      <c r="AF174" s="101">
        <f t="shared" si="69"/>
        <v>0</v>
      </c>
      <c r="AG174" s="101">
        <f t="shared" si="69"/>
        <v>0</v>
      </c>
      <c r="AH174" s="101">
        <f t="shared" si="69"/>
        <v>0</v>
      </c>
      <c r="AI174" s="101">
        <f t="shared" si="69"/>
        <v>0</v>
      </c>
      <c r="AJ174" s="101">
        <f t="shared" ref="AI174:AW187" si="70">COUNTIF($H174:$P174,AJ$98)*-$R174/$Q174+AI174</f>
        <v>0</v>
      </c>
      <c r="AK174" s="101">
        <f t="shared" si="70"/>
        <v>0</v>
      </c>
      <c r="AL174" s="101">
        <f t="shared" si="70"/>
        <v>0</v>
      </c>
      <c r="AM174" s="101">
        <f t="shared" si="70"/>
        <v>0</v>
      </c>
      <c r="AN174" s="101">
        <f t="shared" si="70"/>
        <v>0</v>
      </c>
      <c r="AO174" s="101">
        <f t="shared" si="70"/>
        <v>0</v>
      </c>
      <c r="AP174" s="101">
        <f t="shared" si="70"/>
        <v>0</v>
      </c>
      <c r="AQ174" s="101">
        <f t="shared" si="70"/>
        <v>0</v>
      </c>
      <c r="AR174" s="101">
        <f t="shared" si="70"/>
        <v>0</v>
      </c>
      <c r="AS174" s="101">
        <f t="shared" si="70"/>
        <v>0</v>
      </c>
      <c r="AT174" s="101">
        <f t="shared" si="70"/>
        <v>0</v>
      </c>
      <c r="AU174" s="101">
        <f t="shared" si="70"/>
        <v>0</v>
      </c>
      <c r="AV174" s="101">
        <f t="shared" si="70"/>
        <v>0</v>
      </c>
      <c r="AW174" s="101">
        <f t="shared" si="70"/>
        <v>0</v>
      </c>
      <c r="AX174" s="101"/>
      <c r="AY174" s="101"/>
    </row>
    <row r="175" spans="3:51" x14ac:dyDescent="0.25">
      <c r="C175" s="62" t="str">
        <f t="shared" ref="C175:C187" si="71">D175&amp;E175</f>
        <v>Scenario B - last 3 yearsGROOTVLEI</v>
      </c>
      <c r="D175" s="62" t="str">
        <f>D174</f>
        <v>Scenario B - last 3 years</v>
      </c>
      <c r="E175" s="101" t="s">
        <v>163</v>
      </c>
      <c r="F175" s="101"/>
      <c r="G175" s="101" t="s">
        <v>195</v>
      </c>
      <c r="H175" s="62">
        <f t="shared" ref="H175:O177" si="72">H158</f>
        <v>2026</v>
      </c>
      <c r="I175" s="62">
        <f t="shared" si="72"/>
        <v>2027</v>
      </c>
      <c r="J175" s="62">
        <f t="shared" si="72"/>
        <v>2028</v>
      </c>
      <c r="K175" s="62" t="str">
        <f t="shared" si="72"/>
        <v/>
      </c>
      <c r="L175" s="62" t="str">
        <f t="shared" si="72"/>
        <v/>
      </c>
      <c r="M175" s="62" t="str">
        <f t="shared" si="72"/>
        <v/>
      </c>
      <c r="N175" s="62" t="str">
        <f t="shared" si="72"/>
        <v/>
      </c>
      <c r="O175" s="62" t="str">
        <f t="shared" si="72"/>
        <v/>
      </c>
      <c r="Q175" s="101">
        <f t="shared" si="68"/>
        <v>3</v>
      </c>
      <c r="R175" s="101">
        <v>0.56999999999999995</v>
      </c>
      <c r="S175" s="101">
        <f t="shared" ref="S175:AH187" si="73">COUNTIF($H175:$P175,S$98)*-$R175/$Q175+R175</f>
        <v>0.56999999999999995</v>
      </c>
      <c r="T175" s="101">
        <f t="shared" si="73"/>
        <v>0.56999999999999995</v>
      </c>
      <c r="U175" s="101">
        <f t="shared" si="73"/>
        <v>0.56999999999999995</v>
      </c>
      <c r="V175" s="101">
        <f t="shared" si="73"/>
        <v>0.56999999999999995</v>
      </c>
      <c r="W175" s="101">
        <f t="shared" si="73"/>
        <v>0.56999999999999995</v>
      </c>
      <c r="X175" s="101">
        <f t="shared" si="73"/>
        <v>0.56999999999999995</v>
      </c>
      <c r="Y175" s="101">
        <f t="shared" si="73"/>
        <v>0.38</v>
      </c>
      <c r="Z175" s="101">
        <f t="shared" si="73"/>
        <v>0.19000000000000003</v>
      </c>
      <c r="AA175" s="101">
        <f t="shared" si="73"/>
        <v>0</v>
      </c>
      <c r="AB175" s="101">
        <f t="shared" si="73"/>
        <v>0</v>
      </c>
      <c r="AC175" s="101">
        <f t="shared" si="73"/>
        <v>0</v>
      </c>
      <c r="AD175" s="101">
        <f t="shared" si="73"/>
        <v>0</v>
      </c>
      <c r="AE175" s="101">
        <f t="shared" si="73"/>
        <v>0</v>
      </c>
      <c r="AF175" s="101">
        <f t="shared" si="73"/>
        <v>0</v>
      </c>
      <c r="AG175" s="101">
        <f t="shared" si="73"/>
        <v>0</v>
      </c>
      <c r="AH175" s="101">
        <f t="shared" si="73"/>
        <v>0</v>
      </c>
      <c r="AI175" s="101">
        <f t="shared" si="70"/>
        <v>0</v>
      </c>
      <c r="AJ175" s="101">
        <f t="shared" si="70"/>
        <v>0</v>
      </c>
      <c r="AK175" s="101">
        <f t="shared" si="70"/>
        <v>0</v>
      </c>
      <c r="AL175" s="101">
        <f t="shared" si="70"/>
        <v>0</v>
      </c>
      <c r="AM175" s="101">
        <f t="shared" si="70"/>
        <v>0</v>
      </c>
      <c r="AN175" s="101">
        <f t="shared" si="70"/>
        <v>0</v>
      </c>
      <c r="AO175" s="101">
        <f t="shared" si="70"/>
        <v>0</v>
      </c>
      <c r="AP175" s="101">
        <f t="shared" si="70"/>
        <v>0</v>
      </c>
      <c r="AQ175" s="101">
        <f t="shared" si="70"/>
        <v>0</v>
      </c>
      <c r="AR175" s="101">
        <f t="shared" si="70"/>
        <v>0</v>
      </c>
      <c r="AS175" s="101">
        <f t="shared" si="70"/>
        <v>0</v>
      </c>
      <c r="AT175" s="101">
        <f t="shared" si="70"/>
        <v>0</v>
      </c>
      <c r="AU175" s="101">
        <f t="shared" si="70"/>
        <v>0</v>
      </c>
      <c r="AV175" s="101">
        <f t="shared" si="70"/>
        <v>0</v>
      </c>
      <c r="AW175" s="101">
        <f t="shared" si="70"/>
        <v>0</v>
      </c>
      <c r="AX175" s="101"/>
      <c r="AY175" s="101"/>
    </row>
    <row r="176" spans="3:51" x14ac:dyDescent="0.25">
      <c r="C176" s="62" t="str">
        <f t="shared" si="71"/>
        <v>Scenario B - last 3 yearsKOMATI</v>
      </c>
      <c r="D176" s="62" t="str">
        <f t="shared" ref="D176:D187" si="74">D175</f>
        <v>Scenario B - last 3 years</v>
      </c>
      <c r="E176" s="101" t="s">
        <v>161</v>
      </c>
      <c r="F176" s="101"/>
      <c r="G176" s="101" t="s">
        <v>196</v>
      </c>
      <c r="H176" s="62">
        <f t="shared" si="72"/>
        <v>2020</v>
      </c>
      <c r="I176" s="62">
        <f t="shared" si="72"/>
        <v>2020</v>
      </c>
      <c r="J176" s="62">
        <f t="shared" si="72"/>
        <v>2021</v>
      </c>
      <c r="K176" s="62" t="str">
        <f t="shared" si="72"/>
        <v/>
      </c>
      <c r="L176" s="62" t="str">
        <f t="shared" si="72"/>
        <v/>
      </c>
      <c r="M176" s="62" t="str">
        <f t="shared" si="72"/>
        <v/>
      </c>
      <c r="N176" s="62" t="str">
        <f t="shared" si="72"/>
        <v/>
      </c>
      <c r="O176" s="62" t="str">
        <f t="shared" si="72"/>
        <v/>
      </c>
      <c r="Q176" s="101">
        <f t="shared" si="68"/>
        <v>3</v>
      </c>
      <c r="R176" s="101">
        <v>0.41</v>
      </c>
      <c r="S176" s="101">
        <f t="shared" si="73"/>
        <v>0.13666666666666666</v>
      </c>
      <c r="T176" s="101">
        <f t="shared" si="73"/>
        <v>0</v>
      </c>
      <c r="U176" s="101">
        <f t="shared" si="73"/>
        <v>0</v>
      </c>
      <c r="V176" s="101">
        <f t="shared" si="73"/>
        <v>0</v>
      </c>
      <c r="W176" s="101">
        <f t="shared" si="73"/>
        <v>0</v>
      </c>
      <c r="X176" s="101">
        <f t="shared" si="73"/>
        <v>0</v>
      </c>
      <c r="Y176" s="101">
        <f t="shared" si="73"/>
        <v>0</v>
      </c>
      <c r="Z176" s="101">
        <f t="shared" si="73"/>
        <v>0</v>
      </c>
      <c r="AA176" s="101">
        <f t="shared" si="73"/>
        <v>0</v>
      </c>
      <c r="AB176" s="101">
        <f t="shared" si="73"/>
        <v>0</v>
      </c>
      <c r="AC176" s="101">
        <f t="shared" si="73"/>
        <v>0</v>
      </c>
      <c r="AD176" s="101">
        <f t="shared" si="73"/>
        <v>0</v>
      </c>
      <c r="AE176" s="101">
        <f t="shared" si="73"/>
        <v>0</v>
      </c>
      <c r="AF176" s="101">
        <f t="shared" si="73"/>
        <v>0</v>
      </c>
      <c r="AG176" s="101">
        <f t="shared" si="73"/>
        <v>0</v>
      </c>
      <c r="AH176" s="101">
        <f t="shared" si="73"/>
        <v>0</v>
      </c>
      <c r="AI176" s="101">
        <f t="shared" si="70"/>
        <v>0</v>
      </c>
      <c r="AJ176" s="101">
        <f t="shared" si="70"/>
        <v>0</v>
      </c>
      <c r="AK176" s="101">
        <f t="shared" si="70"/>
        <v>0</v>
      </c>
      <c r="AL176" s="101">
        <f t="shared" si="70"/>
        <v>0</v>
      </c>
      <c r="AM176" s="101">
        <f t="shared" si="70"/>
        <v>0</v>
      </c>
      <c r="AN176" s="101">
        <f t="shared" si="70"/>
        <v>0</v>
      </c>
      <c r="AO176" s="101">
        <f t="shared" si="70"/>
        <v>0</v>
      </c>
      <c r="AP176" s="101">
        <f t="shared" si="70"/>
        <v>0</v>
      </c>
      <c r="AQ176" s="101">
        <f t="shared" si="70"/>
        <v>0</v>
      </c>
      <c r="AR176" s="101">
        <f t="shared" si="70"/>
        <v>0</v>
      </c>
      <c r="AS176" s="101">
        <f t="shared" si="70"/>
        <v>0</v>
      </c>
      <c r="AT176" s="101">
        <f t="shared" si="70"/>
        <v>0</v>
      </c>
      <c r="AU176" s="101">
        <f t="shared" si="70"/>
        <v>0</v>
      </c>
      <c r="AV176" s="101">
        <f t="shared" si="70"/>
        <v>0</v>
      </c>
      <c r="AW176" s="101">
        <f t="shared" si="70"/>
        <v>0</v>
      </c>
      <c r="AX176" s="101"/>
      <c r="AY176" s="101"/>
    </row>
    <row r="177" spans="3:51" x14ac:dyDescent="0.25">
      <c r="C177" s="62" t="str">
        <f t="shared" si="71"/>
        <v>Scenario B - last 3 yearsARNOT</v>
      </c>
      <c r="D177" s="62" t="str">
        <f t="shared" si="74"/>
        <v>Scenario B - last 3 years</v>
      </c>
      <c r="E177" s="101" t="s">
        <v>159</v>
      </c>
      <c r="F177" s="101"/>
      <c r="G177" s="101" t="s">
        <v>201</v>
      </c>
      <c r="H177" s="62">
        <f t="shared" si="72"/>
        <v>2027</v>
      </c>
      <c r="I177" s="62">
        <f t="shared" si="72"/>
        <v>2026</v>
      </c>
      <c r="J177" s="62">
        <f t="shared" si="72"/>
        <v>2026</v>
      </c>
      <c r="K177" s="62">
        <f t="shared" si="72"/>
        <v>2027</v>
      </c>
      <c r="L177" s="62">
        <f t="shared" si="72"/>
        <v>2029</v>
      </c>
      <c r="M177" s="62">
        <f t="shared" si="72"/>
        <v>2029</v>
      </c>
      <c r="N177" s="62" t="str">
        <f t="shared" si="72"/>
        <v/>
      </c>
      <c r="O177" s="62" t="str">
        <f t="shared" si="72"/>
        <v/>
      </c>
      <c r="Q177" s="101">
        <f t="shared" si="68"/>
        <v>6</v>
      </c>
      <c r="R177" s="101">
        <v>2.2320000000000002</v>
      </c>
      <c r="S177" s="101">
        <f t="shared" si="73"/>
        <v>2.2320000000000002</v>
      </c>
      <c r="T177" s="101">
        <f t="shared" si="73"/>
        <v>2.2320000000000002</v>
      </c>
      <c r="U177" s="101">
        <f t="shared" si="73"/>
        <v>2.2320000000000002</v>
      </c>
      <c r="V177" s="101">
        <f t="shared" si="73"/>
        <v>2.2320000000000002</v>
      </c>
      <c r="W177" s="101">
        <f t="shared" si="73"/>
        <v>2.2320000000000002</v>
      </c>
      <c r="X177" s="101">
        <f t="shared" si="73"/>
        <v>2.2320000000000002</v>
      </c>
      <c r="Y177" s="101">
        <f t="shared" si="73"/>
        <v>1.488</v>
      </c>
      <c r="Z177" s="101">
        <f t="shared" si="73"/>
        <v>0.74399999999999988</v>
      </c>
      <c r="AA177" s="101">
        <f t="shared" si="73"/>
        <v>0.74399999999999988</v>
      </c>
      <c r="AB177" s="101">
        <f t="shared" si="73"/>
        <v>0</v>
      </c>
      <c r="AC177" s="101">
        <f t="shared" si="73"/>
        <v>0</v>
      </c>
      <c r="AD177" s="101">
        <f t="shared" si="73"/>
        <v>0</v>
      </c>
      <c r="AE177" s="101">
        <f t="shared" si="73"/>
        <v>0</v>
      </c>
      <c r="AF177" s="101">
        <f t="shared" si="73"/>
        <v>0</v>
      </c>
      <c r="AG177" s="101">
        <f t="shared" si="73"/>
        <v>0</v>
      </c>
      <c r="AH177" s="101">
        <f t="shared" si="73"/>
        <v>0</v>
      </c>
      <c r="AI177" s="101">
        <f t="shared" si="70"/>
        <v>0</v>
      </c>
      <c r="AJ177" s="101">
        <f t="shared" si="70"/>
        <v>0</v>
      </c>
      <c r="AK177" s="101">
        <f t="shared" si="70"/>
        <v>0</v>
      </c>
      <c r="AL177" s="101">
        <f t="shared" si="70"/>
        <v>0</v>
      </c>
      <c r="AM177" s="101">
        <f t="shared" si="70"/>
        <v>0</v>
      </c>
      <c r="AN177" s="101">
        <f t="shared" si="70"/>
        <v>0</v>
      </c>
      <c r="AO177" s="101">
        <f t="shared" si="70"/>
        <v>0</v>
      </c>
      <c r="AP177" s="101">
        <f t="shared" si="70"/>
        <v>0</v>
      </c>
      <c r="AQ177" s="101">
        <f t="shared" si="70"/>
        <v>0</v>
      </c>
      <c r="AR177" s="101">
        <f t="shared" si="70"/>
        <v>0</v>
      </c>
      <c r="AS177" s="101">
        <f t="shared" si="70"/>
        <v>0</v>
      </c>
      <c r="AT177" s="101">
        <f t="shared" si="70"/>
        <v>0</v>
      </c>
      <c r="AU177" s="101">
        <f t="shared" si="70"/>
        <v>0</v>
      </c>
      <c r="AV177" s="101">
        <f t="shared" si="70"/>
        <v>0</v>
      </c>
      <c r="AW177" s="101">
        <f t="shared" si="70"/>
        <v>0</v>
      </c>
      <c r="AX177" s="101"/>
      <c r="AY177" s="101"/>
    </row>
    <row r="178" spans="3:51" x14ac:dyDescent="0.25">
      <c r="C178" s="62" t="str">
        <f t="shared" si="71"/>
        <v>Scenario B - last 3 yearsDUVHA</v>
      </c>
      <c r="D178" s="62" t="str">
        <f t="shared" si="74"/>
        <v>Scenario B - last 3 years</v>
      </c>
      <c r="E178" s="103" t="s">
        <v>157</v>
      </c>
      <c r="F178" s="101"/>
      <c r="G178" s="101" t="s">
        <v>207</v>
      </c>
      <c r="H178" s="62">
        <v>2029</v>
      </c>
      <c r="I178" s="62">
        <v>2030</v>
      </c>
      <c r="J178" s="62">
        <v>2030</v>
      </c>
      <c r="K178" s="62">
        <v>2031</v>
      </c>
      <c r="L178" s="62">
        <v>2031</v>
      </c>
      <c r="M178" s="62" t="s">
        <v>277</v>
      </c>
      <c r="N178" s="62" t="s">
        <v>277</v>
      </c>
      <c r="O178" s="62" t="s">
        <v>277</v>
      </c>
      <c r="Q178" s="101">
        <f t="shared" si="68"/>
        <v>5</v>
      </c>
      <c r="R178" s="101">
        <v>2.875</v>
      </c>
      <c r="S178" s="101">
        <f t="shared" si="73"/>
        <v>2.875</v>
      </c>
      <c r="T178" s="101">
        <f t="shared" si="73"/>
        <v>2.875</v>
      </c>
      <c r="U178" s="101">
        <f t="shared" si="73"/>
        <v>2.875</v>
      </c>
      <c r="V178" s="101">
        <f t="shared" si="73"/>
        <v>2.875</v>
      </c>
      <c r="W178" s="101">
        <f t="shared" si="73"/>
        <v>2.875</v>
      </c>
      <c r="X178" s="101">
        <f t="shared" si="73"/>
        <v>2.875</v>
      </c>
      <c r="Y178" s="101">
        <f t="shared" si="73"/>
        <v>2.875</v>
      </c>
      <c r="Z178" s="101">
        <f t="shared" si="73"/>
        <v>2.875</v>
      </c>
      <c r="AA178" s="101">
        <f t="shared" si="73"/>
        <v>2.875</v>
      </c>
      <c r="AB178" s="101">
        <f t="shared" si="73"/>
        <v>2.2999999999999998</v>
      </c>
      <c r="AC178" s="101">
        <f t="shared" si="73"/>
        <v>1.1499999999999999</v>
      </c>
      <c r="AD178" s="101">
        <f t="shared" si="73"/>
        <v>0</v>
      </c>
      <c r="AE178" s="101">
        <f t="shared" si="73"/>
        <v>0</v>
      </c>
      <c r="AF178" s="101">
        <f t="shared" si="73"/>
        <v>0</v>
      </c>
      <c r="AG178" s="101">
        <f t="shared" si="73"/>
        <v>0</v>
      </c>
      <c r="AH178" s="101">
        <f t="shared" si="73"/>
        <v>0</v>
      </c>
      <c r="AI178" s="101">
        <f t="shared" si="70"/>
        <v>0</v>
      </c>
      <c r="AJ178" s="101">
        <f t="shared" si="70"/>
        <v>0</v>
      </c>
      <c r="AK178" s="101">
        <f t="shared" si="70"/>
        <v>0</v>
      </c>
      <c r="AL178" s="101">
        <f t="shared" si="70"/>
        <v>0</v>
      </c>
      <c r="AM178" s="101">
        <f t="shared" si="70"/>
        <v>0</v>
      </c>
      <c r="AN178" s="101">
        <f t="shared" si="70"/>
        <v>0</v>
      </c>
      <c r="AO178" s="101">
        <f t="shared" si="70"/>
        <v>0</v>
      </c>
      <c r="AP178" s="101">
        <f t="shared" si="70"/>
        <v>0</v>
      </c>
      <c r="AQ178" s="101">
        <f t="shared" si="70"/>
        <v>0</v>
      </c>
      <c r="AR178" s="101">
        <f t="shared" si="70"/>
        <v>0</v>
      </c>
      <c r="AS178" s="101">
        <f t="shared" si="70"/>
        <v>0</v>
      </c>
      <c r="AT178" s="101">
        <f t="shared" si="70"/>
        <v>0</v>
      </c>
      <c r="AU178" s="101">
        <f t="shared" si="70"/>
        <v>0</v>
      </c>
      <c r="AV178" s="101">
        <f t="shared" si="70"/>
        <v>0</v>
      </c>
      <c r="AW178" s="101">
        <f t="shared" si="70"/>
        <v>0</v>
      </c>
      <c r="AX178" s="101"/>
      <c r="AY178" s="101"/>
    </row>
    <row r="179" spans="3:51" x14ac:dyDescent="0.25">
      <c r="C179" s="62" t="str">
        <f t="shared" si="71"/>
        <v>Scenario B - last 3 yearsHENDRINA</v>
      </c>
      <c r="D179" s="62" t="str">
        <f t="shared" si="74"/>
        <v>Scenario B - last 3 years</v>
      </c>
      <c r="E179" s="101" t="s">
        <v>155</v>
      </c>
      <c r="F179" s="101"/>
      <c r="G179" s="101" t="s">
        <v>198</v>
      </c>
      <c r="H179" s="62">
        <f>H162</f>
        <v>2021</v>
      </c>
      <c r="I179" s="62">
        <f t="shared" ref="I179:O179" si="75">I162</f>
        <v>2025</v>
      </c>
      <c r="J179" s="62" t="str">
        <f t="shared" si="75"/>
        <v/>
      </c>
      <c r="K179" s="62">
        <f t="shared" si="75"/>
        <v>2025</v>
      </c>
      <c r="L179" s="62">
        <f t="shared" si="75"/>
        <v>2025</v>
      </c>
      <c r="M179" s="62">
        <f t="shared" si="75"/>
        <v>2025</v>
      </c>
      <c r="N179" s="62">
        <f t="shared" si="75"/>
        <v>2024</v>
      </c>
      <c r="O179" s="62" t="str">
        <f t="shared" si="75"/>
        <v/>
      </c>
      <c r="Q179" s="101">
        <f t="shared" si="68"/>
        <v>6</v>
      </c>
      <c r="R179" s="101">
        <v>1.2929999999999999</v>
      </c>
      <c r="S179" s="101">
        <f t="shared" si="73"/>
        <v>1.2929999999999999</v>
      </c>
      <c r="T179" s="101">
        <f t="shared" si="73"/>
        <v>1.0774999999999999</v>
      </c>
      <c r="U179" s="101">
        <f t="shared" si="73"/>
        <v>1.0774999999999999</v>
      </c>
      <c r="V179" s="101">
        <f t="shared" si="73"/>
        <v>1.0774999999999999</v>
      </c>
      <c r="W179" s="101">
        <f t="shared" si="73"/>
        <v>0.86199999999999988</v>
      </c>
      <c r="X179" s="101">
        <f t="shared" si="73"/>
        <v>0</v>
      </c>
      <c r="Y179" s="101">
        <f t="shared" si="73"/>
        <v>0</v>
      </c>
      <c r="Z179" s="101">
        <f t="shared" si="73"/>
        <v>0</v>
      </c>
      <c r="AA179" s="101">
        <f t="shared" si="73"/>
        <v>0</v>
      </c>
      <c r="AB179" s="101">
        <f t="shared" si="73"/>
        <v>0</v>
      </c>
      <c r="AC179" s="101">
        <f t="shared" si="73"/>
        <v>0</v>
      </c>
      <c r="AD179" s="101">
        <f t="shared" si="73"/>
        <v>0</v>
      </c>
      <c r="AE179" s="101">
        <f t="shared" si="73"/>
        <v>0</v>
      </c>
      <c r="AF179" s="101">
        <f t="shared" si="73"/>
        <v>0</v>
      </c>
      <c r="AG179" s="101">
        <f t="shared" si="73"/>
        <v>0</v>
      </c>
      <c r="AH179" s="101">
        <f t="shared" si="73"/>
        <v>0</v>
      </c>
      <c r="AI179" s="101">
        <f t="shared" si="70"/>
        <v>0</v>
      </c>
      <c r="AJ179" s="101">
        <f t="shared" si="70"/>
        <v>0</v>
      </c>
      <c r="AK179" s="101">
        <f t="shared" si="70"/>
        <v>0</v>
      </c>
      <c r="AL179" s="101">
        <f t="shared" si="70"/>
        <v>0</v>
      </c>
      <c r="AM179" s="101">
        <f t="shared" si="70"/>
        <v>0</v>
      </c>
      <c r="AN179" s="101">
        <f t="shared" si="70"/>
        <v>0</v>
      </c>
      <c r="AO179" s="101">
        <f t="shared" si="70"/>
        <v>0</v>
      </c>
      <c r="AP179" s="101">
        <f t="shared" si="70"/>
        <v>0</v>
      </c>
      <c r="AQ179" s="101">
        <f t="shared" si="70"/>
        <v>0</v>
      </c>
      <c r="AR179" s="101">
        <f t="shared" si="70"/>
        <v>0</v>
      </c>
      <c r="AS179" s="101">
        <f t="shared" si="70"/>
        <v>0</v>
      </c>
      <c r="AT179" s="101">
        <f t="shared" si="70"/>
        <v>0</v>
      </c>
      <c r="AU179" s="101">
        <f t="shared" si="70"/>
        <v>0</v>
      </c>
      <c r="AV179" s="101">
        <f t="shared" si="70"/>
        <v>0</v>
      </c>
      <c r="AW179" s="101">
        <f t="shared" si="70"/>
        <v>0</v>
      </c>
      <c r="AX179" s="101"/>
      <c r="AY179" s="101"/>
    </row>
    <row r="180" spans="3:51" x14ac:dyDescent="0.25">
      <c r="C180" s="62" t="str">
        <f t="shared" si="71"/>
        <v>Scenario B - last 3 yearsKENDAL</v>
      </c>
      <c r="D180" s="62" t="str">
        <f t="shared" si="74"/>
        <v>Scenario B - last 3 years</v>
      </c>
      <c r="E180" s="103" t="s">
        <v>153</v>
      </c>
      <c r="F180" s="101"/>
      <c r="G180" s="101" t="s">
        <v>206</v>
      </c>
      <c r="H180" s="62">
        <v>2029</v>
      </c>
      <c r="I180" s="62">
        <v>2029</v>
      </c>
      <c r="J180" s="62">
        <v>2030</v>
      </c>
      <c r="K180" s="62">
        <v>2030</v>
      </c>
      <c r="L180" s="62">
        <v>2031</v>
      </c>
      <c r="M180" s="62">
        <v>2031</v>
      </c>
      <c r="N180" s="62" t="s">
        <v>277</v>
      </c>
      <c r="O180" s="62" t="s">
        <v>277</v>
      </c>
      <c r="Q180" s="101">
        <f t="shared" si="68"/>
        <v>6</v>
      </c>
      <c r="R180" s="101">
        <v>3.84</v>
      </c>
      <c r="S180" s="101">
        <f t="shared" si="73"/>
        <v>3.84</v>
      </c>
      <c r="T180" s="101">
        <f t="shared" si="73"/>
        <v>3.84</v>
      </c>
      <c r="U180" s="101">
        <f t="shared" si="73"/>
        <v>3.84</v>
      </c>
      <c r="V180" s="101">
        <f t="shared" si="73"/>
        <v>3.84</v>
      </c>
      <c r="W180" s="101">
        <f t="shared" si="73"/>
        <v>3.84</v>
      </c>
      <c r="X180" s="101">
        <f t="shared" si="73"/>
        <v>3.84</v>
      </c>
      <c r="Y180" s="101">
        <f t="shared" si="73"/>
        <v>3.84</v>
      </c>
      <c r="Z180" s="101">
        <f t="shared" si="73"/>
        <v>3.84</v>
      </c>
      <c r="AA180" s="101">
        <f t="shared" si="73"/>
        <v>3.84</v>
      </c>
      <c r="AB180" s="101">
        <f t="shared" si="73"/>
        <v>2.5599999999999996</v>
      </c>
      <c r="AC180" s="101">
        <f t="shared" si="73"/>
        <v>1.2799999999999996</v>
      </c>
      <c r="AD180" s="101">
        <f t="shared" si="73"/>
        <v>0</v>
      </c>
      <c r="AE180" s="101">
        <f t="shared" si="73"/>
        <v>0</v>
      </c>
      <c r="AF180" s="101">
        <f t="shared" si="73"/>
        <v>0</v>
      </c>
      <c r="AG180" s="101">
        <f t="shared" si="73"/>
        <v>0</v>
      </c>
      <c r="AH180" s="101">
        <f t="shared" si="73"/>
        <v>0</v>
      </c>
      <c r="AI180" s="101">
        <f t="shared" si="70"/>
        <v>0</v>
      </c>
      <c r="AJ180" s="101">
        <f t="shared" si="70"/>
        <v>0</v>
      </c>
      <c r="AK180" s="101">
        <f t="shared" si="70"/>
        <v>0</v>
      </c>
      <c r="AL180" s="101">
        <f t="shared" si="70"/>
        <v>0</v>
      </c>
      <c r="AM180" s="101">
        <f t="shared" si="70"/>
        <v>0</v>
      </c>
      <c r="AN180" s="101">
        <f t="shared" si="70"/>
        <v>0</v>
      </c>
      <c r="AO180" s="101">
        <f t="shared" si="70"/>
        <v>0</v>
      </c>
      <c r="AP180" s="101">
        <f t="shared" si="70"/>
        <v>0</v>
      </c>
      <c r="AQ180" s="101">
        <f t="shared" si="70"/>
        <v>0</v>
      </c>
      <c r="AR180" s="101">
        <f t="shared" si="70"/>
        <v>0</v>
      </c>
      <c r="AS180" s="101">
        <f t="shared" si="70"/>
        <v>0</v>
      </c>
      <c r="AT180" s="101">
        <f t="shared" si="70"/>
        <v>0</v>
      </c>
      <c r="AU180" s="101">
        <f t="shared" si="70"/>
        <v>0</v>
      </c>
      <c r="AV180" s="101">
        <f t="shared" si="70"/>
        <v>0</v>
      </c>
      <c r="AW180" s="101">
        <f t="shared" si="70"/>
        <v>0</v>
      </c>
      <c r="AX180" s="101"/>
      <c r="AY180" s="101"/>
    </row>
    <row r="181" spans="3:51" x14ac:dyDescent="0.25">
      <c r="C181" s="62" t="str">
        <f t="shared" si="71"/>
        <v>Scenario B - last 3 yearsKRIEL</v>
      </c>
      <c r="D181" s="62" t="str">
        <f t="shared" si="74"/>
        <v>Scenario B - last 3 years</v>
      </c>
      <c r="E181" s="101" t="s">
        <v>151</v>
      </c>
      <c r="F181" s="101"/>
      <c r="G181" s="101" t="s">
        <v>199</v>
      </c>
      <c r="H181" s="62">
        <f>H164</f>
        <v>2026</v>
      </c>
      <c r="I181" s="62">
        <f t="shared" ref="I181:O181" si="76">I164</f>
        <v>2027</v>
      </c>
      <c r="J181" s="62">
        <f t="shared" si="76"/>
        <v>2028</v>
      </c>
      <c r="K181" s="62">
        <f t="shared" si="76"/>
        <v>2029</v>
      </c>
      <c r="L181" s="62">
        <f t="shared" si="76"/>
        <v>2029</v>
      </c>
      <c r="M181" s="62">
        <f t="shared" si="76"/>
        <v>2030</v>
      </c>
      <c r="N181" s="62" t="str">
        <f t="shared" si="76"/>
        <v/>
      </c>
      <c r="O181" s="62" t="str">
        <f t="shared" si="76"/>
        <v/>
      </c>
      <c r="Q181" s="101">
        <f t="shared" si="68"/>
        <v>6</v>
      </c>
      <c r="R181" s="101">
        <v>2.85</v>
      </c>
      <c r="S181" s="101">
        <f t="shared" si="73"/>
        <v>2.85</v>
      </c>
      <c r="T181" s="101">
        <f t="shared" si="73"/>
        <v>2.85</v>
      </c>
      <c r="U181" s="101">
        <f t="shared" si="73"/>
        <v>2.85</v>
      </c>
      <c r="V181" s="101">
        <f t="shared" si="73"/>
        <v>2.85</v>
      </c>
      <c r="W181" s="101">
        <f t="shared" si="73"/>
        <v>2.85</v>
      </c>
      <c r="X181" s="101">
        <f t="shared" si="73"/>
        <v>2.85</v>
      </c>
      <c r="Y181" s="101">
        <f t="shared" si="73"/>
        <v>2.375</v>
      </c>
      <c r="Z181" s="101">
        <f t="shared" si="73"/>
        <v>1.9</v>
      </c>
      <c r="AA181" s="101">
        <f t="shared" si="73"/>
        <v>1.4249999999999998</v>
      </c>
      <c r="AB181" s="101">
        <f t="shared" si="73"/>
        <v>0.47499999999999976</v>
      </c>
      <c r="AC181" s="101">
        <f t="shared" si="73"/>
        <v>0</v>
      </c>
      <c r="AD181" s="101">
        <f t="shared" si="73"/>
        <v>0</v>
      </c>
      <c r="AE181" s="101">
        <f t="shared" si="73"/>
        <v>0</v>
      </c>
      <c r="AF181" s="101">
        <f t="shared" si="73"/>
        <v>0</v>
      </c>
      <c r="AG181" s="101">
        <f t="shared" si="73"/>
        <v>0</v>
      </c>
      <c r="AH181" s="101">
        <f t="shared" si="73"/>
        <v>0</v>
      </c>
      <c r="AI181" s="101">
        <f t="shared" si="70"/>
        <v>0</v>
      </c>
      <c r="AJ181" s="101">
        <f t="shared" si="70"/>
        <v>0</v>
      </c>
      <c r="AK181" s="101">
        <f t="shared" si="70"/>
        <v>0</v>
      </c>
      <c r="AL181" s="101">
        <f t="shared" si="70"/>
        <v>0</v>
      </c>
      <c r="AM181" s="101">
        <f t="shared" si="70"/>
        <v>0</v>
      </c>
      <c r="AN181" s="101">
        <f t="shared" si="70"/>
        <v>0</v>
      </c>
      <c r="AO181" s="101">
        <f t="shared" si="70"/>
        <v>0</v>
      </c>
      <c r="AP181" s="101">
        <f t="shared" si="70"/>
        <v>0</v>
      </c>
      <c r="AQ181" s="101">
        <f t="shared" si="70"/>
        <v>0</v>
      </c>
      <c r="AR181" s="101">
        <f t="shared" si="70"/>
        <v>0</v>
      </c>
      <c r="AS181" s="101">
        <f t="shared" si="70"/>
        <v>0</v>
      </c>
      <c r="AT181" s="101">
        <f t="shared" si="70"/>
        <v>0</v>
      </c>
      <c r="AU181" s="101">
        <f t="shared" si="70"/>
        <v>0</v>
      </c>
      <c r="AV181" s="101">
        <f t="shared" si="70"/>
        <v>0</v>
      </c>
      <c r="AW181" s="101">
        <f t="shared" si="70"/>
        <v>0</v>
      </c>
      <c r="AX181" s="101"/>
      <c r="AY181" s="101"/>
    </row>
    <row r="182" spans="3:51" x14ac:dyDescent="0.25">
      <c r="C182" s="62" t="str">
        <f t="shared" si="71"/>
        <v>Scenario B - last 3 yearsLETHABO</v>
      </c>
      <c r="D182" s="62" t="str">
        <f t="shared" si="74"/>
        <v>Scenario B - last 3 years</v>
      </c>
      <c r="E182" s="104" t="s">
        <v>149</v>
      </c>
      <c r="F182" s="101"/>
      <c r="G182" s="101" t="s">
        <v>205</v>
      </c>
      <c r="H182" s="62">
        <f t="shared" ref="H182:O185" si="77">H165</f>
        <v>2036</v>
      </c>
      <c r="I182" s="62">
        <f t="shared" si="77"/>
        <v>2037</v>
      </c>
      <c r="J182" s="62">
        <f t="shared" si="77"/>
        <v>2037</v>
      </c>
      <c r="K182" s="62">
        <f t="shared" si="77"/>
        <v>2038</v>
      </c>
      <c r="L182" s="62">
        <f t="shared" si="77"/>
        <v>2040</v>
      </c>
      <c r="M182" s="62">
        <f t="shared" si="77"/>
        <v>2041</v>
      </c>
      <c r="N182" s="62" t="str">
        <f t="shared" si="77"/>
        <v/>
      </c>
      <c r="O182" s="62" t="str">
        <f t="shared" si="77"/>
        <v/>
      </c>
      <c r="Q182" s="101">
        <f t="shared" si="68"/>
        <v>6</v>
      </c>
      <c r="R182" s="101">
        <v>3.5579999999999998</v>
      </c>
      <c r="S182" s="101">
        <f t="shared" si="73"/>
        <v>3.5579999999999998</v>
      </c>
      <c r="T182" s="101">
        <f t="shared" si="73"/>
        <v>3.5579999999999998</v>
      </c>
      <c r="U182" s="101">
        <f t="shared" si="73"/>
        <v>3.5579999999999998</v>
      </c>
      <c r="V182" s="101">
        <f t="shared" si="73"/>
        <v>3.5579999999999998</v>
      </c>
      <c r="W182" s="101">
        <f t="shared" si="73"/>
        <v>3.5579999999999998</v>
      </c>
      <c r="X182" s="101">
        <f t="shared" si="73"/>
        <v>3.5579999999999998</v>
      </c>
      <c r="Y182" s="101">
        <f t="shared" si="73"/>
        <v>3.5579999999999998</v>
      </c>
      <c r="Z182" s="101">
        <f t="shared" si="73"/>
        <v>3.5579999999999998</v>
      </c>
      <c r="AA182" s="101">
        <f t="shared" si="73"/>
        <v>3.5579999999999998</v>
      </c>
      <c r="AB182" s="101">
        <f t="shared" si="73"/>
        <v>3.5579999999999998</v>
      </c>
      <c r="AC182" s="101">
        <f t="shared" si="73"/>
        <v>3.5579999999999998</v>
      </c>
      <c r="AD182" s="101">
        <f t="shared" si="73"/>
        <v>3.5579999999999998</v>
      </c>
      <c r="AE182" s="101">
        <f t="shared" si="73"/>
        <v>3.5579999999999998</v>
      </c>
      <c r="AF182" s="101">
        <f t="shared" si="73"/>
        <v>3.5579999999999998</v>
      </c>
      <c r="AG182" s="101">
        <f t="shared" si="73"/>
        <v>3.5579999999999998</v>
      </c>
      <c r="AH182" s="101">
        <f t="shared" si="73"/>
        <v>3.5579999999999998</v>
      </c>
      <c r="AI182" s="101">
        <f t="shared" si="70"/>
        <v>2.9649999999999999</v>
      </c>
      <c r="AJ182" s="101">
        <f t="shared" si="70"/>
        <v>1.7789999999999999</v>
      </c>
      <c r="AK182" s="101">
        <f t="shared" si="70"/>
        <v>1.1859999999999999</v>
      </c>
      <c r="AL182" s="101">
        <f t="shared" si="70"/>
        <v>1.1859999999999999</v>
      </c>
      <c r="AM182" s="101">
        <f t="shared" si="70"/>
        <v>0.59299999999999997</v>
      </c>
      <c r="AN182" s="101">
        <f t="shared" si="70"/>
        <v>0</v>
      </c>
      <c r="AO182" s="101">
        <f t="shared" si="70"/>
        <v>0</v>
      </c>
      <c r="AP182" s="101">
        <f t="shared" si="70"/>
        <v>0</v>
      </c>
      <c r="AQ182" s="101">
        <f t="shared" si="70"/>
        <v>0</v>
      </c>
      <c r="AR182" s="101">
        <f t="shared" si="70"/>
        <v>0</v>
      </c>
      <c r="AS182" s="101">
        <f t="shared" si="70"/>
        <v>0</v>
      </c>
      <c r="AT182" s="101">
        <f t="shared" si="70"/>
        <v>0</v>
      </c>
      <c r="AU182" s="101">
        <f t="shared" si="70"/>
        <v>0</v>
      </c>
      <c r="AV182" s="101">
        <f t="shared" si="70"/>
        <v>0</v>
      </c>
      <c r="AW182" s="101">
        <f t="shared" si="70"/>
        <v>0</v>
      </c>
      <c r="AX182" s="101"/>
      <c r="AY182" s="101"/>
    </row>
    <row r="183" spans="3:51" x14ac:dyDescent="0.25">
      <c r="C183" s="62" t="str">
        <f t="shared" si="71"/>
        <v>Scenario B - last 3 yearsMAJUBA DRY</v>
      </c>
      <c r="D183" s="62" t="str">
        <f t="shared" si="74"/>
        <v>Scenario B - last 3 years</v>
      </c>
      <c r="E183" s="104" t="s">
        <v>147</v>
      </c>
      <c r="F183" s="101"/>
      <c r="G183" s="101" t="s">
        <v>197</v>
      </c>
      <c r="H183" s="62">
        <f t="shared" si="77"/>
        <v>2046</v>
      </c>
      <c r="I183" s="62">
        <f t="shared" si="77"/>
        <v>2047</v>
      </c>
      <c r="J183" s="62">
        <f t="shared" si="77"/>
        <v>2048</v>
      </c>
      <c r="K183" s="62" t="str">
        <f t="shared" si="77"/>
        <v/>
      </c>
      <c r="L183" s="62" t="str">
        <f t="shared" si="77"/>
        <v/>
      </c>
      <c r="M183" s="62" t="str">
        <f t="shared" si="77"/>
        <v/>
      </c>
      <c r="N183" s="62" t="str">
        <f t="shared" si="77"/>
        <v/>
      </c>
      <c r="O183" s="62" t="str">
        <f t="shared" si="77"/>
        <v/>
      </c>
      <c r="Q183" s="101">
        <f t="shared" si="68"/>
        <v>3</v>
      </c>
      <c r="R183" s="101">
        <v>1.8330000000000002</v>
      </c>
      <c r="S183" s="101">
        <f t="shared" si="73"/>
        <v>1.8330000000000002</v>
      </c>
      <c r="T183" s="101">
        <f t="shared" si="73"/>
        <v>1.8330000000000002</v>
      </c>
      <c r="U183" s="101">
        <f t="shared" si="73"/>
        <v>1.8330000000000002</v>
      </c>
      <c r="V183" s="101">
        <f t="shared" si="73"/>
        <v>1.8330000000000002</v>
      </c>
      <c r="W183" s="101">
        <f t="shared" si="73"/>
        <v>1.8330000000000002</v>
      </c>
      <c r="X183" s="101">
        <f t="shared" si="73"/>
        <v>1.8330000000000002</v>
      </c>
      <c r="Y183" s="101">
        <f t="shared" si="73"/>
        <v>1.8330000000000002</v>
      </c>
      <c r="Z183" s="101">
        <f t="shared" si="73"/>
        <v>1.8330000000000002</v>
      </c>
      <c r="AA183" s="101">
        <f t="shared" si="73"/>
        <v>1.8330000000000002</v>
      </c>
      <c r="AB183" s="101">
        <f t="shared" si="73"/>
        <v>1.8330000000000002</v>
      </c>
      <c r="AC183" s="101">
        <f t="shared" si="73"/>
        <v>1.8330000000000002</v>
      </c>
      <c r="AD183" s="101">
        <f t="shared" si="73"/>
        <v>1.8330000000000002</v>
      </c>
      <c r="AE183" s="101">
        <f t="shared" si="73"/>
        <v>1.8330000000000002</v>
      </c>
      <c r="AF183" s="101">
        <f t="shared" si="73"/>
        <v>1.8330000000000002</v>
      </c>
      <c r="AG183" s="101">
        <f t="shared" si="73"/>
        <v>1.8330000000000002</v>
      </c>
      <c r="AH183" s="101">
        <f t="shared" si="73"/>
        <v>1.8330000000000002</v>
      </c>
      <c r="AI183" s="101">
        <f t="shared" si="70"/>
        <v>1.8330000000000002</v>
      </c>
      <c r="AJ183" s="101">
        <f t="shared" si="70"/>
        <v>1.8330000000000002</v>
      </c>
      <c r="AK183" s="101">
        <f t="shared" si="70"/>
        <v>1.8330000000000002</v>
      </c>
      <c r="AL183" s="101">
        <f t="shared" si="70"/>
        <v>1.8330000000000002</v>
      </c>
      <c r="AM183" s="101">
        <f t="shared" si="70"/>
        <v>1.8330000000000002</v>
      </c>
      <c r="AN183" s="101">
        <f t="shared" si="70"/>
        <v>1.8330000000000002</v>
      </c>
      <c r="AO183" s="101">
        <f t="shared" si="70"/>
        <v>1.8330000000000002</v>
      </c>
      <c r="AP183" s="101">
        <f t="shared" si="70"/>
        <v>1.8330000000000002</v>
      </c>
      <c r="AQ183" s="101">
        <f t="shared" si="70"/>
        <v>1.8330000000000002</v>
      </c>
      <c r="AR183" s="101">
        <f t="shared" si="70"/>
        <v>1.8330000000000002</v>
      </c>
      <c r="AS183" s="101">
        <f t="shared" si="70"/>
        <v>1.222</v>
      </c>
      <c r="AT183" s="101">
        <f t="shared" si="70"/>
        <v>0.61099999999999988</v>
      </c>
      <c r="AU183" s="101">
        <f t="shared" si="70"/>
        <v>0</v>
      </c>
      <c r="AV183" s="101">
        <f t="shared" si="70"/>
        <v>0</v>
      </c>
      <c r="AW183" s="101">
        <f t="shared" si="70"/>
        <v>0</v>
      </c>
      <c r="AX183" s="101"/>
      <c r="AY183" s="101"/>
    </row>
    <row r="184" spans="3:51" x14ac:dyDescent="0.25">
      <c r="C184" s="62" t="str">
        <f t="shared" si="71"/>
        <v>Scenario B - last 3 yearsMAJUBA WET</v>
      </c>
      <c r="D184" s="62" t="str">
        <f t="shared" si="74"/>
        <v>Scenario B - last 3 years</v>
      </c>
      <c r="E184" s="104" t="s">
        <v>145</v>
      </c>
      <c r="F184" s="101"/>
      <c r="G184" s="101"/>
      <c r="H184" s="62" t="str">
        <f t="shared" si="77"/>
        <v/>
      </c>
      <c r="I184" s="62" t="str">
        <f t="shared" si="77"/>
        <v/>
      </c>
      <c r="J184" s="62" t="str">
        <f t="shared" si="77"/>
        <v/>
      </c>
      <c r="K184" s="62">
        <f t="shared" si="77"/>
        <v>2049</v>
      </c>
      <c r="L184" s="62">
        <f t="shared" si="77"/>
        <v>2050</v>
      </c>
      <c r="M184" s="62">
        <f t="shared" si="77"/>
        <v>2051</v>
      </c>
      <c r="N184" s="62" t="str">
        <f t="shared" si="77"/>
        <v/>
      </c>
      <c r="O184" s="62" t="str">
        <f t="shared" si="77"/>
        <v/>
      </c>
      <c r="Q184" s="101">
        <f t="shared" si="68"/>
        <v>3</v>
      </c>
      <c r="R184" s="101">
        <v>2.0099999999999998</v>
      </c>
      <c r="S184" s="101">
        <f t="shared" si="73"/>
        <v>2.0099999999999998</v>
      </c>
      <c r="T184" s="101">
        <f t="shared" si="73"/>
        <v>2.0099999999999998</v>
      </c>
      <c r="U184" s="101">
        <f t="shared" si="73"/>
        <v>2.0099999999999998</v>
      </c>
      <c r="V184" s="101">
        <f t="shared" si="73"/>
        <v>2.0099999999999998</v>
      </c>
      <c r="W184" s="101">
        <f t="shared" si="73"/>
        <v>2.0099999999999998</v>
      </c>
      <c r="X184" s="101">
        <f t="shared" si="73"/>
        <v>2.0099999999999998</v>
      </c>
      <c r="Y184" s="101">
        <f t="shared" si="73"/>
        <v>2.0099999999999998</v>
      </c>
      <c r="Z184" s="101">
        <f t="shared" si="73"/>
        <v>2.0099999999999998</v>
      </c>
      <c r="AA184" s="101">
        <f t="shared" si="73"/>
        <v>2.0099999999999998</v>
      </c>
      <c r="AB184" s="101">
        <f t="shared" si="73"/>
        <v>2.0099999999999998</v>
      </c>
      <c r="AC184" s="101">
        <f t="shared" si="73"/>
        <v>2.0099999999999998</v>
      </c>
      <c r="AD184" s="101">
        <f t="shared" si="73"/>
        <v>2.0099999999999998</v>
      </c>
      <c r="AE184" s="101">
        <f t="shared" si="73"/>
        <v>2.0099999999999998</v>
      </c>
      <c r="AF184" s="101">
        <f t="shared" si="73"/>
        <v>2.0099999999999998</v>
      </c>
      <c r="AG184" s="101">
        <f t="shared" si="73"/>
        <v>2.0099999999999998</v>
      </c>
      <c r="AH184" s="101">
        <f t="shared" si="73"/>
        <v>2.0099999999999998</v>
      </c>
      <c r="AI184" s="101">
        <f t="shared" si="70"/>
        <v>2.0099999999999998</v>
      </c>
      <c r="AJ184" s="101">
        <f t="shared" si="70"/>
        <v>2.0099999999999998</v>
      </c>
      <c r="AK184" s="101">
        <f t="shared" si="70"/>
        <v>2.0099999999999998</v>
      </c>
      <c r="AL184" s="101">
        <f t="shared" si="70"/>
        <v>2.0099999999999998</v>
      </c>
      <c r="AM184" s="101">
        <f t="shared" si="70"/>
        <v>2.0099999999999998</v>
      </c>
      <c r="AN184" s="101">
        <f t="shared" si="70"/>
        <v>2.0099999999999998</v>
      </c>
      <c r="AO184" s="101">
        <f t="shared" si="70"/>
        <v>2.0099999999999998</v>
      </c>
      <c r="AP184" s="101">
        <f t="shared" si="70"/>
        <v>2.0099999999999998</v>
      </c>
      <c r="AQ184" s="101">
        <f t="shared" si="70"/>
        <v>2.0099999999999998</v>
      </c>
      <c r="AR184" s="101">
        <f t="shared" si="70"/>
        <v>2.0099999999999998</v>
      </c>
      <c r="AS184" s="101">
        <f t="shared" si="70"/>
        <v>2.0099999999999998</v>
      </c>
      <c r="AT184" s="101">
        <f t="shared" si="70"/>
        <v>2.0099999999999998</v>
      </c>
      <c r="AU184" s="101">
        <f t="shared" si="70"/>
        <v>2.0099999999999998</v>
      </c>
      <c r="AV184" s="101">
        <f t="shared" si="70"/>
        <v>1.3399999999999999</v>
      </c>
      <c r="AW184" s="101">
        <f t="shared" si="70"/>
        <v>0.66999999999999993</v>
      </c>
      <c r="AX184" s="101"/>
      <c r="AY184" s="101"/>
    </row>
    <row r="185" spans="3:51" x14ac:dyDescent="0.25">
      <c r="C185" s="62" t="str">
        <f t="shared" si="71"/>
        <v>Scenario B - last 3 yearsMATIMBA</v>
      </c>
      <c r="D185" s="62" t="str">
        <f t="shared" si="74"/>
        <v>Scenario B - last 3 years</v>
      </c>
      <c r="E185" s="104" t="s">
        <v>143</v>
      </c>
      <c r="F185" s="101"/>
      <c r="G185" s="101" t="s">
        <v>204</v>
      </c>
      <c r="H185" s="62">
        <f t="shared" si="77"/>
        <v>2038</v>
      </c>
      <c r="I185" s="62">
        <f t="shared" si="77"/>
        <v>2038</v>
      </c>
      <c r="J185" s="62">
        <f t="shared" si="77"/>
        <v>2039</v>
      </c>
      <c r="K185" s="62">
        <f t="shared" si="77"/>
        <v>2040</v>
      </c>
      <c r="L185" s="62">
        <f t="shared" si="77"/>
        <v>2041</v>
      </c>
      <c r="M185" s="62">
        <f t="shared" si="77"/>
        <v>2042</v>
      </c>
      <c r="N185" s="62" t="str">
        <f t="shared" si="77"/>
        <v/>
      </c>
      <c r="O185" s="62" t="str">
        <f t="shared" si="77"/>
        <v/>
      </c>
      <c r="Q185" s="101">
        <f t="shared" si="68"/>
        <v>6</v>
      </c>
      <c r="R185" s="101">
        <v>3.69</v>
      </c>
      <c r="S185" s="101">
        <f t="shared" si="73"/>
        <v>3.69</v>
      </c>
      <c r="T185" s="101">
        <f t="shared" si="73"/>
        <v>3.69</v>
      </c>
      <c r="U185" s="101">
        <f t="shared" si="73"/>
        <v>3.69</v>
      </c>
      <c r="V185" s="101">
        <f t="shared" si="73"/>
        <v>3.69</v>
      </c>
      <c r="W185" s="101">
        <f t="shared" si="73"/>
        <v>3.69</v>
      </c>
      <c r="X185" s="101">
        <f t="shared" si="73"/>
        <v>3.69</v>
      </c>
      <c r="Y185" s="101">
        <f t="shared" si="73"/>
        <v>3.69</v>
      </c>
      <c r="Z185" s="101">
        <f t="shared" si="73"/>
        <v>3.69</v>
      </c>
      <c r="AA185" s="101">
        <f t="shared" si="73"/>
        <v>3.69</v>
      </c>
      <c r="AB185" s="101">
        <f t="shared" si="73"/>
        <v>3.69</v>
      </c>
      <c r="AC185" s="101">
        <f t="shared" si="73"/>
        <v>3.69</v>
      </c>
      <c r="AD185" s="101">
        <f t="shared" si="73"/>
        <v>3.69</v>
      </c>
      <c r="AE185" s="101">
        <f t="shared" si="73"/>
        <v>3.69</v>
      </c>
      <c r="AF185" s="101">
        <f t="shared" si="73"/>
        <v>3.69</v>
      </c>
      <c r="AG185" s="101">
        <f t="shared" si="73"/>
        <v>3.69</v>
      </c>
      <c r="AH185" s="101">
        <f t="shared" si="73"/>
        <v>3.69</v>
      </c>
      <c r="AI185" s="101">
        <f t="shared" si="70"/>
        <v>3.69</v>
      </c>
      <c r="AJ185" s="101">
        <f t="shared" si="70"/>
        <v>3.69</v>
      </c>
      <c r="AK185" s="101">
        <f t="shared" si="70"/>
        <v>2.46</v>
      </c>
      <c r="AL185" s="101">
        <f t="shared" si="70"/>
        <v>1.845</v>
      </c>
      <c r="AM185" s="101">
        <f t="shared" si="70"/>
        <v>1.23</v>
      </c>
      <c r="AN185" s="101">
        <f t="shared" si="70"/>
        <v>0.61499999999999999</v>
      </c>
      <c r="AO185" s="101">
        <f t="shared" si="70"/>
        <v>0</v>
      </c>
      <c r="AP185" s="101">
        <f t="shared" si="70"/>
        <v>0</v>
      </c>
      <c r="AQ185" s="101">
        <f t="shared" si="70"/>
        <v>0</v>
      </c>
      <c r="AR185" s="101">
        <f t="shared" si="70"/>
        <v>0</v>
      </c>
      <c r="AS185" s="101">
        <f t="shared" si="70"/>
        <v>0</v>
      </c>
      <c r="AT185" s="101">
        <f t="shared" si="70"/>
        <v>0</v>
      </c>
      <c r="AU185" s="101">
        <f t="shared" si="70"/>
        <v>0</v>
      </c>
      <c r="AV185" s="101">
        <f t="shared" si="70"/>
        <v>0</v>
      </c>
      <c r="AW185" s="101">
        <f t="shared" si="70"/>
        <v>0</v>
      </c>
      <c r="AX185" s="101"/>
      <c r="AY185" s="101"/>
    </row>
    <row r="186" spans="3:51" x14ac:dyDescent="0.25">
      <c r="C186" s="62" t="str">
        <f t="shared" si="71"/>
        <v>Scenario B - last 3 yearsMATLA</v>
      </c>
      <c r="D186" s="62" t="str">
        <f t="shared" si="74"/>
        <v>Scenario B - last 3 years</v>
      </c>
      <c r="E186" s="103" t="s">
        <v>141</v>
      </c>
      <c r="F186" s="101"/>
      <c r="G186" s="101" t="s">
        <v>200</v>
      </c>
      <c r="H186" s="62">
        <v>2029</v>
      </c>
      <c r="I186" s="62">
        <v>2029</v>
      </c>
      <c r="J186" s="62">
        <v>2030</v>
      </c>
      <c r="K186" s="62">
        <v>2030</v>
      </c>
      <c r="L186" s="62">
        <v>2031</v>
      </c>
      <c r="M186" s="62">
        <v>2031</v>
      </c>
      <c r="Q186" s="101">
        <f t="shared" si="68"/>
        <v>6</v>
      </c>
      <c r="R186" s="101">
        <v>3.45</v>
      </c>
      <c r="S186" s="101">
        <f t="shared" si="73"/>
        <v>3.45</v>
      </c>
      <c r="T186" s="101">
        <f t="shared" si="73"/>
        <v>3.45</v>
      </c>
      <c r="U186" s="101">
        <f t="shared" si="73"/>
        <v>3.45</v>
      </c>
      <c r="V186" s="101">
        <f t="shared" si="73"/>
        <v>3.45</v>
      </c>
      <c r="W186" s="101">
        <f t="shared" si="73"/>
        <v>3.45</v>
      </c>
      <c r="X186" s="101">
        <f t="shared" si="73"/>
        <v>3.45</v>
      </c>
      <c r="Y186" s="101">
        <f t="shared" si="73"/>
        <v>3.45</v>
      </c>
      <c r="Z186" s="101">
        <f t="shared" si="73"/>
        <v>3.45</v>
      </c>
      <c r="AA186" s="101">
        <f t="shared" si="73"/>
        <v>3.45</v>
      </c>
      <c r="AB186" s="101">
        <f t="shared" si="73"/>
        <v>2.2999999999999998</v>
      </c>
      <c r="AC186" s="101">
        <f t="shared" si="73"/>
        <v>1.1499999999999997</v>
      </c>
      <c r="AD186" s="101">
        <f t="shared" si="73"/>
        <v>0</v>
      </c>
      <c r="AE186" s="101">
        <f t="shared" si="73"/>
        <v>0</v>
      </c>
      <c r="AF186" s="101">
        <f t="shared" si="73"/>
        <v>0</v>
      </c>
      <c r="AG186" s="101">
        <f t="shared" si="73"/>
        <v>0</v>
      </c>
      <c r="AH186" s="101">
        <f t="shared" si="73"/>
        <v>0</v>
      </c>
      <c r="AI186" s="101">
        <f t="shared" si="70"/>
        <v>0</v>
      </c>
      <c r="AJ186" s="101">
        <f t="shared" si="70"/>
        <v>0</v>
      </c>
      <c r="AK186" s="101">
        <f t="shared" si="70"/>
        <v>0</v>
      </c>
      <c r="AL186" s="101">
        <f t="shared" si="70"/>
        <v>0</v>
      </c>
      <c r="AM186" s="101">
        <f t="shared" si="70"/>
        <v>0</v>
      </c>
      <c r="AN186" s="101">
        <f t="shared" si="70"/>
        <v>0</v>
      </c>
      <c r="AO186" s="101">
        <f t="shared" si="70"/>
        <v>0</v>
      </c>
      <c r="AP186" s="101">
        <f t="shared" si="70"/>
        <v>0</v>
      </c>
      <c r="AQ186" s="101">
        <f t="shared" si="70"/>
        <v>0</v>
      </c>
      <c r="AR186" s="101">
        <f t="shared" si="70"/>
        <v>0</v>
      </c>
      <c r="AS186" s="101">
        <f t="shared" si="70"/>
        <v>0</v>
      </c>
      <c r="AT186" s="101">
        <f t="shared" si="70"/>
        <v>0</v>
      </c>
      <c r="AU186" s="101">
        <f t="shared" si="70"/>
        <v>0</v>
      </c>
      <c r="AV186" s="101">
        <f t="shared" si="70"/>
        <v>0</v>
      </c>
      <c r="AW186" s="101">
        <f t="shared" si="70"/>
        <v>0</v>
      </c>
      <c r="AX186" s="101"/>
      <c r="AY186" s="101"/>
    </row>
    <row r="187" spans="3:51" x14ac:dyDescent="0.25">
      <c r="C187" s="62" t="str">
        <f t="shared" si="71"/>
        <v>Scenario B - last 3 yearsTUTUKA</v>
      </c>
      <c r="D187" s="62" t="str">
        <f t="shared" si="74"/>
        <v>Scenario B - last 3 years</v>
      </c>
      <c r="E187" s="103" t="s">
        <v>139</v>
      </c>
      <c r="F187" s="101"/>
      <c r="G187" s="101" t="s">
        <v>202</v>
      </c>
      <c r="H187" s="62">
        <v>2029</v>
      </c>
      <c r="I187" s="62">
        <v>2029</v>
      </c>
      <c r="J187" s="62">
        <v>2030</v>
      </c>
      <c r="K187" s="62">
        <v>2030</v>
      </c>
      <c r="L187" s="62">
        <v>2031</v>
      </c>
      <c r="M187" s="62">
        <v>2031</v>
      </c>
      <c r="Q187" s="101">
        <f t="shared" si="68"/>
        <v>6</v>
      </c>
      <c r="R187" s="101">
        <v>3.51</v>
      </c>
      <c r="S187" s="101">
        <f t="shared" si="73"/>
        <v>3.51</v>
      </c>
      <c r="T187" s="101">
        <f t="shared" si="73"/>
        <v>3.51</v>
      </c>
      <c r="U187" s="101">
        <f t="shared" si="73"/>
        <v>3.51</v>
      </c>
      <c r="V187" s="101">
        <f t="shared" si="73"/>
        <v>3.51</v>
      </c>
      <c r="W187" s="101">
        <f t="shared" si="73"/>
        <v>3.51</v>
      </c>
      <c r="X187" s="101">
        <f t="shared" si="73"/>
        <v>3.51</v>
      </c>
      <c r="Y187" s="101">
        <f t="shared" si="73"/>
        <v>3.51</v>
      </c>
      <c r="Z187" s="101">
        <f t="shared" si="73"/>
        <v>3.51</v>
      </c>
      <c r="AA187" s="101">
        <f t="shared" si="73"/>
        <v>3.51</v>
      </c>
      <c r="AB187" s="101">
        <f t="shared" si="73"/>
        <v>2.34</v>
      </c>
      <c r="AC187" s="101">
        <f t="shared" si="73"/>
        <v>1.17</v>
      </c>
      <c r="AD187" s="101">
        <f t="shared" si="73"/>
        <v>0</v>
      </c>
      <c r="AE187" s="101">
        <f t="shared" si="73"/>
        <v>0</v>
      </c>
      <c r="AF187" s="101">
        <f t="shared" si="73"/>
        <v>0</v>
      </c>
      <c r="AG187" s="101">
        <f t="shared" si="73"/>
        <v>0</v>
      </c>
      <c r="AH187" s="101">
        <f t="shared" si="73"/>
        <v>0</v>
      </c>
      <c r="AI187" s="101">
        <f t="shared" si="70"/>
        <v>0</v>
      </c>
      <c r="AJ187" s="101">
        <f t="shared" si="70"/>
        <v>0</v>
      </c>
      <c r="AK187" s="101">
        <f t="shared" si="70"/>
        <v>0</v>
      </c>
      <c r="AL187" s="101">
        <f t="shared" si="70"/>
        <v>0</v>
      </c>
      <c r="AM187" s="101">
        <f t="shared" si="70"/>
        <v>0</v>
      </c>
      <c r="AN187" s="101">
        <f t="shared" si="70"/>
        <v>0</v>
      </c>
      <c r="AO187" s="101">
        <f t="shared" si="70"/>
        <v>0</v>
      </c>
      <c r="AP187" s="101">
        <f t="shared" si="70"/>
        <v>0</v>
      </c>
      <c r="AQ187" s="101">
        <f t="shared" si="70"/>
        <v>0</v>
      </c>
      <c r="AR187" s="101">
        <f t="shared" si="70"/>
        <v>0</v>
      </c>
      <c r="AS187" s="101">
        <f t="shared" si="70"/>
        <v>0</v>
      </c>
      <c r="AT187" s="101">
        <f t="shared" si="70"/>
        <v>0</v>
      </c>
      <c r="AU187" s="101">
        <f t="shared" si="70"/>
        <v>0</v>
      </c>
      <c r="AV187" s="101">
        <f t="shared" si="70"/>
        <v>0</v>
      </c>
      <c r="AW187" s="101">
        <f t="shared" si="70"/>
        <v>0</v>
      </c>
      <c r="AX187" s="101"/>
      <c r="AY187" s="101"/>
    </row>
    <row r="191" spans="3:51" x14ac:dyDescent="0.25">
      <c r="E191" s="62" t="s">
        <v>295</v>
      </c>
    </row>
    <row r="192" spans="3:51" x14ac:dyDescent="0.25">
      <c r="E192" s="101"/>
      <c r="F192" s="101"/>
      <c r="G192" s="101" t="s">
        <v>210</v>
      </c>
      <c r="H192" s="101">
        <v>1</v>
      </c>
      <c r="I192" s="101">
        <v>2</v>
      </c>
      <c r="J192" s="101">
        <v>3</v>
      </c>
      <c r="K192" s="101">
        <v>4</v>
      </c>
      <c r="L192" s="101">
        <v>5</v>
      </c>
      <c r="M192" s="101">
        <v>6</v>
      </c>
      <c r="N192" s="101">
        <v>7</v>
      </c>
      <c r="O192" s="101">
        <v>8</v>
      </c>
      <c r="P192" s="101">
        <v>9</v>
      </c>
      <c r="Q192" s="101" t="s">
        <v>43</v>
      </c>
      <c r="R192" s="101">
        <v>2019</v>
      </c>
      <c r="S192" s="101">
        <v>2020</v>
      </c>
      <c r="T192" s="101">
        <v>2021</v>
      </c>
      <c r="U192" s="101">
        <v>2022</v>
      </c>
      <c r="V192" s="101">
        <v>2023</v>
      </c>
      <c r="W192" s="101">
        <v>2024</v>
      </c>
      <c r="X192" s="101">
        <v>2025</v>
      </c>
      <c r="Y192" s="101">
        <v>2026</v>
      </c>
      <c r="Z192" s="101">
        <v>2027</v>
      </c>
      <c r="AA192" s="101">
        <v>2028</v>
      </c>
      <c r="AB192" s="101">
        <v>2029</v>
      </c>
      <c r="AC192" s="101">
        <v>2030</v>
      </c>
      <c r="AD192" s="101">
        <v>2031</v>
      </c>
      <c r="AE192" s="101">
        <v>2032</v>
      </c>
      <c r="AF192" s="101">
        <v>2033</v>
      </c>
      <c r="AG192" s="101">
        <v>2034</v>
      </c>
      <c r="AH192" s="101">
        <v>2035</v>
      </c>
      <c r="AI192" s="101">
        <v>2036</v>
      </c>
      <c r="AJ192" s="101">
        <v>2037</v>
      </c>
      <c r="AK192" s="101">
        <v>2038</v>
      </c>
      <c r="AL192" s="101">
        <v>2039</v>
      </c>
      <c r="AM192" s="101">
        <v>2040</v>
      </c>
      <c r="AN192" s="101">
        <v>2041</v>
      </c>
      <c r="AO192" s="101">
        <v>2042</v>
      </c>
      <c r="AP192" s="101">
        <v>2043</v>
      </c>
      <c r="AQ192" s="101">
        <v>2044</v>
      </c>
      <c r="AR192" s="101">
        <v>2045</v>
      </c>
      <c r="AS192" s="101">
        <v>2046</v>
      </c>
      <c r="AT192" s="101">
        <v>2047</v>
      </c>
      <c r="AU192" s="101">
        <v>2048</v>
      </c>
      <c r="AV192" s="101">
        <v>2049</v>
      </c>
      <c r="AW192" s="101">
        <v>2050</v>
      </c>
      <c r="AX192" s="101"/>
      <c r="AY192" s="101"/>
    </row>
    <row r="193" spans="3:51" x14ac:dyDescent="0.25">
      <c r="C193" s="62" t="str">
        <f>D193&amp;E193</f>
        <v>Scenario C - gradualCAMDEN</v>
      </c>
      <c r="D193" s="62" t="str">
        <f>E191</f>
        <v>Scenario C - gradual</v>
      </c>
      <c r="E193" s="101" t="s">
        <v>165</v>
      </c>
      <c r="F193" s="101"/>
      <c r="G193" s="101" t="s">
        <v>208</v>
      </c>
      <c r="H193" s="62">
        <f>H174</f>
        <v>2024</v>
      </c>
      <c r="I193" s="62">
        <f t="shared" ref="I193:O193" si="78">I174</f>
        <v>2024</v>
      </c>
      <c r="J193" s="62">
        <f t="shared" si="78"/>
        <v>2025</v>
      </c>
      <c r="K193" s="62">
        <f t="shared" si="78"/>
        <v>2026</v>
      </c>
      <c r="L193" s="62">
        <f t="shared" si="78"/>
        <v>2026</v>
      </c>
      <c r="M193" s="62">
        <f t="shared" si="78"/>
        <v>2025</v>
      </c>
      <c r="N193" s="62">
        <f t="shared" si="78"/>
        <v>2026</v>
      </c>
      <c r="O193" s="62" t="str">
        <f t="shared" si="78"/>
        <v/>
      </c>
      <c r="Q193" s="101">
        <f t="shared" ref="Q193:Q206" si="79">COUNT(H193:P193)</f>
        <v>7</v>
      </c>
      <c r="R193" s="101">
        <v>1.4810000000000001</v>
      </c>
      <c r="S193" s="101">
        <f>COUNTIF($H193:$P193,S$98)*-$R193/$Q193+R193</f>
        <v>1.4810000000000001</v>
      </c>
      <c r="T193" s="101">
        <f t="shared" ref="T193:AI193" si="80">COUNTIF($H193:$P193,T$98)*-$R193/$Q193+S193</f>
        <v>1.4810000000000001</v>
      </c>
      <c r="U193" s="101">
        <f t="shared" si="80"/>
        <v>1.4810000000000001</v>
      </c>
      <c r="V193" s="101">
        <f t="shared" si="80"/>
        <v>1.4810000000000001</v>
      </c>
      <c r="W193" s="101">
        <f t="shared" si="80"/>
        <v>1.0578571428571428</v>
      </c>
      <c r="X193" s="101">
        <f t="shared" si="80"/>
        <v>0.63471428571428568</v>
      </c>
      <c r="Y193" s="101">
        <f t="shared" si="80"/>
        <v>0</v>
      </c>
      <c r="Z193" s="101">
        <f t="shared" si="80"/>
        <v>0</v>
      </c>
      <c r="AA193" s="101">
        <f t="shared" si="80"/>
        <v>0</v>
      </c>
      <c r="AB193" s="101">
        <f t="shared" si="80"/>
        <v>0</v>
      </c>
      <c r="AC193" s="101">
        <f t="shared" si="80"/>
        <v>0</v>
      </c>
      <c r="AD193" s="101">
        <f t="shared" si="80"/>
        <v>0</v>
      </c>
      <c r="AE193" s="101">
        <f t="shared" si="80"/>
        <v>0</v>
      </c>
      <c r="AF193" s="101">
        <f t="shared" si="80"/>
        <v>0</v>
      </c>
      <c r="AG193" s="101">
        <f t="shared" si="80"/>
        <v>0</v>
      </c>
      <c r="AH193" s="101">
        <f t="shared" si="80"/>
        <v>0</v>
      </c>
      <c r="AI193" s="101">
        <f t="shared" si="80"/>
        <v>0</v>
      </c>
      <c r="AJ193" s="101">
        <f t="shared" ref="AI193:AW206" si="81">COUNTIF($H193:$P193,AJ$98)*-$R193/$Q193+AI193</f>
        <v>0</v>
      </c>
      <c r="AK193" s="101">
        <f t="shared" si="81"/>
        <v>0</v>
      </c>
      <c r="AL193" s="101">
        <f t="shared" si="81"/>
        <v>0</v>
      </c>
      <c r="AM193" s="101">
        <f t="shared" si="81"/>
        <v>0</v>
      </c>
      <c r="AN193" s="101">
        <f t="shared" si="81"/>
        <v>0</v>
      </c>
      <c r="AO193" s="101">
        <f t="shared" si="81"/>
        <v>0</v>
      </c>
      <c r="AP193" s="101">
        <f t="shared" si="81"/>
        <v>0</v>
      </c>
      <c r="AQ193" s="101">
        <f t="shared" si="81"/>
        <v>0</v>
      </c>
      <c r="AR193" s="101">
        <f t="shared" si="81"/>
        <v>0</v>
      </c>
      <c r="AS193" s="101">
        <f t="shared" si="81"/>
        <v>0</v>
      </c>
      <c r="AT193" s="101">
        <f t="shared" si="81"/>
        <v>0</v>
      </c>
      <c r="AU193" s="101">
        <f t="shared" si="81"/>
        <v>0</v>
      </c>
      <c r="AV193" s="101">
        <f t="shared" si="81"/>
        <v>0</v>
      </c>
      <c r="AW193" s="101">
        <f t="shared" si="81"/>
        <v>0</v>
      </c>
      <c r="AX193" s="101"/>
      <c r="AY193" s="101"/>
    </row>
    <row r="194" spans="3:51" x14ac:dyDescent="0.25">
      <c r="C194" s="62" t="str">
        <f t="shared" ref="C194:C206" si="82">D194&amp;E194</f>
        <v>Scenario C - gradualGROOTVLEI</v>
      </c>
      <c r="D194" s="62" t="str">
        <f>D193</f>
        <v>Scenario C - gradual</v>
      </c>
      <c r="E194" s="101" t="s">
        <v>163</v>
      </c>
      <c r="F194" s="101"/>
      <c r="G194" s="101" t="s">
        <v>195</v>
      </c>
      <c r="H194" s="62">
        <f t="shared" ref="H194:O200" si="83">H175</f>
        <v>2026</v>
      </c>
      <c r="I194" s="62">
        <f t="shared" si="83"/>
        <v>2027</v>
      </c>
      <c r="J194" s="62">
        <f t="shared" si="83"/>
        <v>2028</v>
      </c>
      <c r="K194" s="62" t="str">
        <f t="shared" si="83"/>
        <v/>
      </c>
      <c r="L194" s="62" t="str">
        <f t="shared" si="83"/>
        <v/>
      </c>
      <c r="M194" s="62" t="str">
        <f t="shared" si="83"/>
        <v/>
      </c>
      <c r="N194" s="62" t="str">
        <f t="shared" si="83"/>
        <v/>
      </c>
      <c r="O194" s="62" t="str">
        <f t="shared" si="83"/>
        <v/>
      </c>
      <c r="Q194" s="101">
        <f t="shared" si="79"/>
        <v>3</v>
      </c>
      <c r="R194" s="101">
        <v>0.56999999999999995</v>
      </c>
      <c r="S194" s="101">
        <f t="shared" ref="S194:AH206" si="84">COUNTIF($H194:$P194,S$98)*-$R194/$Q194+R194</f>
        <v>0.56999999999999995</v>
      </c>
      <c r="T194" s="101">
        <f t="shared" si="84"/>
        <v>0.56999999999999995</v>
      </c>
      <c r="U194" s="101">
        <f t="shared" si="84"/>
        <v>0.56999999999999995</v>
      </c>
      <c r="V194" s="101">
        <f t="shared" si="84"/>
        <v>0.56999999999999995</v>
      </c>
      <c r="W194" s="101">
        <f t="shared" si="84"/>
        <v>0.56999999999999995</v>
      </c>
      <c r="X194" s="101">
        <f t="shared" si="84"/>
        <v>0.56999999999999995</v>
      </c>
      <c r="Y194" s="101">
        <f t="shared" si="84"/>
        <v>0.38</v>
      </c>
      <c r="Z194" s="101">
        <f t="shared" si="84"/>
        <v>0.19000000000000003</v>
      </c>
      <c r="AA194" s="101">
        <f t="shared" si="84"/>
        <v>0</v>
      </c>
      <c r="AB194" s="101">
        <f t="shared" si="84"/>
        <v>0</v>
      </c>
      <c r="AC194" s="101">
        <f t="shared" si="84"/>
        <v>0</v>
      </c>
      <c r="AD194" s="101">
        <f t="shared" si="84"/>
        <v>0</v>
      </c>
      <c r="AE194" s="101">
        <f t="shared" si="84"/>
        <v>0</v>
      </c>
      <c r="AF194" s="101">
        <f t="shared" si="84"/>
        <v>0</v>
      </c>
      <c r="AG194" s="101">
        <f t="shared" si="84"/>
        <v>0</v>
      </c>
      <c r="AH194" s="101">
        <f t="shared" si="84"/>
        <v>0</v>
      </c>
      <c r="AI194" s="101">
        <f t="shared" si="81"/>
        <v>0</v>
      </c>
      <c r="AJ194" s="101">
        <f t="shared" si="81"/>
        <v>0</v>
      </c>
      <c r="AK194" s="101">
        <f t="shared" si="81"/>
        <v>0</v>
      </c>
      <c r="AL194" s="101">
        <f t="shared" si="81"/>
        <v>0</v>
      </c>
      <c r="AM194" s="101">
        <f t="shared" si="81"/>
        <v>0</v>
      </c>
      <c r="AN194" s="101">
        <f t="shared" si="81"/>
        <v>0</v>
      </c>
      <c r="AO194" s="101">
        <f t="shared" si="81"/>
        <v>0</v>
      </c>
      <c r="AP194" s="101">
        <f t="shared" si="81"/>
        <v>0</v>
      </c>
      <c r="AQ194" s="101">
        <f t="shared" si="81"/>
        <v>0</v>
      </c>
      <c r="AR194" s="101">
        <f t="shared" si="81"/>
        <v>0</v>
      </c>
      <c r="AS194" s="101">
        <f t="shared" si="81"/>
        <v>0</v>
      </c>
      <c r="AT194" s="101">
        <f t="shared" si="81"/>
        <v>0</v>
      </c>
      <c r="AU194" s="101">
        <f t="shared" si="81"/>
        <v>0</v>
      </c>
      <c r="AV194" s="101">
        <f t="shared" si="81"/>
        <v>0</v>
      </c>
      <c r="AW194" s="101">
        <f t="shared" si="81"/>
        <v>0</v>
      </c>
      <c r="AX194" s="101"/>
      <c r="AY194" s="101"/>
    </row>
    <row r="195" spans="3:51" x14ac:dyDescent="0.25">
      <c r="C195" s="62" t="str">
        <f t="shared" si="82"/>
        <v>Scenario C - gradualKOMATI</v>
      </c>
      <c r="D195" s="62" t="str">
        <f t="shared" ref="D195:D206" si="85">D194</f>
        <v>Scenario C - gradual</v>
      </c>
      <c r="E195" s="101" t="s">
        <v>161</v>
      </c>
      <c r="F195" s="101"/>
      <c r="G195" s="101" t="s">
        <v>196</v>
      </c>
      <c r="H195" s="62">
        <f t="shared" si="83"/>
        <v>2020</v>
      </c>
      <c r="I195" s="62">
        <f t="shared" si="83"/>
        <v>2020</v>
      </c>
      <c r="J195" s="62">
        <f t="shared" si="83"/>
        <v>2021</v>
      </c>
      <c r="K195" s="62" t="str">
        <f t="shared" si="83"/>
        <v/>
      </c>
      <c r="L195" s="62" t="str">
        <f t="shared" si="83"/>
        <v/>
      </c>
      <c r="M195" s="62" t="str">
        <f t="shared" si="83"/>
        <v/>
      </c>
      <c r="N195" s="62" t="str">
        <f t="shared" si="83"/>
        <v/>
      </c>
      <c r="O195" s="62" t="str">
        <f t="shared" si="83"/>
        <v/>
      </c>
      <c r="Q195" s="101">
        <f t="shared" si="79"/>
        <v>3</v>
      </c>
      <c r="R195" s="101">
        <v>0.41</v>
      </c>
      <c r="S195" s="101">
        <f t="shared" si="84"/>
        <v>0.13666666666666666</v>
      </c>
      <c r="T195" s="101">
        <f t="shared" si="84"/>
        <v>0</v>
      </c>
      <c r="U195" s="101">
        <f t="shared" si="84"/>
        <v>0</v>
      </c>
      <c r="V195" s="101">
        <f t="shared" si="84"/>
        <v>0</v>
      </c>
      <c r="W195" s="101">
        <f t="shared" si="84"/>
        <v>0</v>
      </c>
      <c r="X195" s="101">
        <f t="shared" si="84"/>
        <v>0</v>
      </c>
      <c r="Y195" s="101">
        <f t="shared" si="84"/>
        <v>0</v>
      </c>
      <c r="Z195" s="101">
        <f t="shared" si="84"/>
        <v>0</v>
      </c>
      <c r="AA195" s="101">
        <f t="shared" si="84"/>
        <v>0</v>
      </c>
      <c r="AB195" s="101">
        <f t="shared" si="84"/>
        <v>0</v>
      </c>
      <c r="AC195" s="101">
        <f t="shared" si="84"/>
        <v>0</v>
      </c>
      <c r="AD195" s="101">
        <f t="shared" si="84"/>
        <v>0</v>
      </c>
      <c r="AE195" s="101">
        <f t="shared" si="84"/>
        <v>0</v>
      </c>
      <c r="AF195" s="101">
        <f t="shared" si="84"/>
        <v>0</v>
      </c>
      <c r="AG195" s="101">
        <f t="shared" si="84"/>
        <v>0</v>
      </c>
      <c r="AH195" s="101">
        <f t="shared" si="84"/>
        <v>0</v>
      </c>
      <c r="AI195" s="101">
        <f t="shared" si="81"/>
        <v>0</v>
      </c>
      <c r="AJ195" s="101">
        <f t="shared" si="81"/>
        <v>0</v>
      </c>
      <c r="AK195" s="101">
        <f t="shared" si="81"/>
        <v>0</v>
      </c>
      <c r="AL195" s="101">
        <f t="shared" si="81"/>
        <v>0</v>
      </c>
      <c r="AM195" s="101">
        <f t="shared" si="81"/>
        <v>0</v>
      </c>
      <c r="AN195" s="101">
        <f t="shared" si="81"/>
        <v>0</v>
      </c>
      <c r="AO195" s="101">
        <f t="shared" si="81"/>
        <v>0</v>
      </c>
      <c r="AP195" s="101">
        <f t="shared" si="81"/>
        <v>0</v>
      </c>
      <c r="AQ195" s="101">
        <f t="shared" si="81"/>
        <v>0</v>
      </c>
      <c r="AR195" s="101">
        <f t="shared" si="81"/>
        <v>0</v>
      </c>
      <c r="AS195" s="101">
        <f t="shared" si="81"/>
        <v>0</v>
      </c>
      <c r="AT195" s="101">
        <f t="shared" si="81"/>
        <v>0</v>
      </c>
      <c r="AU195" s="101">
        <f t="shared" si="81"/>
        <v>0</v>
      </c>
      <c r="AV195" s="101">
        <f t="shared" si="81"/>
        <v>0</v>
      </c>
      <c r="AW195" s="101">
        <f t="shared" si="81"/>
        <v>0</v>
      </c>
      <c r="AX195" s="101"/>
      <c r="AY195" s="101"/>
    </row>
    <row r="196" spans="3:51" x14ac:dyDescent="0.25">
      <c r="C196" s="62" t="str">
        <f t="shared" si="82"/>
        <v>Scenario C - gradualARNOT</v>
      </c>
      <c r="D196" s="62" t="str">
        <f t="shared" si="85"/>
        <v>Scenario C - gradual</v>
      </c>
      <c r="E196" s="101" t="s">
        <v>159</v>
      </c>
      <c r="F196" s="101"/>
      <c r="G196" s="101" t="s">
        <v>201</v>
      </c>
      <c r="H196" s="62">
        <f t="shared" si="83"/>
        <v>2027</v>
      </c>
      <c r="I196" s="62">
        <f t="shared" si="83"/>
        <v>2026</v>
      </c>
      <c r="J196" s="62">
        <f t="shared" si="83"/>
        <v>2026</v>
      </c>
      <c r="K196" s="62">
        <f t="shared" si="83"/>
        <v>2027</v>
      </c>
      <c r="L196" s="62">
        <f t="shared" si="83"/>
        <v>2029</v>
      </c>
      <c r="M196" s="62">
        <f t="shared" si="83"/>
        <v>2029</v>
      </c>
      <c r="N196" s="62" t="str">
        <f t="shared" si="83"/>
        <v/>
      </c>
      <c r="O196" s="62" t="str">
        <f t="shared" si="83"/>
        <v/>
      </c>
      <c r="Q196" s="101">
        <f t="shared" si="79"/>
        <v>6</v>
      </c>
      <c r="R196" s="101">
        <v>2.2320000000000002</v>
      </c>
      <c r="S196" s="101">
        <f t="shared" si="84"/>
        <v>2.2320000000000002</v>
      </c>
      <c r="T196" s="101">
        <f t="shared" si="84"/>
        <v>2.2320000000000002</v>
      </c>
      <c r="U196" s="101">
        <f t="shared" si="84"/>
        <v>2.2320000000000002</v>
      </c>
      <c r="V196" s="101">
        <f t="shared" si="84"/>
        <v>2.2320000000000002</v>
      </c>
      <c r="W196" s="101">
        <f t="shared" si="84"/>
        <v>2.2320000000000002</v>
      </c>
      <c r="X196" s="101">
        <f t="shared" si="84"/>
        <v>2.2320000000000002</v>
      </c>
      <c r="Y196" s="101">
        <f t="shared" si="84"/>
        <v>1.488</v>
      </c>
      <c r="Z196" s="101">
        <f t="shared" si="84"/>
        <v>0.74399999999999988</v>
      </c>
      <c r="AA196" s="101">
        <f t="shared" si="84"/>
        <v>0.74399999999999988</v>
      </c>
      <c r="AB196" s="101">
        <f t="shared" si="84"/>
        <v>0</v>
      </c>
      <c r="AC196" s="101">
        <f t="shared" si="84"/>
        <v>0</v>
      </c>
      <c r="AD196" s="101">
        <f t="shared" si="84"/>
        <v>0</v>
      </c>
      <c r="AE196" s="101">
        <f t="shared" si="84"/>
        <v>0</v>
      </c>
      <c r="AF196" s="101">
        <f t="shared" si="84"/>
        <v>0</v>
      </c>
      <c r="AG196" s="101">
        <f t="shared" si="84"/>
        <v>0</v>
      </c>
      <c r="AH196" s="101">
        <f t="shared" si="84"/>
        <v>0</v>
      </c>
      <c r="AI196" s="101">
        <f t="shared" si="81"/>
        <v>0</v>
      </c>
      <c r="AJ196" s="101">
        <f t="shared" si="81"/>
        <v>0</v>
      </c>
      <c r="AK196" s="101">
        <f t="shared" si="81"/>
        <v>0</v>
      </c>
      <c r="AL196" s="101">
        <f t="shared" si="81"/>
        <v>0</v>
      </c>
      <c r="AM196" s="101">
        <f t="shared" si="81"/>
        <v>0</v>
      </c>
      <c r="AN196" s="101">
        <f t="shared" si="81"/>
        <v>0</v>
      </c>
      <c r="AO196" s="101">
        <f t="shared" si="81"/>
        <v>0</v>
      </c>
      <c r="AP196" s="101">
        <f t="shared" si="81"/>
        <v>0</v>
      </c>
      <c r="AQ196" s="101">
        <f t="shared" si="81"/>
        <v>0</v>
      </c>
      <c r="AR196" s="101">
        <f t="shared" si="81"/>
        <v>0</v>
      </c>
      <c r="AS196" s="101">
        <f t="shared" si="81"/>
        <v>0</v>
      </c>
      <c r="AT196" s="101">
        <f t="shared" si="81"/>
        <v>0</v>
      </c>
      <c r="AU196" s="101">
        <f t="shared" si="81"/>
        <v>0</v>
      </c>
      <c r="AV196" s="101">
        <f t="shared" si="81"/>
        <v>0</v>
      </c>
      <c r="AW196" s="101">
        <f t="shared" si="81"/>
        <v>0</v>
      </c>
      <c r="AX196" s="101"/>
      <c r="AY196" s="101"/>
    </row>
    <row r="197" spans="3:51" x14ac:dyDescent="0.25">
      <c r="C197" s="62" t="str">
        <f t="shared" si="82"/>
        <v>Scenario C - gradualDUVHA</v>
      </c>
      <c r="D197" s="62" t="str">
        <f t="shared" si="85"/>
        <v>Scenario C - gradual</v>
      </c>
      <c r="E197" s="103" t="s">
        <v>157</v>
      </c>
      <c r="F197" s="101"/>
      <c r="G197" s="101" t="s">
        <v>207</v>
      </c>
      <c r="H197" s="62">
        <f>'[8]new retirement plan'!G61</f>
        <v>2028</v>
      </c>
      <c r="I197" s="62">
        <f>'[8]new retirement plan'!H61</f>
        <v>2028</v>
      </c>
      <c r="J197" s="62">
        <f>'[8]new retirement plan'!I61</f>
        <v>2030</v>
      </c>
      <c r="K197" s="62">
        <f>'[8]new retirement plan'!J61</f>
        <v>2030</v>
      </c>
      <c r="L197" s="62">
        <f>'[8]new retirement plan'!K61</f>
        <v>2031</v>
      </c>
      <c r="M197" s="62" t="s">
        <v>277</v>
      </c>
      <c r="N197" s="62" t="s">
        <v>277</v>
      </c>
      <c r="O197" s="62" t="s">
        <v>277</v>
      </c>
      <c r="Q197" s="101">
        <f t="shared" si="79"/>
        <v>5</v>
      </c>
      <c r="R197" s="101">
        <v>2.875</v>
      </c>
      <c r="S197" s="101">
        <f t="shared" si="84"/>
        <v>2.875</v>
      </c>
      <c r="T197" s="101">
        <f t="shared" si="84"/>
        <v>2.875</v>
      </c>
      <c r="U197" s="101">
        <f t="shared" si="84"/>
        <v>2.875</v>
      </c>
      <c r="V197" s="101">
        <f t="shared" si="84"/>
        <v>2.875</v>
      </c>
      <c r="W197" s="101">
        <f t="shared" si="84"/>
        <v>2.875</v>
      </c>
      <c r="X197" s="101">
        <f t="shared" si="84"/>
        <v>2.875</v>
      </c>
      <c r="Y197" s="101">
        <f t="shared" si="84"/>
        <v>2.875</v>
      </c>
      <c r="Z197" s="101">
        <f t="shared" si="84"/>
        <v>2.875</v>
      </c>
      <c r="AA197" s="101">
        <f t="shared" si="84"/>
        <v>1.7250000000000001</v>
      </c>
      <c r="AB197" s="101">
        <f t="shared" si="84"/>
        <v>1.7250000000000001</v>
      </c>
      <c r="AC197" s="101">
        <f t="shared" si="84"/>
        <v>0.57500000000000018</v>
      </c>
      <c r="AD197" s="101">
        <f t="shared" si="84"/>
        <v>0</v>
      </c>
      <c r="AE197" s="101">
        <f t="shared" si="84"/>
        <v>0</v>
      </c>
      <c r="AF197" s="101">
        <f t="shared" si="84"/>
        <v>0</v>
      </c>
      <c r="AG197" s="101">
        <f t="shared" si="84"/>
        <v>0</v>
      </c>
      <c r="AH197" s="101">
        <f t="shared" si="84"/>
        <v>0</v>
      </c>
      <c r="AI197" s="101">
        <f t="shared" si="81"/>
        <v>0</v>
      </c>
      <c r="AJ197" s="101">
        <f t="shared" si="81"/>
        <v>0</v>
      </c>
      <c r="AK197" s="101">
        <f t="shared" si="81"/>
        <v>0</v>
      </c>
      <c r="AL197" s="101">
        <f t="shared" si="81"/>
        <v>0</v>
      </c>
      <c r="AM197" s="101">
        <f t="shared" si="81"/>
        <v>0</v>
      </c>
      <c r="AN197" s="101">
        <f t="shared" si="81"/>
        <v>0</v>
      </c>
      <c r="AO197" s="101">
        <f t="shared" si="81"/>
        <v>0</v>
      </c>
      <c r="AP197" s="101">
        <f t="shared" si="81"/>
        <v>0</v>
      </c>
      <c r="AQ197" s="101">
        <f t="shared" si="81"/>
        <v>0</v>
      </c>
      <c r="AR197" s="101">
        <f t="shared" si="81"/>
        <v>0</v>
      </c>
      <c r="AS197" s="101">
        <f t="shared" si="81"/>
        <v>0</v>
      </c>
      <c r="AT197" s="101">
        <f t="shared" si="81"/>
        <v>0</v>
      </c>
      <c r="AU197" s="101">
        <f t="shared" si="81"/>
        <v>0</v>
      </c>
      <c r="AV197" s="101">
        <f t="shared" si="81"/>
        <v>0</v>
      </c>
      <c r="AW197" s="101">
        <f t="shared" si="81"/>
        <v>0</v>
      </c>
      <c r="AX197" s="101"/>
      <c r="AY197" s="101"/>
    </row>
    <row r="198" spans="3:51" x14ac:dyDescent="0.25">
      <c r="C198" s="62" t="str">
        <f t="shared" si="82"/>
        <v>Scenario C - gradualHENDRINA</v>
      </c>
      <c r="D198" s="62" t="str">
        <f t="shared" si="85"/>
        <v>Scenario C - gradual</v>
      </c>
      <c r="E198" s="101" t="s">
        <v>155</v>
      </c>
      <c r="F198" s="101"/>
      <c r="G198" s="101" t="s">
        <v>198</v>
      </c>
      <c r="H198" s="62">
        <f t="shared" si="83"/>
        <v>2021</v>
      </c>
      <c r="I198" s="62">
        <f t="shared" si="83"/>
        <v>2025</v>
      </c>
      <c r="J198" s="62" t="str">
        <f t="shared" si="83"/>
        <v/>
      </c>
      <c r="K198" s="62">
        <f t="shared" si="83"/>
        <v>2025</v>
      </c>
      <c r="L198" s="62">
        <f t="shared" si="83"/>
        <v>2025</v>
      </c>
      <c r="M198" s="62">
        <f t="shared" si="83"/>
        <v>2025</v>
      </c>
      <c r="N198" s="62">
        <f t="shared" si="83"/>
        <v>2024</v>
      </c>
      <c r="O198" s="62" t="str">
        <f t="shared" si="83"/>
        <v/>
      </c>
      <c r="Q198" s="101">
        <f t="shared" si="79"/>
        <v>6</v>
      </c>
      <c r="R198" s="101">
        <v>1.2929999999999999</v>
      </c>
      <c r="S198" s="101">
        <f t="shared" si="84"/>
        <v>1.2929999999999999</v>
      </c>
      <c r="T198" s="101">
        <f t="shared" si="84"/>
        <v>1.0774999999999999</v>
      </c>
      <c r="U198" s="101">
        <f t="shared" si="84"/>
        <v>1.0774999999999999</v>
      </c>
      <c r="V198" s="101">
        <f t="shared" si="84"/>
        <v>1.0774999999999999</v>
      </c>
      <c r="W198" s="101">
        <f t="shared" si="84"/>
        <v>0.86199999999999988</v>
      </c>
      <c r="X198" s="101">
        <f t="shared" si="84"/>
        <v>0</v>
      </c>
      <c r="Y198" s="101">
        <f t="shared" si="84"/>
        <v>0</v>
      </c>
      <c r="Z198" s="101">
        <f t="shared" si="84"/>
        <v>0</v>
      </c>
      <c r="AA198" s="101">
        <f t="shared" si="84"/>
        <v>0</v>
      </c>
      <c r="AB198" s="101">
        <f t="shared" si="84"/>
        <v>0</v>
      </c>
      <c r="AC198" s="101">
        <f t="shared" si="84"/>
        <v>0</v>
      </c>
      <c r="AD198" s="101">
        <f t="shared" si="84"/>
        <v>0</v>
      </c>
      <c r="AE198" s="101">
        <f t="shared" si="84"/>
        <v>0</v>
      </c>
      <c r="AF198" s="101">
        <f t="shared" si="84"/>
        <v>0</v>
      </c>
      <c r="AG198" s="101">
        <f t="shared" si="84"/>
        <v>0</v>
      </c>
      <c r="AH198" s="101">
        <f t="shared" si="84"/>
        <v>0</v>
      </c>
      <c r="AI198" s="101">
        <f t="shared" si="81"/>
        <v>0</v>
      </c>
      <c r="AJ198" s="101">
        <f t="shared" si="81"/>
        <v>0</v>
      </c>
      <c r="AK198" s="101">
        <f t="shared" si="81"/>
        <v>0</v>
      </c>
      <c r="AL198" s="101">
        <f t="shared" si="81"/>
        <v>0</v>
      </c>
      <c r="AM198" s="101">
        <f t="shared" si="81"/>
        <v>0</v>
      </c>
      <c r="AN198" s="101">
        <f t="shared" si="81"/>
        <v>0</v>
      </c>
      <c r="AO198" s="101">
        <f t="shared" si="81"/>
        <v>0</v>
      </c>
      <c r="AP198" s="101">
        <f t="shared" si="81"/>
        <v>0</v>
      </c>
      <c r="AQ198" s="101">
        <f t="shared" si="81"/>
        <v>0</v>
      </c>
      <c r="AR198" s="101">
        <f t="shared" si="81"/>
        <v>0</v>
      </c>
      <c r="AS198" s="101">
        <f t="shared" si="81"/>
        <v>0</v>
      </c>
      <c r="AT198" s="101">
        <f t="shared" si="81"/>
        <v>0</v>
      </c>
      <c r="AU198" s="101">
        <f t="shared" si="81"/>
        <v>0</v>
      </c>
      <c r="AV198" s="101">
        <f t="shared" si="81"/>
        <v>0</v>
      </c>
      <c r="AW198" s="101">
        <f t="shared" si="81"/>
        <v>0</v>
      </c>
      <c r="AX198" s="101"/>
      <c r="AY198" s="101"/>
    </row>
    <row r="199" spans="3:51" x14ac:dyDescent="0.25">
      <c r="C199" s="62" t="str">
        <f t="shared" si="82"/>
        <v>Scenario C - gradualKENDAL</v>
      </c>
      <c r="D199" s="62" t="str">
        <f t="shared" si="85"/>
        <v>Scenario C - gradual</v>
      </c>
      <c r="E199" s="103" t="s">
        <v>153</v>
      </c>
      <c r="F199" s="101"/>
      <c r="G199" s="101" t="s">
        <v>206</v>
      </c>
      <c r="H199" s="62">
        <f>'[8]new retirement plan'!G63</f>
        <v>2026</v>
      </c>
      <c r="I199" s="62">
        <f>'[8]new retirement plan'!H63</f>
        <v>2028</v>
      </c>
      <c r="J199" s="62">
        <f>'[8]new retirement plan'!I63</f>
        <v>2029</v>
      </c>
      <c r="K199" s="62">
        <f>'[8]new retirement plan'!J63</f>
        <v>2029</v>
      </c>
      <c r="L199" s="62">
        <f>'[8]new retirement plan'!K63</f>
        <v>2030</v>
      </c>
      <c r="M199" s="62">
        <f>'[8]new retirement plan'!L63</f>
        <v>2031</v>
      </c>
      <c r="N199" s="62" t="s">
        <v>277</v>
      </c>
      <c r="O199" s="62" t="s">
        <v>277</v>
      </c>
      <c r="Q199" s="101">
        <f t="shared" si="79"/>
        <v>6</v>
      </c>
      <c r="R199" s="101">
        <v>3.84</v>
      </c>
      <c r="S199" s="101">
        <f t="shared" si="84"/>
        <v>3.84</v>
      </c>
      <c r="T199" s="101">
        <f t="shared" si="84"/>
        <v>3.84</v>
      </c>
      <c r="U199" s="101">
        <f t="shared" si="84"/>
        <v>3.84</v>
      </c>
      <c r="V199" s="101">
        <f t="shared" si="84"/>
        <v>3.84</v>
      </c>
      <c r="W199" s="101">
        <f t="shared" si="84"/>
        <v>3.84</v>
      </c>
      <c r="X199" s="101">
        <f t="shared" si="84"/>
        <v>3.84</v>
      </c>
      <c r="Y199" s="101">
        <f t="shared" si="84"/>
        <v>3.1999999999999997</v>
      </c>
      <c r="Z199" s="101">
        <f t="shared" si="84"/>
        <v>3.1999999999999997</v>
      </c>
      <c r="AA199" s="101">
        <f t="shared" si="84"/>
        <v>2.5599999999999996</v>
      </c>
      <c r="AB199" s="101">
        <f t="shared" si="84"/>
        <v>1.2799999999999996</v>
      </c>
      <c r="AC199" s="101">
        <f t="shared" si="84"/>
        <v>0.63999999999999957</v>
      </c>
      <c r="AD199" s="101">
        <f t="shared" si="84"/>
        <v>0</v>
      </c>
      <c r="AE199" s="101">
        <f t="shared" si="84"/>
        <v>0</v>
      </c>
      <c r="AF199" s="101">
        <f t="shared" si="84"/>
        <v>0</v>
      </c>
      <c r="AG199" s="101">
        <f t="shared" si="84"/>
        <v>0</v>
      </c>
      <c r="AH199" s="101">
        <f t="shared" si="84"/>
        <v>0</v>
      </c>
      <c r="AI199" s="101">
        <f t="shared" si="81"/>
        <v>0</v>
      </c>
      <c r="AJ199" s="101">
        <f t="shared" si="81"/>
        <v>0</v>
      </c>
      <c r="AK199" s="101">
        <f t="shared" si="81"/>
        <v>0</v>
      </c>
      <c r="AL199" s="101">
        <f t="shared" si="81"/>
        <v>0</v>
      </c>
      <c r="AM199" s="101">
        <f t="shared" si="81"/>
        <v>0</v>
      </c>
      <c r="AN199" s="101">
        <f t="shared" si="81"/>
        <v>0</v>
      </c>
      <c r="AO199" s="101">
        <f t="shared" si="81"/>
        <v>0</v>
      </c>
      <c r="AP199" s="101">
        <f t="shared" si="81"/>
        <v>0</v>
      </c>
      <c r="AQ199" s="101">
        <f t="shared" si="81"/>
        <v>0</v>
      </c>
      <c r="AR199" s="101">
        <f t="shared" si="81"/>
        <v>0</v>
      </c>
      <c r="AS199" s="101">
        <f t="shared" si="81"/>
        <v>0</v>
      </c>
      <c r="AT199" s="101">
        <f t="shared" si="81"/>
        <v>0</v>
      </c>
      <c r="AU199" s="101">
        <f t="shared" si="81"/>
        <v>0</v>
      </c>
      <c r="AV199" s="101">
        <f t="shared" si="81"/>
        <v>0</v>
      </c>
      <c r="AW199" s="101">
        <f t="shared" si="81"/>
        <v>0</v>
      </c>
      <c r="AX199" s="101"/>
      <c r="AY199" s="101"/>
    </row>
    <row r="200" spans="3:51" x14ac:dyDescent="0.25">
      <c r="C200" s="62" t="str">
        <f t="shared" si="82"/>
        <v>Scenario C - gradualKRIEL</v>
      </c>
      <c r="D200" s="62" t="str">
        <f t="shared" si="85"/>
        <v>Scenario C - gradual</v>
      </c>
      <c r="E200" s="101" t="s">
        <v>151</v>
      </c>
      <c r="F200" s="101"/>
      <c r="G200" s="101" t="s">
        <v>199</v>
      </c>
      <c r="H200" s="62">
        <f t="shared" si="83"/>
        <v>2026</v>
      </c>
      <c r="I200" s="62">
        <f t="shared" si="83"/>
        <v>2027</v>
      </c>
      <c r="J200" s="62">
        <f t="shared" si="83"/>
        <v>2028</v>
      </c>
      <c r="K200" s="62">
        <f t="shared" si="83"/>
        <v>2029</v>
      </c>
      <c r="L200" s="62">
        <f t="shared" si="83"/>
        <v>2029</v>
      </c>
      <c r="M200" s="62">
        <f t="shared" si="83"/>
        <v>2030</v>
      </c>
      <c r="N200" s="62" t="str">
        <f t="shared" si="83"/>
        <v/>
      </c>
      <c r="O200" s="62" t="str">
        <f t="shared" si="83"/>
        <v/>
      </c>
      <c r="Q200" s="101">
        <f t="shared" si="79"/>
        <v>6</v>
      </c>
      <c r="R200" s="101">
        <v>2.85</v>
      </c>
      <c r="S200" s="101">
        <f t="shared" si="84"/>
        <v>2.85</v>
      </c>
      <c r="T200" s="101">
        <f t="shared" si="84"/>
        <v>2.85</v>
      </c>
      <c r="U200" s="101">
        <f t="shared" si="84"/>
        <v>2.85</v>
      </c>
      <c r="V200" s="101">
        <f t="shared" si="84"/>
        <v>2.85</v>
      </c>
      <c r="W200" s="101">
        <f t="shared" si="84"/>
        <v>2.85</v>
      </c>
      <c r="X200" s="101">
        <f t="shared" si="84"/>
        <v>2.85</v>
      </c>
      <c r="Y200" s="101">
        <f t="shared" si="84"/>
        <v>2.375</v>
      </c>
      <c r="Z200" s="101">
        <f t="shared" si="84"/>
        <v>1.9</v>
      </c>
      <c r="AA200" s="101">
        <f t="shared" si="84"/>
        <v>1.4249999999999998</v>
      </c>
      <c r="AB200" s="101">
        <f t="shared" si="84"/>
        <v>0.47499999999999976</v>
      </c>
      <c r="AC200" s="101">
        <f t="shared" si="84"/>
        <v>0</v>
      </c>
      <c r="AD200" s="101">
        <f t="shared" si="84"/>
        <v>0</v>
      </c>
      <c r="AE200" s="101">
        <f t="shared" si="84"/>
        <v>0</v>
      </c>
      <c r="AF200" s="101">
        <f t="shared" si="84"/>
        <v>0</v>
      </c>
      <c r="AG200" s="101">
        <f t="shared" si="84"/>
        <v>0</v>
      </c>
      <c r="AH200" s="101">
        <f t="shared" si="84"/>
        <v>0</v>
      </c>
      <c r="AI200" s="101">
        <f t="shared" si="81"/>
        <v>0</v>
      </c>
      <c r="AJ200" s="101">
        <f t="shared" si="81"/>
        <v>0</v>
      </c>
      <c r="AK200" s="101">
        <f t="shared" si="81"/>
        <v>0</v>
      </c>
      <c r="AL200" s="101">
        <f t="shared" si="81"/>
        <v>0</v>
      </c>
      <c r="AM200" s="101">
        <f t="shared" si="81"/>
        <v>0</v>
      </c>
      <c r="AN200" s="101">
        <f t="shared" si="81"/>
        <v>0</v>
      </c>
      <c r="AO200" s="101">
        <f t="shared" si="81"/>
        <v>0</v>
      </c>
      <c r="AP200" s="101">
        <f t="shared" si="81"/>
        <v>0</v>
      </c>
      <c r="AQ200" s="101">
        <f t="shared" si="81"/>
        <v>0</v>
      </c>
      <c r="AR200" s="101">
        <f t="shared" si="81"/>
        <v>0</v>
      </c>
      <c r="AS200" s="101">
        <f t="shared" si="81"/>
        <v>0</v>
      </c>
      <c r="AT200" s="101">
        <f t="shared" si="81"/>
        <v>0</v>
      </c>
      <c r="AU200" s="101">
        <f t="shared" si="81"/>
        <v>0</v>
      </c>
      <c r="AV200" s="101">
        <f t="shared" si="81"/>
        <v>0</v>
      </c>
      <c r="AW200" s="101">
        <f t="shared" si="81"/>
        <v>0</v>
      </c>
      <c r="AX200" s="101"/>
      <c r="AY200" s="101"/>
    </row>
    <row r="201" spans="3:51" x14ac:dyDescent="0.25">
      <c r="C201" s="62" t="str">
        <f t="shared" si="82"/>
        <v>Scenario C - gradualLETHABO</v>
      </c>
      <c r="D201" s="62" t="str">
        <f t="shared" si="85"/>
        <v>Scenario C - gradual</v>
      </c>
      <c r="E201" s="109" t="s">
        <v>149</v>
      </c>
      <c r="F201" s="101"/>
      <c r="G201" s="101" t="s">
        <v>205</v>
      </c>
      <c r="H201" s="62">
        <f>'[8]new retirement plan'!G65</f>
        <v>2026</v>
      </c>
      <c r="I201" s="62">
        <f>'[8]new retirement plan'!H65</f>
        <v>2027</v>
      </c>
      <c r="J201" s="62">
        <f>'[8]new retirement plan'!I65</f>
        <v>2027</v>
      </c>
      <c r="K201" s="62">
        <f>'[8]new retirement plan'!J65</f>
        <v>2028</v>
      </c>
      <c r="L201" s="62">
        <f>'[8]new retirement plan'!K65</f>
        <v>2030</v>
      </c>
      <c r="M201" s="62">
        <f>'[8]new retirement plan'!L65</f>
        <v>2031</v>
      </c>
      <c r="N201" s="62" t="s">
        <v>277</v>
      </c>
      <c r="O201" s="62" t="s">
        <v>277</v>
      </c>
      <c r="Q201" s="101">
        <f t="shared" si="79"/>
        <v>6</v>
      </c>
      <c r="R201" s="101">
        <v>3.5579999999999998</v>
      </c>
      <c r="S201" s="101">
        <f t="shared" si="84"/>
        <v>3.5579999999999998</v>
      </c>
      <c r="T201" s="101">
        <f t="shared" si="84"/>
        <v>3.5579999999999998</v>
      </c>
      <c r="U201" s="101">
        <f t="shared" si="84"/>
        <v>3.5579999999999998</v>
      </c>
      <c r="V201" s="101">
        <f t="shared" si="84"/>
        <v>3.5579999999999998</v>
      </c>
      <c r="W201" s="101">
        <f t="shared" si="84"/>
        <v>3.5579999999999998</v>
      </c>
      <c r="X201" s="101">
        <f t="shared" si="84"/>
        <v>3.5579999999999998</v>
      </c>
      <c r="Y201" s="101">
        <f t="shared" si="84"/>
        <v>2.9649999999999999</v>
      </c>
      <c r="Z201" s="101">
        <f t="shared" si="84"/>
        <v>1.7789999999999999</v>
      </c>
      <c r="AA201" s="101">
        <f t="shared" si="84"/>
        <v>1.1859999999999999</v>
      </c>
      <c r="AB201" s="101">
        <f t="shared" si="84"/>
        <v>1.1859999999999999</v>
      </c>
      <c r="AC201" s="101">
        <f t="shared" si="84"/>
        <v>0.59299999999999997</v>
      </c>
      <c r="AD201" s="101">
        <f t="shared" si="84"/>
        <v>0</v>
      </c>
      <c r="AE201" s="101">
        <f t="shared" si="84"/>
        <v>0</v>
      </c>
      <c r="AF201" s="101">
        <f t="shared" si="84"/>
        <v>0</v>
      </c>
      <c r="AG201" s="101">
        <f t="shared" si="84"/>
        <v>0</v>
      </c>
      <c r="AH201" s="101">
        <f t="shared" si="84"/>
        <v>0</v>
      </c>
      <c r="AI201" s="101">
        <f t="shared" si="81"/>
        <v>0</v>
      </c>
      <c r="AJ201" s="101">
        <f t="shared" si="81"/>
        <v>0</v>
      </c>
      <c r="AK201" s="101">
        <f t="shared" si="81"/>
        <v>0</v>
      </c>
      <c r="AL201" s="101">
        <f t="shared" si="81"/>
        <v>0</v>
      </c>
      <c r="AM201" s="101">
        <f t="shared" si="81"/>
        <v>0</v>
      </c>
      <c r="AN201" s="101">
        <f t="shared" si="81"/>
        <v>0</v>
      </c>
      <c r="AO201" s="101">
        <f t="shared" si="81"/>
        <v>0</v>
      </c>
      <c r="AP201" s="101">
        <f t="shared" si="81"/>
        <v>0</v>
      </c>
      <c r="AQ201" s="101">
        <f t="shared" si="81"/>
        <v>0</v>
      </c>
      <c r="AR201" s="101">
        <f t="shared" si="81"/>
        <v>0</v>
      </c>
      <c r="AS201" s="101">
        <f t="shared" si="81"/>
        <v>0</v>
      </c>
      <c r="AT201" s="101">
        <f t="shared" si="81"/>
        <v>0</v>
      </c>
      <c r="AU201" s="101">
        <f t="shared" si="81"/>
        <v>0</v>
      </c>
      <c r="AV201" s="101">
        <f t="shared" si="81"/>
        <v>0</v>
      </c>
      <c r="AW201" s="101">
        <f t="shared" si="81"/>
        <v>0</v>
      </c>
      <c r="AX201" s="101"/>
      <c r="AY201" s="101"/>
    </row>
    <row r="202" spans="3:51" x14ac:dyDescent="0.25">
      <c r="C202" s="62" t="str">
        <f t="shared" si="82"/>
        <v>Scenario C - gradualMAJUBA DRY</v>
      </c>
      <c r="D202" s="62" t="str">
        <f t="shared" si="85"/>
        <v>Scenario C - gradual</v>
      </c>
      <c r="E202" s="109" t="s">
        <v>147</v>
      </c>
      <c r="F202" s="101"/>
      <c r="G202" s="101" t="s">
        <v>197</v>
      </c>
      <c r="H202" s="62">
        <f>'[8]new retirement plan'!G66</f>
        <v>2026</v>
      </c>
      <c r="I202" s="62">
        <f>'[8]new retirement plan'!H66</f>
        <v>2027</v>
      </c>
      <c r="J202" s="62">
        <f>'[8]new retirement plan'!I66</f>
        <v>2028</v>
      </c>
      <c r="Q202" s="101">
        <f t="shared" si="79"/>
        <v>3</v>
      </c>
      <c r="R202" s="101">
        <v>1.8330000000000002</v>
      </c>
      <c r="S202" s="101">
        <f t="shared" si="84"/>
        <v>1.8330000000000002</v>
      </c>
      <c r="T202" s="101">
        <f t="shared" si="84"/>
        <v>1.8330000000000002</v>
      </c>
      <c r="U202" s="101">
        <f t="shared" si="84"/>
        <v>1.8330000000000002</v>
      </c>
      <c r="V202" s="101">
        <f t="shared" si="84"/>
        <v>1.8330000000000002</v>
      </c>
      <c r="W202" s="101">
        <f t="shared" si="84"/>
        <v>1.8330000000000002</v>
      </c>
      <c r="X202" s="101">
        <f t="shared" si="84"/>
        <v>1.8330000000000002</v>
      </c>
      <c r="Y202" s="101">
        <f t="shared" si="84"/>
        <v>1.222</v>
      </c>
      <c r="Z202" s="101">
        <f t="shared" si="84"/>
        <v>0.61099999999999988</v>
      </c>
      <c r="AA202" s="101">
        <f t="shared" si="84"/>
        <v>0</v>
      </c>
      <c r="AB202" s="101">
        <f t="shared" si="84"/>
        <v>0</v>
      </c>
      <c r="AC202" s="101">
        <f t="shared" si="84"/>
        <v>0</v>
      </c>
      <c r="AD202" s="101">
        <f t="shared" si="84"/>
        <v>0</v>
      </c>
      <c r="AE202" s="101">
        <f t="shared" si="84"/>
        <v>0</v>
      </c>
      <c r="AF202" s="101">
        <f t="shared" si="84"/>
        <v>0</v>
      </c>
      <c r="AG202" s="101">
        <f t="shared" si="84"/>
        <v>0</v>
      </c>
      <c r="AH202" s="101">
        <f t="shared" si="84"/>
        <v>0</v>
      </c>
      <c r="AI202" s="101">
        <f t="shared" si="81"/>
        <v>0</v>
      </c>
      <c r="AJ202" s="101">
        <f t="shared" si="81"/>
        <v>0</v>
      </c>
      <c r="AK202" s="101">
        <f t="shared" si="81"/>
        <v>0</v>
      </c>
      <c r="AL202" s="101">
        <f t="shared" si="81"/>
        <v>0</v>
      </c>
      <c r="AM202" s="101">
        <f t="shared" si="81"/>
        <v>0</v>
      </c>
      <c r="AN202" s="101">
        <f t="shared" si="81"/>
        <v>0</v>
      </c>
      <c r="AO202" s="101">
        <f t="shared" si="81"/>
        <v>0</v>
      </c>
      <c r="AP202" s="101">
        <f t="shared" si="81"/>
        <v>0</v>
      </c>
      <c r="AQ202" s="101">
        <f t="shared" si="81"/>
        <v>0</v>
      </c>
      <c r="AR202" s="101">
        <f t="shared" si="81"/>
        <v>0</v>
      </c>
      <c r="AS202" s="101">
        <f t="shared" si="81"/>
        <v>0</v>
      </c>
      <c r="AT202" s="101">
        <f t="shared" si="81"/>
        <v>0</v>
      </c>
      <c r="AU202" s="101">
        <f t="shared" si="81"/>
        <v>0</v>
      </c>
      <c r="AV202" s="101">
        <f t="shared" si="81"/>
        <v>0</v>
      </c>
      <c r="AW202" s="101">
        <f t="shared" si="81"/>
        <v>0</v>
      </c>
      <c r="AX202" s="101"/>
      <c r="AY202" s="101"/>
    </row>
    <row r="203" spans="3:51" x14ac:dyDescent="0.25">
      <c r="C203" s="62" t="str">
        <f t="shared" si="82"/>
        <v>Scenario C - gradualMAJUBA WET</v>
      </c>
      <c r="D203" s="62" t="str">
        <f t="shared" si="85"/>
        <v>Scenario C - gradual</v>
      </c>
      <c r="E203" s="109" t="s">
        <v>145</v>
      </c>
      <c r="F203" s="101"/>
      <c r="G203" s="101"/>
      <c r="K203" s="62">
        <f>'[8]new retirement plan'!J67</f>
        <v>2029</v>
      </c>
      <c r="L203" s="62">
        <f>'[8]new retirement plan'!K67</f>
        <v>2030</v>
      </c>
      <c r="M203" s="62">
        <f>'[8]new retirement plan'!L67</f>
        <v>2031</v>
      </c>
      <c r="Q203" s="101">
        <f t="shared" si="79"/>
        <v>3</v>
      </c>
      <c r="R203" s="101">
        <v>2.0099999999999998</v>
      </c>
      <c r="S203" s="101">
        <f t="shared" si="84"/>
        <v>2.0099999999999998</v>
      </c>
      <c r="T203" s="101">
        <f t="shared" si="84"/>
        <v>2.0099999999999998</v>
      </c>
      <c r="U203" s="101">
        <f t="shared" si="84"/>
        <v>2.0099999999999998</v>
      </c>
      <c r="V203" s="101">
        <f t="shared" si="84"/>
        <v>2.0099999999999998</v>
      </c>
      <c r="W203" s="101">
        <f t="shared" si="84"/>
        <v>2.0099999999999998</v>
      </c>
      <c r="X203" s="101">
        <f t="shared" si="84"/>
        <v>2.0099999999999998</v>
      </c>
      <c r="Y203" s="101">
        <f t="shared" si="84"/>
        <v>2.0099999999999998</v>
      </c>
      <c r="Z203" s="101">
        <f t="shared" si="84"/>
        <v>2.0099999999999998</v>
      </c>
      <c r="AA203" s="101">
        <f t="shared" si="84"/>
        <v>2.0099999999999998</v>
      </c>
      <c r="AB203" s="101">
        <f t="shared" si="84"/>
        <v>1.3399999999999999</v>
      </c>
      <c r="AC203" s="101">
        <f t="shared" si="84"/>
        <v>0.66999999999999993</v>
      </c>
      <c r="AD203" s="101">
        <f t="shared" si="84"/>
        <v>0</v>
      </c>
      <c r="AE203" s="101">
        <f t="shared" si="84"/>
        <v>0</v>
      </c>
      <c r="AF203" s="101">
        <f t="shared" si="84"/>
        <v>0</v>
      </c>
      <c r="AG203" s="101">
        <f t="shared" si="84"/>
        <v>0</v>
      </c>
      <c r="AH203" s="101">
        <f t="shared" si="84"/>
        <v>0</v>
      </c>
      <c r="AI203" s="101">
        <f t="shared" si="81"/>
        <v>0</v>
      </c>
      <c r="AJ203" s="101">
        <f t="shared" si="81"/>
        <v>0</v>
      </c>
      <c r="AK203" s="101">
        <f t="shared" si="81"/>
        <v>0</v>
      </c>
      <c r="AL203" s="101">
        <f t="shared" si="81"/>
        <v>0</v>
      </c>
      <c r="AM203" s="101">
        <f t="shared" si="81"/>
        <v>0</v>
      </c>
      <c r="AN203" s="101">
        <f t="shared" si="81"/>
        <v>0</v>
      </c>
      <c r="AO203" s="101">
        <f t="shared" si="81"/>
        <v>0</v>
      </c>
      <c r="AP203" s="101">
        <f t="shared" si="81"/>
        <v>0</v>
      </c>
      <c r="AQ203" s="101">
        <f t="shared" si="81"/>
        <v>0</v>
      </c>
      <c r="AR203" s="101">
        <f t="shared" si="81"/>
        <v>0</v>
      </c>
      <c r="AS203" s="101">
        <f t="shared" si="81"/>
        <v>0</v>
      </c>
      <c r="AT203" s="101">
        <f t="shared" si="81"/>
        <v>0</v>
      </c>
      <c r="AU203" s="101">
        <f t="shared" si="81"/>
        <v>0</v>
      </c>
      <c r="AV203" s="101">
        <f t="shared" si="81"/>
        <v>0</v>
      </c>
      <c r="AW203" s="101">
        <f t="shared" si="81"/>
        <v>0</v>
      </c>
      <c r="AX203" s="101"/>
      <c r="AY203" s="101"/>
    </row>
    <row r="204" spans="3:51" x14ac:dyDescent="0.25">
      <c r="C204" s="62" t="str">
        <f t="shared" si="82"/>
        <v>Scenario C - gradualMATIMBA</v>
      </c>
      <c r="D204" s="62" t="str">
        <f t="shared" si="85"/>
        <v>Scenario C - gradual</v>
      </c>
      <c r="E204" s="109" t="s">
        <v>143</v>
      </c>
      <c r="F204" s="101"/>
      <c r="G204" s="101" t="s">
        <v>204</v>
      </c>
      <c r="H204" s="62">
        <f>'[8]new retirement plan'!G68</f>
        <v>2027</v>
      </c>
      <c r="I204" s="62">
        <f>'[8]new retirement plan'!H68</f>
        <v>2027</v>
      </c>
      <c r="J204" s="62">
        <f>'[8]new retirement plan'!I68</f>
        <v>2028</v>
      </c>
      <c r="K204" s="62">
        <f>'[8]new retirement plan'!J68</f>
        <v>2029</v>
      </c>
      <c r="L204" s="62">
        <f>'[8]new retirement plan'!K68</f>
        <v>2030</v>
      </c>
      <c r="M204" s="62">
        <f>'[8]new retirement plan'!L68</f>
        <v>2031</v>
      </c>
      <c r="Q204" s="101">
        <f t="shared" si="79"/>
        <v>6</v>
      </c>
      <c r="R204" s="101">
        <v>3.69</v>
      </c>
      <c r="S204" s="101">
        <f t="shared" si="84"/>
        <v>3.69</v>
      </c>
      <c r="T204" s="101">
        <f t="shared" si="84"/>
        <v>3.69</v>
      </c>
      <c r="U204" s="101">
        <f t="shared" si="84"/>
        <v>3.69</v>
      </c>
      <c r="V204" s="101">
        <f t="shared" si="84"/>
        <v>3.69</v>
      </c>
      <c r="W204" s="101">
        <f t="shared" si="84"/>
        <v>3.69</v>
      </c>
      <c r="X204" s="101">
        <f t="shared" si="84"/>
        <v>3.69</v>
      </c>
      <c r="Y204" s="101">
        <f t="shared" si="84"/>
        <v>3.69</v>
      </c>
      <c r="Z204" s="101">
        <f t="shared" si="84"/>
        <v>2.46</v>
      </c>
      <c r="AA204" s="101">
        <f t="shared" si="84"/>
        <v>1.845</v>
      </c>
      <c r="AB204" s="101">
        <f t="shared" si="84"/>
        <v>1.23</v>
      </c>
      <c r="AC204" s="101">
        <f t="shared" si="84"/>
        <v>0.61499999999999999</v>
      </c>
      <c r="AD204" s="101">
        <f t="shared" si="84"/>
        <v>0</v>
      </c>
      <c r="AE204" s="101">
        <f t="shared" si="84"/>
        <v>0</v>
      </c>
      <c r="AF204" s="101">
        <f t="shared" si="84"/>
        <v>0</v>
      </c>
      <c r="AG204" s="101">
        <f t="shared" si="84"/>
        <v>0</v>
      </c>
      <c r="AH204" s="101">
        <f t="shared" si="84"/>
        <v>0</v>
      </c>
      <c r="AI204" s="101">
        <f t="shared" si="81"/>
        <v>0</v>
      </c>
      <c r="AJ204" s="101">
        <f t="shared" si="81"/>
        <v>0</v>
      </c>
      <c r="AK204" s="101">
        <f t="shared" si="81"/>
        <v>0</v>
      </c>
      <c r="AL204" s="101">
        <f t="shared" si="81"/>
        <v>0</v>
      </c>
      <c r="AM204" s="101">
        <f t="shared" si="81"/>
        <v>0</v>
      </c>
      <c r="AN204" s="101">
        <f t="shared" si="81"/>
        <v>0</v>
      </c>
      <c r="AO204" s="101">
        <f t="shared" si="81"/>
        <v>0</v>
      </c>
      <c r="AP204" s="101">
        <f t="shared" si="81"/>
        <v>0</v>
      </c>
      <c r="AQ204" s="101">
        <f t="shared" si="81"/>
        <v>0</v>
      </c>
      <c r="AR204" s="101">
        <f t="shared" si="81"/>
        <v>0</v>
      </c>
      <c r="AS204" s="101">
        <f t="shared" si="81"/>
        <v>0</v>
      </c>
      <c r="AT204" s="101">
        <f t="shared" si="81"/>
        <v>0</v>
      </c>
      <c r="AU204" s="101">
        <f t="shared" si="81"/>
        <v>0</v>
      </c>
      <c r="AV204" s="101">
        <f t="shared" si="81"/>
        <v>0</v>
      </c>
      <c r="AW204" s="101">
        <f t="shared" si="81"/>
        <v>0</v>
      </c>
      <c r="AX204" s="101"/>
      <c r="AY204" s="101"/>
    </row>
    <row r="205" spans="3:51" x14ac:dyDescent="0.25">
      <c r="C205" s="62" t="str">
        <f t="shared" si="82"/>
        <v>Scenario C - gradualMATLA</v>
      </c>
      <c r="D205" s="62" t="str">
        <f t="shared" si="85"/>
        <v>Scenario C - gradual</v>
      </c>
      <c r="E205" s="103" t="s">
        <v>141</v>
      </c>
      <c r="F205" s="101"/>
      <c r="G205" s="101" t="s">
        <v>200</v>
      </c>
      <c r="H205" s="62">
        <f>'[8]new retirement plan'!G69</f>
        <v>2027</v>
      </c>
      <c r="I205" s="62">
        <f>'[8]new retirement plan'!H69</f>
        <v>2028</v>
      </c>
      <c r="J205" s="62">
        <f>'[8]new retirement plan'!I69</f>
        <v>2028</v>
      </c>
      <c r="K205" s="62">
        <f>'[8]new retirement plan'!J69</f>
        <v>2029</v>
      </c>
      <c r="L205" s="62">
        <f>'[8]new retirement plan'!K69</f>
        <v>2030</v>
      </c>
      <c r="M205" s="62">
        <f>'[8]new retirement plan'!L69</f>
        <v>2031</v>
      </c>
      <c r="Q205" s="101">
        <f t="shared" si="79"/>
        <v>6</v>
      </c>
      <c r="R205" s="101">
        <v>3.45</v>
      </c>
      <c r="S205" s="101">
        <f t="shared" si="84"/>
        <v>3.45</v>
      </c>
      <c r="T205" s="101">
        <f t="shared" si="84"/>
        <v>3.45</v>
      </c>
      <c r="U205" s="101">
        <f t="shared" si="84"/>
        <v>3.45</v>
      </c>
      <c r="V205" s="101">
        <f t="shared" si="84"/>
        <v>3.45</v>
      </c>
      <c r="W205" s="101">
        <f t="shared" si="84"/>
        <v>3.45</v>
      </c>
      <c r="X205" s="101">
        <f t="shared" si="84"/>
        <v>3.45</v>
      </c>
      <c r="Y205" s="101">
        <f t="shared" si="84"/>
        <v>3.45</v>
      </c>
      <c r="Z205" s="101">
        <f t="shared" si="84"/>
        <v>2.875</v>
      </c>
      <c r="AA205" s="101">
        <f t="shared" si="84"/>
        <v>1.7249999999999999</v>
      </c>
      <c r="AB205" s="101">
        <f t="shared" si="84"/>
        <v>1.1499999999999999</v>
      </c>
      <c r="AC205" s="101">
        <f t="shared" si="84"/>
        <v>0.57499999999999984</v>
      </c>
      <c r="AD205" s="101">
        <f t="shared" si="84"/>
        <v>0</v>
      </c>
      <c r="AE205" s="101">
        <f t="shared" si="84"/>
        <v>0</v>
      </c>
      <c r="AF205" s="101">
        <f t="shared" si="84"/>
        <v>0</v>
      </c>
      <c r="AG205" s="101">
        <f t="shared" si="84"/>
        <v>0</v>
      </c>
      <c r="AH205" s="101">
        <f t="shared" si="84"/>
        <v>0</v>
      </c>
      <c r="AI205" s="101">
        <f t="shared" si="81"/>
        <v>0</v>
      </c>
      <c r="AJ205" s="101">
        <f t="shared" si="81"/>
        <v>0</v>
      </c>
      <c r="AK205" s="101">
        <f t="shared" si="81"/>
        <v>0</v>
      </c>
      <c r="AL205" s="101">
        <f t="shared" si="81"/>
        <v>0</v>
      </c>
      <c r="AM205" s="101">
        <f t="shared" si="81"/>
        <v>0</v>
      </c>
      <c r="AN205" s="101">
        <f t="shared" si="81"/>
        <v>0</v>
      </c>
      <c r="AO205" s="101">
        <f t="shared" si="81"/>
        <v>0</v>
      </c>
      <c r="AP205" s="101">
        <f t="shared" si="81"/>
        <v>0</v>
      </c>
      <c r="AQ205" s="101">
        <f t="shared" si="81"/>
        <v>0</v>
      </c>
      <c r="AR205" s="101">
        <f t="shared" si="81"/>
        <v>0</v>
      </c>
      <c r="AS205" s="101">
        <f t="shared" si="81"/>
        <v>0</v>
      </c>
      <c r="AT205" s="101">
        <f t="shared" si="81"/>
        <v>0</v>
      </c>
      <c r="AU205" s="101">
        <f t="shared" si="81"/>
        <v>0</v>
      </c>
      <c r="AV205" s="101">
        <f t="shared" si="81"/>
        <v>0</v>
      </c>
      <c r="AW205" s="101">
        <f t="shared" si="81"/>
        <v>0</v>
      </c>
      <c r="AX205" s="101"/>
      <c r="AY205" s="101"/>
    </row>
    <row r="206" spans="3:51" x14ac:dyDescent="0.25">
      <c r="C206" s="62" t="str">
        <f t="shared" si="82"/>
        <v>Scenario C - gradualTUTUKA</v>
      </c>
      <c r="D206" s="62" t="str">
        <f t="shared" si="85"/>
        <v>Scenario C - gradual</v>
      </c>
      <c r="E206" s="103" t="s">
        <v>139</v>
      </c>
      <c r="F206" s="101"/>
      <c r="G206" s="101" t="s">
        <v>202</v>
      </c>
      <c r="H206" s="62">
        <f>'[8]new retirement plan'!G70</f>
        <v>2025</v>
      </c>
      <c r="I206" s="62">
        <f>'[8]new retirement plan'!H70</f>
        <v>2026</v>
      </c>
      <c r="J206" s="62">
        <f>'[8]new retirement plan'!I70</f>
        <v>2027</v>
      </c>
      <c r="K206" s="62">
        <f>'[8]new retirement plan'!J70</f>
        <v>2027</v>
      </c>
      <c r="L206" s="62">
        <f>'[8]new retirement plan'!K70</f>
        <v>2029</v>
      </c>
      <c r="M206" s="62">
        <f>'[8]new retirement plan'!L70</f>
        <v>2031</v>
      </c>
      <c r="Q206" s="101">
        <f t="shared" si="79"/>
        <v>6</v>
      </c>
      <c r="R206" s="101">
        <v>3.51</v>
      </c>
      <c r="S206" s="101">
        <f t="shared" si="84"/>
        <v>3.51</v>
      </c>
      <c r="T206" s="101">
        <f t="shared" si="84"/>
        <v>3.51</v>
      </c>
      <c r="U206" s="101">
        <f t="shared" si="84"/>
        <v>3.51</v>
      </c>
      <c r="V206" s="101">
        <f t="shared" si="84"/>
        <v>3.51</v>
      </c>
      <c r="W206" s="101">
        <f t="shared" si="84"/>
        <v>3.51</v>
      </c>
      <c r="X206" s="101">
        <f t="shared" si="84"/>
        <v>2.9249999999999998</v>
      </c>
      <c r="Y206" s="101">
        <f t="shared" si="84"/>
        <v>2.34</v>
      </c>
      <c r="Z206" s="101">
        <f t="shared" si="84"/>
        <v>1.17</v>
      </c>
      <c r="AA206" s="101">
        <f t="shared" si="84"/>
        <v>1.17</v>
      </c>
      <c r="AB206" s="101">
        <f t="shared" si="84"/>
        <v>0.58499999999999996</v>
      </c>
      <c r="AC206" s="101">
        <f t="shared" si="84"/>
        <v>0.58499999999999996</v>
      </c>
      <c r="AD206" s="101">
        <f t="shared" si="84"/>
        <v>0</v>
      </c>
      <c r="AE206" s="101">
        <f t="shared" si="84"/>
        <v>0</v>
      </c>
      <c r="AF206" s="101">
        <f t="shared" si="84"/>
        <v>0</v>
      </c>
      <c r="AG206" s="101">
        <f t="shared" si="84"/>
        <v>0</v>
      </c>
      <c r="AH206" s="101">
        <f t="shared" si="84"/>
        <v>0</v>
      </c>
      <c r="AI206" s="101">
        <f t="shared" si="81"/>
        <v>0</v>
      </c>
      <c r="AJ206" s="101">
        <f t="shared" si="81"/>
        <v>0</v>
      </c>
      <c r="AK206" s="101">
        <f t="shared" si="81"/>
        <v>0</v>
      </c>
      <c r="AL206" s="101">
        <f t="shared" si="81"/>
        <v>0</v>
      </c>
      <c r="AM206" s="101">
        <f t="shared" si="81"/>
        <v>0</v>
      </c>
      <c r="AN206" s="101">
        <f t="shared" si="81"/>
        <v>0</v>
      </c>
      <c r="AO206" s="101">
        <f t="shared" si="81"/>
        <v>0</v>
      </c>
      <c r="AP206" s="101">
        <f t="shared" si="81"/>
        <v>0</v>
      </c>
      <c r="AQ206" s="101">
        <f t="shared" si="81"/>
        <v>0</v>
      </c>
      <c r="AR206" s="101">
        <f t="shared" si="81"/>
        <v>0</v>
      </c>
      <c r="AS206" s="101">
        <f t="shared" si="81"/>
        <v>0</v>
      </c>
      <c r="AT206" s="101">
        <f t="shared" si="81"/>
        <v>0</v>
      </c>
      <c r="AU206" s="101">
        <f t="shared" si="81"/>
        <v>0</v>
      </c>
      <c r="AV206" s="101">
        <f t="shared" si="81"/>
        <v>0</v>
      </c>
      <c r="AW206" s="101">
        <f t="shared" si="81"/>
        <v>0</v>
      </c>
      <c r="AX206" s="101"/>
      <c r="AY206" s="101"/>
    </row>
    <row r="209" spans="3:51" x14ac:dyDescent="0.25">
      <c r="E209" s="62" t="s">
        <v>296</v>
      </c>
    </row>
    <row r="210" spans="3:51" x14ac:dyDescent="0.25">
      <c r="E210" s="101"/>
      <c r="F210" s="101"/>
      <c r="G210" s="101" t="s">
        <v>210</v>
      </c>
      <c r="H210" s="101">
        <v>1</v>
      </c>
      <c r="I210" s="101">
        <v>2</v>
      </c>
      <c r="J210" s="101">
        <v>3</v>
      </c>
      <c r="K210" s="101">
        <v>4</v>
      </c>
      <c r="L210" s="101">
        <v>5</v>
      </c>
      <c r="M210" s="101">
        <v>6</v>
      </c>
      <c r="N210" s="101">
        <v>7</v>
      </c>
      <c r="O210" s="101">
        <v>8</v>
      </c>
      <c r="P210" s="101">
        <v>9</v>
      </c>
      <c r="Q210" s="101" t="s">
        <v>43</v>
      </c>
      <c r="R210" s="101">
        <v>2019</v>
      </c>
      <c r="S210" s="101">
        <v>2020</v>
      </c>
      <c r="T210" s="101">
        <v>2021</v>
      </c>
      <c r="U210" s="101">
        <v>2022</v>
      </c>
      <c r="V210" s="101">
        <v>2023</v>
      </c>
      <c r="W210" s="101">
        <v>2024</v>
      </c>
      <c r="X210" s="101">
        <v>2025</v>
      </c>
      <c r="Y210" s="101">
        <v>2026</v>
      </c>
      <c r="Z210" s="101">
        <v>2027</v>
      </c>
      <c r="AA210" s="101">
        <v>2028</v>
      </c>
      <c r="AB210" s="101">
        <v>2029</v>
      </c>
      <c r="AC210" s="101">
        <v>2030</v>
      </c>
      <c r="AD210" s="101">
        <v>2031</v>
      </c>
      <c r="AE210" s="101">
        <v>2032</v>
      </c>
      <c r="AF210" s="101">
        <v>2033</v>
      </c>
      <c r="AG210" s="101">
        <v>2034</v>
      </c>
      <c r="AH210" s="101">
        <v>2035</v>
      </c>
      <c r="AI210" s="101">
        <v>2036</v>
      </c>
      <c r="AJ210" s="101">
        <v>2037</v>
      </c>
      <c r="AK210" s="101">
        <v>2038</v>
      </c>
      <c r="AL210" s="101">
        <v>2039</v>
      </c>
      <c r="AM210" s="101">
        <v>2040</v>
      </c>
      <c r="AN210" s="101">
        <v>2041</v>
      </c>
      <c r="AO210" s="101">
        <v>2042</v>
      </c>
      <c r="AP210" s="101">
        <v>2043</v>
      </c>
      <c r="AQ210" s="101">
        <v>2044</v>
      </c>
      <c r="AR210" s="101">
        <v>2045</v>
      </c>
      <c r="AS210" s="101">
        <v>2046</v>
      </c>
      <c r="AT210" s="101">
        <v>2047</v>
      </c>
      <c r="AU210" s="101">
        <v>2048</v>
      </c>
      <c r="AV210" s="101">
        <v>2049</v>
      </c>
      <c r="AW210" s="101">
        <v>2050</v>
      </c>
      <c r="AX210" s="101"/>
      <c r="AY210" s="101"/>
    </row>
    <row r="211" spans="3:51" x14ac:dyDescent="0.25">
      <c r="C211" s="62" t="str">
        <f>D211&amp;E211</f>
        <v>Scenario C - 2030 cliffCAMDEN</v>
      </c>
      <c r="D211" s="62" t="str">
        <f>E209</f>
        <v>Scenario C - 2030 cliff</v>
      </c>
      <c r="E211" s="101" t="s">
        <v>165</v>
      </c>
      <c r="F211" s="101"/>
      <c r="G211" s="101" t="s">
        <v>208</v>
      </c>
      <c r="H211" s="62">
        <f>H193</f>
        <v>2024</v>
      </c>
      <c r="I211" s="62">
        <f t="shared" ref="I211:N211" si="86">I193</f>
        <v>2024</v>
      </c>
      <c r="J211" s="62">
        <f t="shared" si="86"/>
        <v>2025</v>
      </c>
      <c r="K211" s="62">
        <f t="shared" si="86"/>
        <v>2026</v>
      </c>
      <c r="L211" s="62">
        <f t="shared" si="86"/>
        <v>2026</v>
      </c>
      <c r="M211" s="62">
        <f t="shared" si="86"/>
        <v>2025</v>
      </c>
      <c r="N211" s="62">
        <f t="shared" si="86"/>
        <v>2026</v>
      </c>
      <c r="O211" s="62" t="str">
        <f>O193</f>
        <v/>
      </c>
      <c r="Q211" s="101">
        <f t="shared" ref="Q211:Q224" si="87">COUNT(H211:P211)</f>
        <v>7</v>
      </c>
      <c r="R211" s="101">
        <v>1.4810000000000001</v>
      </c>
      <c r="S211" s="101">
        <f>COUNTIF($H211:$P211,S$98)*-$R211/$Q211+R211</f>
        <v>1.4810000000000001</v>
      </c>
      <c r="T211" s="101">
        <f t="shared" ref="T211:AI211" si="88">COUNTIF($H211:$P211,T$98)*-$R211/$Q211+S211</f>
        <v>1.4810000000000001</v>
      </c>
      <c r="U211" s="101">
        <f t="shared" si="88"/>
        <v>1.4810000000000001</v>
      </c>
      <c r="V211" s="101">
        <f t="shared" si="88"/>
        <v>1.4810000000000001</v>
      </c>
      <c r="W211" s="101">
        <f t="shared" si="88"/>
        <v>1.0578571428571428</v>
      </c>
      <c r="X211" s="101">
        <f t="shared" si="88"/>
        <v>0.63471428571428568</v>
      </c>
      <c r="Y211" s="101">
        <f t="shared" si="88"/>
        <v>0</v>
      </c>
      <c r="Z211" s="101">
        <f t="shared" si="88"/>
        <v>0</v>
      </c>
      <c r="AA211" s="101">
        <f t="shared" si="88"/>
        <v>0</v>
      </c>
      <c r="AB211" s="101">
        <f t="shared" si="88"/>
        <v>0</v>
      </c>
      <c r="AC211" s="101">
        <f t="shared" si="88"/>
        <v>0</v>
      </c>
      <c r="AD211" s="101">
        <f t="shared" si="88"/>
        <v>0</v>
      </c>
      <c r="AE211" s="101">
        <f t="shared" si="88"/>
        <v>0</v>
      </c>
      <c r="AF211" s="101">
        <f t="shared" si="88"/>
        <v>0</v>
      </c>
      <c r="AG211" s="101">
        <f t="shared" si="88"/>
        <v>0</v>
      </c>
      <c r="AH211" s="101">
        <f t="shared" si="88"/>
        <v>0</v>
      </c>
      <c r="AI211" s="101">
        <f t="shared" si="88"/>
        <v>0</v>
      </c>
      <c r="AJ211" s="101">
        <f t="shared" ref="AI211:AW224" si="89">COUNTIF($H211:$P211,AJ$98)*-$R211/$Q211+AI211</f>
        <v>0</v>
      </c>
      <c r="AK211" s="101">
        <f t="shared" si="89"/>
        <v>0</v>
      </c>
      <c r="AL211" s="101">
        <f t="shared" si="89"/>
        <v>0</v>
      </c>
      <c r="AM211" s="101">
        <f t="shared" si="89"/>
        <v>0</v>
      </c>
      <c r="AN211" s="101">
        <f t="shared" si="89"/>
        <v>0</v>
      </c>
      <c r="AO211" s="101">
        <f t="shared" si="89"/>
        <v>0</v>
      </c>
      <c r="AP211" s="101">
        <f t="shared" si="89"/>
        <v>0</v>
      </c>
      <c r="AQ211" s="101">
        <f t="shared" si="89"/>
        <v>0</v>
      </c>
      <c r="AR211" s="101">
        <f t="shared" si="89"/>
        <v>0</v>
      </c>
      <c r="AS211" s="101">
        <f t="shared" si="89"/>
        <v>0</v>
      </c>
      <c r="AT211" s="101">
        <f t="shared" si="89"/>
        <v>0</v>
      </c>
      <c r="AU211" s="101">
        <f t="shared" si="89"/>
        <v>0</v>
      </c>
      <c r="AV211" s="101">
        <f t="shared" si="89"/>
        <v>0</v>
      </c>
      <c r="AW211" s="101">
        <f t="shared" si="89"/>
        <v>0</v>
      </c>
      <c r="AX211" s="101"/>
      <c r="AY211" s="101"/>
    </row>
    <row r="212" spans="3:51" x14ac:dyDescent="0.25">
      <c r="C212" s="62" t="str">
        <f t="shared" ref="C212:C224" si="90">D212&amp;E212</f>
        <v>Scenario C - 2030 cliffGROOTVLEI</v>
      </c>
      <c r="D212" s="62" t="str">
        <f>D211</f>
        <v>Scenario C - 2030 cliff</v>
      </c>
      <c r="E212" s="101" t="s">
        <v>163</v>
      </c>
      <c r="F212" s="101"/>
      <c r="G212" s="101" t="s">
        <v>195</v>
      </c>
      <c r="H212" s="62">
        <f t="shared" ref="H212:O214" si="91">H194</f>
        <v>2026</v>
      </c>
      <c r="I212" s="62">
        <f t="shared" si="91"/>
        <v>2027</v>
      </c>
      <c r="J212" s="62">
        <f t="shared" si="91"/>
        <v>2028</v>
      </c>
      <c r="K212" s="62" t="str">
        <f t="shared" si="91"/>
        <v/>
      </c>
      <c r="L212" s="62" t="str">
        <f t="shared" si="91"/>
        <v/>
      </c>
      <c r="M212" s="62" t="str">
        <f t="shared" si="91"/>
        <v/>
      </c>
      <c r="N212" s="62" t="str">
        <f t="shared" si="91"/>
        <v/>
      </c>
      <c r="O212" s="62" t="str">
        <f t="shared" si="91"/>
        <v/>
      </c>
      <c r="Q212" s="101">
        <f t="shared" si="87"/>
        <v>3</v>
      </c>
      <c r="R212" s="101">
        <v>0.56999999999999995</v>
      </c>
      <c r="S212" s="101">
        <f t="shared" ref="S212:AH224" si="92">COUNTIF($H212:$P212,S$98)*-$R212/$Q212+R212</f>
        <v>0.56999999999999995</v>
      </c>
      <c r="T212" s="101">
        <f t="shared" si="92"/>
        <v>0.56999999999999995</v>
      </c>
      <c r="U212" s="101">
        <f t="shared" si="92"/>
        <v>0.56999999999999995</v>
      </c>
      <c r="V212" s="101">
        <f t="shared" si="92"/>
        <v>0.56999999999999995</v>
      </c>
      <c r="W212" s="101">
        <f t="shared" si="92"/>
        <v>0.56999999999999995</v>
      </c>
      <c r="X212" s="101">
        <f t="shared" si="92"/>
        <v>0.56999999999999995</v>
      </c>
      <c r="Y212" s="101">
        <f t="shared" si="92"/>
        <v>0.38</v>
      </c>
      <c r="Z212" s="101">
        <f t="shared" si="92"/>
        <v>0.19000000000000003</v>
      </c>
      <c r="AA212" s="101">
        <f t="shared" si="92"/>
        <v>0</v>
      </c>
      <c r="AB212" s="101">
        <f t="shared" si="92"/>
        <v>0</v>
      </c>
      <c r="AC212" s="101">
        <f t="shared" si="92"/>
        <v>0</v>
      </c>
      <c r="AD212" s="101">
        <f t="shared" si="92"/>
        <v>0</v>
      </c>
      <c r="AE212" s="101">
        <f t="shared" si="92"/>
        <v>0</v>
      </c>
      <c r="AF212" s="101">
        <f t="shared" si="92"/>
        <v>0</v>
      </c>
      <c r="AG212" s="101">
        <f t="shared" si="92"/>
        <v>0</v>
      </c>
      <c r="AH212" s="101">
        <f t="shared" si="92"/>
        <v>0</v>
      </c>
      <c r="AI212" s="101">
        <f t="shared" si="89"/>
        <v>0</v>
      </c>
      <c r="AJ212" s="101">
        <f t="shared" si="89"/>
        <v>0</v>
      </c>
      <c r="AK212" s="101">
        <f t="shared" si="89"/>
        <v>0</v>
      </c>
      <c r="AL212" s="101">
        <f t="shared" si="89"/>
        <v>0</v>
      </c>
      <c r="AM212" s="101">
        <f t="shared" si="89"/>
        <v>0</v>
      </c>
      <c r="AN212" s="101">
        <f t="shared" si="89"/>
        <v>0</v>
      </c>
      <c r="AO212" s="101">
        <f t="shared" si="89"/>
        <v>0</v>
      </c>
      <c r="AP212" s="101">
        <f t="shared" si="89"/>
        <v>0</v>
      </c>
      <c r="AQ212" s="101">
        <f t="shared" si="89"/>
        <v>0</v>
      </c>
      <c r="AR212" s="101">
        <f t="shared" si="89"/>
        <v>0</v>
      </c>
      <c r="AS212" s="101">
        <f t="shared" si="89"/>
        <v>0</v>
      </c>
      <c r="AT212" s="101">
        <f t="shared" si="89"/>
        <v>0</v>
      </c>
      <c r="AU212" s="101">
        <f t="shared" si="89"/>
        <v>0</v>
      </c>
      <c r="AV212" s="101">
        <f t="shared" si="89"/>
        <v>0</v>
      </c>
      <c r="AW212" s="101">
        <f t="shared" si="89"/>
        <v>0</v>
      </c>
      <c r="AX212" s="101"/>
      <c r="AY212" s="101"/>
    </row>
    <row r="213" spans="3:51" x14ac:dyDescent="0.25">
      <c r="C213" s="62" t="str">
        <f t="shared" si="90"/>
        <v>Scenario C - 2030 cliffKOMATI</v>
      </c>
      <c r="D213" s="62" t="str">
        <f t="shared" ref="D213:D224" si="93">D212</f>
        <v>Scenario C - 2030 cliff</v>
      </c>
      <c r="E213" s="101" t="s">
        <v>161</v>
      </c>
      <c r="F213" s="101"/>
      <c r="G213" s="101" t="s">
        <v>196</v>
      </c>
      <c r="H213" s="62">
        <f t="shared" si="91"/>
        <v>2020</v>
      </c>
      <c r="I213" s="62">
        <f t="shared" si="91"/>
        <v>2020</v>
      </c>
      <c r="J213" s="62">
        <f t="shared" si="91"/>
        <v>2021</v>
      </c>
      <c r="K213" s="62" t="str">
        <f t="shared" si="91"/>
        <v/>
      </c>
      <c r="L213" s="62" t="str">
        <f t="shared" si="91"/>
        <v/>
      </c>
      <c r="M213" s="62" t="str">
        <f t="shared" si="91"/>
        <v/>
      </c>
      <c r="N213" s="62" t="str">
        <f t="shared" si="91"/>
        <v/>
      </c>
      <c r="O213" s="62" t="str">
        <f t="shared" si="91"/>
        <v/>
      </c>
      <c r="Q213" s="101">
        <f t="shared" si="87"/>
        <v>3</v>
      </c>
      <c r="R213" s="101">
        <v>0.41</v>
      </c>
      <c r="S213" s="101">
        <f t="shared" si="92"/>
        <v>0.13666666666666666</v>
      </c>
      <c r="T213" s="101">
        <f t="shared" si="92"/>
        <v>0</v>
      </c>
      <c r="U213" s="101">
        <f t="shared" si="92"/>
        <v>0</v>
      </c>
      <c r="V213" s="101">
        <f t="shared" si="92"/>
        <v>0</v>
      </c>
      <c r="W213" s="101">
        <f t="shared" si="92"/>
        <v>0</v>
      </c>
      <c r="X213" s="101">
        <f t="shared" si="92"/>
        <v>0</v>
      </c>
      <c r="Y213" s="101">
        <f t="shared" si="92"/>
        <v>0</v>
      </c>
      <c r="Z213" s="101">
        <f t="shared" si="92"/>
        <v>0</v>
      </c>
      <c r="AA213" s="101">
        <f t="shared" si="92"/>
        <v>0</v>
      </c>
      <c r="AB213" s="101">
        <f t="shared" si="92"/>
        <v>0</v>
      </c>
      <c r="AC213" s="101">
        <f t="shared" si="92"/>
        <v>0</v>
      </c>
      <c r="AD213" s="101">
        <f t="shared" si="92"/>
        <v>0</v>
      </c>
      <c r="AE213" s="101">
        <f t="shared" si="92"/>
        <v>0</v>
      </c>
      <c r="AF213" s="101">
        <f t="shared" si="92"/>
        <v>0</v>
      </c>
      <c r="AG213" s="101">
        <f t="shared" si="92"/>
        <v>0</v>
      </c>
      <c r="AH213" s="101">
        <f t="shared" si="92"/>
        <v>0</v>
      </c>
      <c r="AI213" s="101">
        <f t="shared" si="89"/>
        <v>0</v>
      </c>
      <c r="AJ213" s="101">
        <f t="shared" si="89"/>
        <v>0</v>
      </c>
      <c r="AK213" s="101">
        <f t="shared" si="89"/>
        <v>0</v>
      </c>
      <c r="AL213" s="101">
        <f t="shared" si="89"/>
        <v>0</v>
      </c>
      <c r="AM213" s="101">
        <f t="shared" si="89"/>
        <v>0</v>
      </c>
      <c r="AN213" s="101">
        <f t="shared" si="89"/>
        <v>0</v>
      </c>
      <c r="AO213" s="101">
        <f t="shared" si="89"/>
        <v>0</v>
      </c>
      <c r="AP213" s="101">
        <f t="shared" si="89"/>
        <v>0</v>
      </c>
      <c r="AQ213" s="101">
        <f t="shared" si="89"/>
        <v>0</v>
      </c>
      <c r="AR213" s="101">
        <f t="shared" si="89"/>
        <v>0</v>
      </c>
      <c r="AS213" s="101">
        <f t="shared" si="89"/>
        <v>0</v>
      </c>
      <c r="AT213" s="101">
        <f t="shared" si="89"/>
        <v>0</v>
      </c>
      <c r="AU213" s="101">
        <f t="shared" si="89"/>
        <v>0</v>
      </c>
      <c r="AV213" s="101">
        <f t="shared" si="89"/>
        <v>0</v>
      </c>
      <c r="AW213" s="101">
        <f t="shared" si="89"/>
        <v>0</v>
      </c>
      <c r="AX213" s="101"/>
      <c r="AY213" s="101"/>
    </row>
    <row r="214" spans="3:51" x14ac:dyDescent="0.25">
      <c r="C214" s="62" t="str">
        <f t="shared" si="90"/>
        <v>Scenario C - 2030 cliffARNOT</v>
      </c>
      <c r="D214" s="62" t="str">
        <f t="shared" si="93"/>
        <v>Scenario C - 2030 cliff</v>
      </c>
      <c r="E214" s="101" t="s">
        <v>159</v>
      </c>
      <c r="F214" s="101"/>
      <c r="G214" s="101" t="s">
        <v>201</v>
      </c>
      <c r="H214" s="62">
        <f t="shared" si="91"/>
        <v>2027</v>
      </c>
      <c r="I214" s="62">
        <f t="shared" si="91"/>
        <v>2026</v>
      </c>
      <c r="J214" s="62">
        <f t="shared" si="91"/>
        <v>2026</v>
      </c>
      <c r="K214" s="62">
        <f t="shared" si="91"/>
        <v>2027</v>
      </c>
      <c r="L214" s="62">
        <f t="shared" si="91"/>
        <v>2029</v>
      </c>
      <c r="M214" s="62">
        <f t="shared" si="91"/>
        <v>2029</v>
      </c>
      <c r="N214" s="62" t="str">
        <f t="shared" si="91"/>
        <v/>
      </c>
      <c r="O214" s="62" t="str">
        <f t="shared" si="91"/>
        <v/>
      </c>
      <c r="Q214" s="101">
        <f t="shared" si="87"/>
        <v>6</v>
      </c>
      <c r="R214" s="101">
        <v>2.2320000000000002</v>
      </c>
      <c r="S214" s="101">
        <f t="shared" si="92"/>
        <v>2.2320000000000002</v>
      </c>
      <c r="T214" s="101">
        <f t="shared" si="92"/>
        <v>2.2320000000000002</v>
      </c>
      <c r="U214" s="101">
        <f t="shared" si="92"/>
        <v>2.2320000000000002</v>
      </c>
      <c r="V214" s="101">
        <f t="shared" si="92"/>
        <v>2.2320000000000002</v>
      </c>
      <c r="W214" s="101">
        <f t="shared" si="92"/>
        <v>2.2320000000000002</v>
      </c>
      <c r="X214" s="101">
        <f t="shared" si="92"/>
        <v>2.2320000000000002</v>
      </c>
      <c r="Y214" s="101">
        <f t="shared" si="92"/>
        <v>1.488</v>
      </c>
      <c r="Z214" s="101">
        <f t="shared" si="92"/>
        <v>0.74399999999999988</v>
      </c>
      <c r="AA214" s="101">
        <f t="shared" si="92"/>
        <v>0.74399999999999988</v>
      </c>
      <c r="AB214" s="101">
        <f t="shared" si="92"/>
        <v>0</v>
      </c>
      <c r="AC214" s="101">
        <f t="shared" si="92"/>
        <v>0</v>
      </c>
      <c r="AD214" s="101">
        <f t="shared" si="92"/>
        <v>0</v>
      </c>
      <c r="AE214" s="101">
        <f t="shared" si="92"/>
        <v>0</v>
      </c>
      <c r="AF214" s="101">
        <f t="shared" si="92"/>
        <v>0</v>
      </c>
      <c r="AG214" s="101">
        <f t="shared" si="92"/>
        <v>0</v>
      </c>
      <c r="AH214" s="101">
        <f t="shared" si="92"/>
        <v>0</v>
      </c>
      <c r="AI214" s="101">
        <f t="shared" si="89"/>
        <v>0</v>
      </c>
      <c r="AJ214" s="101">
        <f t="shared" si="89"/>
        <v>0</v>
      </c>
      <c r="AK214" s="101">
        <f t="shared" si="89"/>
        <v>0</v>
      </c>
      <c r="AL214" s="101">
        <f t="shared" si="89"/>
        <v>0</v>
      </c>
      <c r="AM214" s="101">
        <f t="shared" si="89"/>
        <v>0</v>
      </c>
      <c r="AN214" s="101">
        <f t="shared" si="89"/>
        <v>0</v>
      </c>
      <c r="AO214" s="101">
        <f t="shared" si="89"/>
        <v>0</v>
      </c>
      <c r="AP214" s="101">
        <f t="shared" si="89"/>
        <v>0</v>
      </c>
      <c r="AQ214" s="101">
        <f t="shared" si="89"/>
        <v>0</v>
      </c>
      <c r="AR214" s="101">
        <f t="shared" si="89"/>
        <v>0</v>
      </c>
      <c r="AS214" s="101">
        <f t="shared" si="89"/>
        <v>0</v>
      </c>
      <c r="AT214" s="101">
        <f t="shared" si="89"/>
        <v>0</v>
      </c>
      <c r="AU214" s="101">
        <f t="shared" si="89"/>
        <v>0</v>
      </c>
      <c r="AV214" s="101">
        <f t="shared" si="89"/>
        <v>0</v>
      </c>
      <c r="AW214" s="101">
        <f t="shared" si="89"/>
        <v>0</v>
      </c>
      <c r="AX214" s="101"/>
      <c r="AY214" s="101"/>
    </row>
    <row r="215" spans="3:51" x14ac:dyDescent="0.25">
      <c r="C215" s="62" t="str">
        <f t="shared" si="90"/>
        <v>Scenario C - 2030 cliffDUVHA</v>
      </c>
      <c r="D215" s="62" t="str">
        <f t="shared" si="93"/>
        <v>Scenario C - 2030 cliff</v>
      </c>
      <c r="E215" s="103" t="s">
        <v>157</v>
      </c>
      <c r="F215" s="101"/>
      <c r="G215" s="101" t="s">
        <v>207</v>
      </c>
      <c r="H215" s="62">
        <v>2031</v>
      </c>
      <c r="I215" s="62">
        <v>2031</v>
      </c>
      <c r="J215" s="62">
        <v>2031</v>
      </c>
      <c r="K215" s="62">
        <v>2031</v>
      </c>
      <c r="L215" s="62">
        <v>2031</v>
      </c>
      <c r="M215" s="62" t="s">
        <v>277</v>
      </c>
      <c r="N215" s="62" t="s">
        <v>277</v>
      </c>
      <c r="O215" s="62" t="s">
        <v>277</v>
      </c>
      <c r="Q215" s="101">
        <f t="shared" si="87"/>
        <v>5</v>
      </c>
      <c r="R215" s="101">
        <v>2.875</v>
      </c>
      <c r="S215" s="101">
        <f t="shared" si="92"/>
        <v>2.875</v>
      </c>
      <c r="T215" s="101">
        <f t="shared" si="92"/>
        <v>2.875</v>
      </c>
      <c r="U215" s="101">
        <f t="shared" si="92"/>
        <v>2.875</v>
      </c>
      <c r="V215" s="101">
        <f t="shared" si="92"/>
        <v>2.875</v>
      </c>
      <c r="W215" s="101">
        <f t="shared" si="92"/>
        <v>2.875</v>
      </c>
      <c r="X215" s="101">
        <f t="shared" si="92"/>
        <v>2.875</v>
      </c>
      <c r="Y215" s="101">
        <f t="shared" si="92"/>
        <v>2.875</v>
      </c>
      <c r="Z215" s="101">
        <f t="shared" si="92"/>
        <v>2.875</v>
      </c>
      <c r="AA215" s="101">
        <f t="shared" si="92"/>
        <v>2.875</v>
      </c>
      <c r="AB215" s="101">
        <f t="shared" si="92"/>
        <v>2.875</v>
      </c>
      <c r="AC215" s="101">
        <f t="shared" si="92"/>
        <v>2.875</v>
      </c>
      <c r="AD215" s="101">
        <f t="shared" si="92"/>
        <v>0</v>
      </c>
      <c r="AE215" s="101">
        <f t="shared" si="92"/>
        <v>0</v>
      </c>
      <c r="AF215" s="101">
        <f t="shared" si="92"/>
        <v>0</v>
      </c>
      <c r="AG215" s="101">
        <f t="shared" si="92"/>
        <v>0</v>
      </c>
      <c r="AH215" s="101">
        <f t="shared" si="92"/>
        <v>0</v>
      </c>
      <c r="AI215" s="101">
        <f t="shared" si="89"/>
        <v>0</v>
      </c>
      <c r="AJ215" s="101">
        <f t="shared" si="89"/>
        <v>0</v>
      </c>
      <c r="AK215" s="101">
        <f t="shared" si="89"/>
        <v>0</v>
      </c>
      <c r="AL215" s="101">
        <f t="shared" si="89"/>
        <v>0</v>
      </c>
      <c r="AM215" s="101">
        <f t="shared" si="89"/>
        <v>0</v>
      </c>
      <c r="AN215" s="101">
        <f t="shared" si="89"/>
        <v>0</v>
      </c>
      <c r="AO215" s="101">
        <f t="shared" si="89"/>
        <v>0</v>
      </c>
      <c r="AP215" s="101">
        <f t="shared" si="89"/>
        <v>0</v>
      </c>
      <c r="AQ215" s="101">
        <f t="shared" si="89"/>
        <v>0</v>
      </c>
      <c r="AR215" s="101">
        <f t="shared" si="89"/>
        <v>0</v>
      </c>
      <c r="AS215" s="101">
        <f t="shared" si="89"/>
        <v>0</v>
      </c>
      <c r="AT215" s="101">
        <f t="shared" si="89"/>
        <v>0</v>
      </c>
      <c r="AU215" s="101">
        <f t="shared" si="89"/>
        <v>0</v>
      </c>
      <c r="AV215" s="101">
        <f t="shared" si="89"/>
        <v>0</v>
      </c>
      <c r="AW215" s="101">
        <f t="shared" si="89"/>
        <v>0</v>
      </c>
      <c r="AX215" s="101"/>
      <c r="AY215" s="101"/>
    </row>
    <row r="216" spans="3:51" x14ac:dyDescent="0.25">
      <c r="C216" s="62" t="str">
        <f t="shared" si="90"/>
        <v>Scenario C - 2030 cliffHENDRINA</v>
      </c>
      <c r="D216" s="62" t="str">
        <f t="shared" si="93"/>
        <v>Scenario C - 2030 cliff</v>
      </c>
      <c r="E216" s="101" t="s">
        <v>155</v>
      </c>
      <c r="F216" s="101"/>
      <c r="G216" s="101" t="s">
        <v>198</v>
      </c>
      <c r="H216" s="62">
        <f>H198</f>
        <v>2021</v>
      </c>
      <c r="I216" s="62">
        <f t="shared" ref="I216:N216" si="94">I198</f>
        <v>2025</v>
      </c>
      <c r="J216" s="62" t="str">
        <f t="shared" si="94"/>
        <v/>
      </c>
      <c r="K216" s="62">
        <f t="shared" si="94"/>
        <v>2025</v>
      </c>
      <c r="L216" s="62">
        <f t="shared" si="94"/>
        <v>2025</v>
      </c>
      <c r="M216" s="62">
        <f t="shared" si="94"/>
        <v>2025</v>
      </c>
      <c r="N216" s="62">
        <f t="shared" si="94"/>
        <v>2024</v>
      </c>
      <c r="O216" s="62" t="str">
        <f>O198</f>
        <v/>
      </c>
      <c r="Q216" s="101">
        <f t="shared" si="87"/>
        <v>6</v>
      </c>
      <c r="R216" s="101">
        <v>1.2929999999999999</v>
      </c>
      <c r="S216" s="101">
        <f t="shared" si="92"/>
        <v>1.2929999999999999</v>
      </c>
      <c r="T216" s="101">
        <f t="shared" si="92"/>
        <v>1.0774999999999999</v>
      </c>
      <c r="U216" s="101">
        <f t="shared" si="92"/>
        <v>1.0774999999999999</v>
      </c>
      <c r="V216" s="101">
        <f t="shared" si="92"/>
        <v>1.0774999999999999</v>
      </c>
      <c r="W216" s="101">
        <f t="shared" si="92"/>
        <v>0.86199999999999988</v>
      </c>
      <c r="X216" s="101">
        <f t="shared" si="92"/>
        <v>0</v>
      </c>
      <c r="Y216" s="101">
        <f t="shared" si="92"/>
        <v>0</v>
      </c>
      <c r="Z216" s="101">
        <f t="shared" si="92"/>
        <v>0</v>
      </c>
      <c r="AA216" s="101">
        <f t="shared" si="92"/>
        <v>0</v>
      </c>
      <c r="AB216" s="101">
        <f t="shared" si="92"/>
        <v>0</v>
      </c>
      <c r="AC216" s="101">
        <f t="shared" si="92"/>
        <v>0</v>
      </c>
      <c r="AD216" s="101">
        <f t="shared" si="92"/>
        <v>0</v>
      </c>
      <c r="AE216" s="101">
        <f t="shared" si="92"/>
        <v>0</v>
      </c>
      <c r="AF216" s="101">
        <f t="shared" si="92"/>
        <v>0</v>
      </c>
      <c r="AG216" s="101">
        <f t="shared" si="92"/>
        <v>0</v>
      </c>
      <c r="AH216" s="101">
        <f t="shared" si="92"/>
        <v>0</v>
      </c>
      <c r="AI216" s="101">
        <f t="shared" si="89"/>
        <v>0</v>
      </c>
      <c r="AJ216" s="101">
        <f t="shared" si="89"/>
        <v>0</v>
      </c>
      <c r="AK216" s="101">
        <f t="shared" si="89"/>
        <v>0</v>
      </c>
      <c r="AL216" s="101">
        <f t="shared" si="89"/>
        <v>0</v>
      </c>
      <c r="AM216" s="101">
        <f t="shared" si="89"/>
        <v>0</v>
      </c>
      <c r="AN216" s="101">
        <f t="shared" si="89"/>
        <v>0</v>
      </c>
      <c r="AO216" s="101">
        <f t="shared" si="89"/>
        <v>0</v>
      </c>
      <c r="AP216" s="101">
        <f t="shared" si="89"/>
        <v>0</v>
      </c>
      <c r="AQ216" s="101">
        <f t="shared" si="89"/>
        <v>0</v>
      </c>
      <c r="AR216" s="101">
        <f t="shared" si="89"/>
        <v>0</v>
      </c>
      <c r="AS216" s="101">
        <f t="shared" si="89"/>
        <v>0</v>
      </c>
      <c r="AT216" s="101">
        <f t="shared" si="89"/>
        <v>0</v>
      </c>
      <c r="AU216" s="101">
        <f t="shared" si="89"/>
        <v>0</v>
      </c>
      <c r="AV216" s="101">
        <f t="shared" si="89"/>
        <v>0</v>
      </c>
      <c r="AW216" s="101">
        <f t="shared" si="89"/>
        <v>0</v>
      </c>
      <c r="AX216" s="101"/>
      <c r="AY216" s="101"/>
    </row>
    <row r="217" spans="3:51" x14ac:dyDescent="0.25">
      <c r="C217" s="62" t="str">
        <f t="shared" si="90"/>
        <v>Scenario C - 2030 cliffKENDAL</v>
      </c>
      <c r="D217" s="62" t="str">
        <f t="shared" si="93"/>
        <v>Scenario C - 2030 cliff</v>
      </c>
      <c r="E217" s="103" t="s">
        <v>153</v>
      </c>
      <c r="F217" s="101"/>
      <c r="G217" s="101" t="s">
        <v>206</v>
      </c>
      <c r="H217" s="62">
        <v>2031</v>
      </c>
      <c r="I217" s="62">
        <v>2031</v>
      </c>
      <c r="J217" s="62">
        <v>2031</v>
      </c>
      <c r="K217" s="62">
        <v>2031</v>
      </c>
      <c r="L217" s="62">
        <v>2031</v>
      </c>
      <c r="M217" s="62">
        <v>2031</v>
      </c>
      <c r="N217" s="62" t="s">
        <v>277</v>
      </c>
      <c r="O217" s="62" t="s">
        <v>277</v>
      </c>
      <c r="Q217" s="101">
        <f t="shared" si="87"/>
        <v>6</v>
      </c>
      <c r="R217" s="101">
        <v>3.84</v>
      </c>
      <c r="S217" s="101">
        <f t="shared" si="92"/>
        <v>3.84</v>
      </c>
      <c r="T217" s="101">
        <f t="shared" si="92"/>
        <v>3.84</v>
      </c>
      <c r="U217" s="101">
        <f t="shared" si="92"/>
        <v>3.84</v>
      </c>
      <c r="V217" s="101">
        <f t="shared" si="92"/>
        <v>3.84</v>
      </c>
      <c r="W217" s="101">
        <f t="shared" si="92"/>
        <v>3.84</v>
      </c>
      <c r="X217" s="101">
        <f t="shared" si="92"/>
        <v>3.84</v>
      </c>
      <c r="Y217" s="101">
        <f t="shared" si="92"/>
        <v>3.84</v>
      </c>
      <c r="Z217" s="101">
        <f t="shared" si="92"/>
        <v>3.84</v>
      </c>
      <c r="AA217" s="101">
        <f t="shared" si="92"/>
        <v>3.84</v>
      </c>
      <c r="AB217" s="101">
        <f t="shared" si="92"/>
        <v>3.84</v>
      </c>
      <c r="AC217" s="101">
        <f t="shared" si="92"/>
        <v>3.84</v>
      </c>
      <c r="AD217" s="101">
        <f t="shared" si="92"/>
        <v>0</v>
      </c>
      <c r="AE217" s="101">
        <f t="shared" si="92"/>
        <v>0</v>
      </c>
      <c r="AF217" s="101">
        <f t="shared" si="92"/>
        <v>0</v>
      </c>
      <c r="AG217" s="101">
        <f t="shared" si="92"/>
        <v>0</v>
      </c>
      <c r="AH217" s="101">
        <f t="shared" si="92"/>
        <v>0</v>
      </c>
      <c r="AI217" s="101">
        <f t="shared" si="89"/>
        <v>0</v>
      </c>
      <c r="AJ217" s="101">
        <f t="shared" si="89"/>
        <v>0</v>
      </c>
      <c r="AK217" s="101">
        <f t="shared" si="89"/>
        <v>0</v>
      </c>
      <c r="AL217" s="101">
        <f t="shared" si="89"/>
        <v>0</v>
      </c>
      <c r="AM217" s="101">
        <f t="shared" si="89"/>
        <v>0</v>
      </c>
      <c r="AN217" s="101">
        <f t="shared" si="89"/>
        <v>0</v>
      </c>
      <c r="AO217" s="101">
        <f t="shared" si="89"/>
        <v>0</v>
      </c>
      <c r="AP217" s="101">
        <f t="shared" si="89"/>
        <v>0</v>
      </c>
      <c r="AQ217" s="101">
        <f t="shared" si="89"/>
        <v>0</v>
      </c>
      <c r="AR217" s="101">
        <f t="shared" si="89"/>
        <v>0</v>
      </c>
      <c r="AS217" s="101">
        <f t="shared" si="89"/>
        <v>0</v>
      </c>
      <c r="AT217" s="101">
        <f t="shared" si="89"/>
        <v>0</v>
      </c>
      <c r="AU217" s="101">
        <f t="shared" si="89"/>
        <v>0</v>
      </c>
      <c r="AV217" s="101">
        <f t="shared" si="89"/>
        <v>0</v>
      </c>
      <c r="AW217" s="101">
        <f t="shared" si="89"/>
        <v>0</v>
      </c>
      <c r="AX217" s="101"/>
      <c r="AY217" s="101"/>
    </row>
    <row r="218" spans="3:51" x14ac:dyDescent="0.25">
      <c r="C218" s="62" t="str">
        <f t="shared" si="90"/>
        <v>Scenario C - 2030 cliffKRIEL</v>
      </c>
      <c r="D218" s="62" t="str">
        <f t="shared" si="93"/>
        <v>Scenario C - 2030 cliff</v>
      </c>
      <c r="E218" s="101" t="s">
        <v>151</v>
      </c>
      <c r="F218" s="101"/>
      <c r="G218" s="101" t="s">
        <v>199</v>
      </c>
      <c r="H218" s="62">
        <f>H200</f>
        <v>2026</v>
      </c>
      <c r="I218" s="62">
        <f t="shared" ref="I218:N218" si="95">I200</f>
        <v>2027</v>
      </c>
      <c r="J218" s="62">
        <f t="shared" si="95"/>
        <v>2028</v>
      </c>
      <c r="K218" s="62">
        <f t="shared" si="95"/>
        <v>2029</v>
      </c>
      <c r="L218" s="62">
        <f t="shared" si="95"/>
        <v>2029</v>
      </c>
      <c r="M218" s="62">
        <f t="shared" si="95"/>
        <v>2030</v>
      </c>
      <c r="N218" s="62" t="str">
        <f t="shared" si="95"/>
        <v/>
      </c>
      <c r="O218" s="62" t="str">
        <f>O200</f>
        <v/>
      </c>
      <c r="Q218" s="101">
        <f t="shared" si="87"/>
        <v>6</v>
      </c>
      <c r="R218" s="101">
        <v>2.85</v>
      </c>
      <c r="S218" s="101">
        <f t="shared" si="92"/>
        <v>2.85</v>
      </c>
      <c r="T218" s="101">
        <f t="shared" si="92"/>
        <v>2.85</v>
      </c>
      <c r="U218" s="101">
        <f t="shared" si="92"/>
        <v>2.85</v>
      </c>
      <c r="V218" s="101">
        <f t="shared" si="92"/>
        <v>2.85</v>
      </c>
      <c r="W218" s="101">
        <f t="shared" si="92"/>
        <v>2.85</v>
      </c>
      <c r="X218" s="101">
        <f t="shared" si="92"/>
        <v>2.85</v>
      </c>
      <c r="Y218" s="101">
        <f t="shared" si="92"/>
        <v>2.375</v>
      </c>
      <c r="Z218" s="101">
        <f t="shared" si="92"/>
        <v>1.9</v>
      </c>
      <c r="AA218" s="101">
        <f t="shared" si="92"/>
        <v>1.4249999999999998</v>
      </c>
      <c r="AB218" s="101">
        <f t="shared" si="92"/>
        <v>0.47499999999999976</v>
      </c>
      <c r="AC218" s="101">
        <f t="shared" si="92"/>
        <v>0</v>
      </c>
      <c r="AD218" s="101">
        <f t="shared" si="92"/>
        <v>0</v>
      </c>
      <c r="AE218" s="101">
        <f t="shared" si="92"/>
        <v>0</v>
      </c>
      <c r="AF218" s="101">
        <f t="shared" si="92"/>
        <v>0</v>
      </c>
      <c r="AG218" s="101">
        <f t="shared" si="92"/>
        <v>0</v>
      </c>
      <c r="AH218" s="101">
        <f t="shared" si="92"/>
        <v>0</v>
      </c>
      <c r="AI218" s="101">
        <f t="shared" si="89"/>
        <v>0</v>
      </c>
      <c r="AJ218" s="101">
        <f t="shared" si="89"/>
        <v>0</v>
      </c>
      <c r="AK218" s="101">
        <f t="shared" si="89"/>
        <v>0</v>
      </c>
      <c r="AL218" s="101">
        <f t="shared" si="89"/>
        <v>0</v>
      </c>
      <c r="AM218" s="101">
        <f t="shared" si="89"/>
        <v>0</v>
      </c>
      <c r="AN218" s="101">
        <f t="shared" si="89"/>
        <v>0</v>
      </c>
      <c r="AO218" s="101">
        <f t="shared" si="89"/>
        <v>0</v>
      </c>
      <c r="AP218" s="101">
        <f t="shared" si="89"/>
        <v>0</v>
      </c>
      <c r="AQ218" s="101">
        <f t="shared" si="89"/>
        <v>0</v>
      </c>
      <c r="AR218" s="101">
        <f t="shared" si="89"/>
        <v>0</v>
      </c>
      <c r="AS218" s="101">
        <f t="shared" si="89"/>
        <v>0</v>
      </c>
      <c r="AT218" s="101">
        <f t="shared" si="89"/>
        <v>0</v>
      </c>
      <c r="AU218" s="101">
        <f t="shared" si="89"/>
        <v>0</v>
      </c>
      <c r="AV218" s="101">
        <f t="shared" si="89"/>
        <v>0</v>
      </c>
      <c r="AW218" s="101">
        <f t="shared" si="89"/>
        <v>0</v>
      </c>
      <c r="AX218" s="101"/>
      <c r="AY218" s="101"/>
    </row>
    <row r="219" spans="3:51" x14ac:dyDescent="0.25">
      <c r="C219" s="62" t="str">
        <f t="shared" si="90"/>
        <v>Scenario C - 2030 cliffLETHABO</v>
      </c>
      <c r="D219" s="62" t="str">
        <f t="shared" si="93"/>
        <v>Scenario C - 2030 cliff</v>
      </c>
      <c r="E219" s="104" t="s">
        <v>149</v>
      </c>
      <c r="F219" s="101"/>
      <c r="G219" s="101" t="s">
        <v>205</v>
      </c>
      <c r="H219" s="62">
        <v>2031</v>
      </c>
      <c r="I219" s="62">
        <v>2031</v>
      </c>
      <c r="J219" s="62">
        <v>2031</v>
      </c>
      <c r="K219" s="62">
        <v>2031</v>
      </c>
      <c r="L219" s="62">
        <v>2031</v>
      </c>
      <c r="M219" s="62">
        <v>2031</v>
      </c>
      <c r="N219" s="62" t="s">
        <v>277</v>
      </c>
      <c r="O219" s="62" t="s">
        <v>277</v>
      </c>
      <c r="Q219" s="101">
        <f t="shared" si="87"/>
        <v>6</v>
      </c>
      <c r="R219" s="101">
        <v>3.5579999999999998</v>
      </c>
      <c r="S219" s="101">
        <f t="shared" si="92"/>
        <v>3.5579999999999998</v>
      </c>
      <c r="T219" s="101">
        <f t="shared" si="92"/>
        <v>3.5579999999999998</v>
      </c>
      <c r="U219" s="101">
        <f t="shared" si="92"/>
        <v>3.5579999999999998</v>
      </c>
      <c r="V219" s="101">
        <f t="shared" si="92"/>
        <v>3.5579999999999998</v>
      </c>
      <c r="W219" s="101">
        <f t="shared" si="92"/>
        <v>3.5579999999999998</v>
      </c>
      <c r="X219" s="101">
        <f t="shared" si="92"/>
        <v>3.5579999999999998</v>
      </c>
      <c r="Y219" s="101">
        <f t="shared" si="92"/>
        <v>3.5579999999999998</v>
      </c>
      <c r="Z219" s="101">
        <f t="shared" si="92"/>
        <v>3.5579999999999998</v>
      </c>
      <c r="AA219" s="101">
        <f t="shared" si="92"/>
        <v>3.5579999999999998</v>
      </c>
      <c r="AB219" s="101">
        <f t="shared" si="92"/>
        <v>3.5579999999999998</v>
      </c>
      <c r="AC219" s="101">
        <f t="shared" si="92"/>
        <v>3.5579999999999998</v>
      </c>
      <c r="AD219" s="101">
        <f t="shared" si="92"/>
        <v>0</v>
      </c>
      <c r="AE219" s="101">
        <f t="shared" si="92"/>
        <v>0</v>
      </c>
      <c r="AF219" s="101">
        <f t="shared" si="92"/>
        <v>0</v>
      </c>
      <c r="AG219" s="101">
        <f t="shared" si="92"/>
        <v>0</v>
      </c>
      <c r="AH219" s="101">
        <f t="shared" si="92"/>
        <v>0</v>
      </c>
      <c r="AI219" s="101">
        <f t="shared" si="89"/>
        <v>0</v>
      </c>
      <c r="AJ219" s="101">
        <f t="shared" si="89"/>
        <v>0</v>
      </c>
      <c r="AK219" s="101">
        <f t="shared" si="89"/>
        <v>0</v>
      </c>
      <c r="AL219" s="101">
        <f t="shared" si="89"/>
        <v>0</v>
      </c>
      <c r="AM219" s="101">
        <f t="shared" si="89"/>
        <v>0</v>
      </c>
      <c r="AN219" s="101">
        <f t="shared" si="89"/>
        <v>0</v>
      </c>
      <c r="AO219" s="101">
        <f t="shared" si="89"/>
        <v>0</v>
      </c>
      <c r="AP219" s="101">
        <f t="shared" si="89"/>
        <v>0</v>
      </c>
      <c r="AQ219" s="101">
        <f t="shared" si="89"/>
        <v>0</v>
      </c>
      <c r="AR219" s="101">
        <f t="shared" si="89"/>
        <v>0</v>
      </c>
      <c r="AS219" s="101">
        <f t="shared" si="89"/>
        <v>0</v>
      </c>
      <c r="AT219" s="101">
        <f t="shared" si="89"/>
        <v>0</v>
      </c>
      <c r="AU219" s="101">
        <f t="shared" si="89"/>
        <v>0</v>
      </c>
      <c r="AV219" s="101">
        <f t="shared" si="89"/>
        <v>0</v>
      </c>
      <c r="AW219" s="101">
        <f t="shared" si="89"/>
        <v>0</v>
      </c>
      <c r="AX219" s="101"/>
      <c r="AY219" s="101"/>
    </row>
    <row r="220" spans="3:51" x14ac:dyDescent="0.25">
      <c r="C220" s="62" t="str">
        <f t="shared" si="90"/>
        <v>Scenario C - 2030 cliffMAJUBA DRY</v>
      </c>
      <c r="D220" s="62" t="str">
        <f t="shared" si="93"/>
        <v>Scenario C - 2030 cliff</v>
      </c>
      <c r="E220" s="104" t="s">
        <v>147</v>
      </c>
      <c r="F220" s="101"/>
      <c r="G220" s="101" t="s">
        <v>197</v>
      </c>
      <c r="H220" s="62">
        <v>2031</v>
      </c>
      <c r="I220" s="62">
        <v>2031</v>
      </c>
      <c r="J220" s="62">
        <v>2031</v>
      </c>
      <c r="Q220" s="101">
        <f t="shared" si="87"/>
        <v>3</v>
      </c>
      <c r="R220" s="101">
        <v>1.8330000000000002</v>
      </c>
      <c r="S220" s="101">
        <f t="shared" si="92"/>
        <v>1.8330000000000002</v>
      </c>
      <c r="T220" s="101">
        <f t="shared" si="92"/>
        <v>1.8330000000000002</v>
      </c>
      <c r="U220" s="101">
        <f t="shared" si="92"/>
        <v>1.8330000000000002</v>
      </c>
      <c r="V220" s="101">
        <f t="shared" si="92"/>
        <v>1.8330000000000002</v>
      </c>
      <c r="W220" s="101">
        <f t="shared" si="92"/>
        <v>1.8330000000000002</v>
      </c>
      <c r="X220" s="101">
        <f t="shared" si="92"/>
        <v>1.8330000000000002</v>
      </c>
      <c r="Y220" s="101">
        <f t="shared" si="92"/>
        <v>1.8330000000000002</v>
      </c>
      <c r="Z220" s="101">
        <f t="shared" si="92"/>
        <v>1.8330000000000002</v>
      </c>
      <c r="AA220" s="101">
        <f t="shared" si="92"/>
        <v>1.8330000000000002</v>
      </c>
      <c r="AB220" s="101">
        <f t="shared" si="92"/>
        <v>1.8330000000000002</v>
      </c>
      <c r="AC220" s="101">
        <f t="shared" si="92"/>
        <v>1.8330000000000002</v>
      </c>
      <c r="AD220" s="101">
        <f t="shared" si="92"/>
        <v>0</v>
      </c>
      <c r="AE220" s="101">
        <f t="shared" si="92"/>
        <v>0</v>
      </c>
      <c r="AF220" s="101">
        <f t="shared" si="92"/>
        <v>0</v>
      </c>
      <c r="AG220" s="101">
        <f t="shared" si="92"/>
        <v>0</v>
      </c>
      <c r="AH220" s="101">
        <f t="shared" si="92"/>
        <v>0</v>
      </c>
      <c r="AI220" s="101">
        <f t="shared" si="89"/>
        <v>0</v>
      </c>
      <c r="AJ220" s="101">
        <f t="shared" si="89"/>
        <v>0</v>
      </c>
      <c r="AK220" s="101">
        <f t="shared" si="89"/>
        <v>0</v>
      </c>
      <c r="AL220" s="101">
        <f t="shared" si="89"/>
        <v>0</v>
      </c>
      <c r="AM220" s="101">
        <f t="shared" si="89"/>
        <v>0</v>
      </c>
      <c r="AN220" s="101">
        <f t="shared" si="89"/>
        <v>0</v>
      </c>
      <c r="AO220" s="101">
        <f t="shared" si="89"/>
        <v>0</v>
      </c>
      <c r="AP220" s="101">
        <f t="shared" si="89"/>
        <v>0</v>
      </c>
      <c r="AQ220" s="101">
        <f t="shared" si="89"/>
        <v>0</v>
      </c>
      <c r="AR220" s="101">
        <f t="shared" si="89"/>
        <v>0</v>
      </c>
      <c r="AS220" s="101">
        <f t="shared" si="89"/>
        <v>0</v>
      </c>
      <c r="AT220" s="101">
        <f t="shared" si="89"/>
        <v>0</v>
      </c>
      <c r="AU220" s="101">
        <f t="shared" si="89"/>
        <v>0</v>
      </c>
      <c r="AV220" s="101">
        <f t="shared" si="89"/>
        <v>0</v>
      </c>
      <c r="AW220" s="101">
        <f t="shared" si="89"/>
        <v>0</v>
      </c>
      <c r="AX220" s="101"/>
      <c r="AY220" s="101"/>
    </row>
    <row r="221" spans="3:51" x14ac:dyDescent="0.25">
      <c r="C221" s="62" t="str">
        <f t="shared" si="90"/>
        <v>Scenario C - 2030 cliffMAJUBA WET</v>
      </c>
      <c r="D221" s="62" t="str">
        <f t="shared" si="93"/>
        <v>Scenario C - 2030 cliff</v>
      </c>
      <c r="E221" s="104" t="s">
        <v>145</v>
      </c>
      <c r="F221" s="101"/>
      <c r="G221" s="101"/>
      <c r="K221" s="62">
        <v>2031</v>
      </c>
      <c r="L221" s="62">
        <v>2031</v>
      </c>
      <c r="M221" s="62">
        <v>2031</v>
      </c>
      <c r="Q221" s="101">
        <f t="shared" si="87"/>
        <v>3</v>
      </c>
      <c r="R221" s="101">
        <v>2.0099999999999998</v>
      </c>
      <c r="S221" s="101">
        <f t="shared" si="92"/>
        <v>2.0099999999999998</v>
      </c>
      <c r="T221" s="101">
        <f t="shared" si="92"/>
        <v>2.0099999999999998</v>
      </c>
      <c r="U221" s="101">
        <f t="shared" si="92"/>
        <v>2.0099999999999998</v>
      </c>
      <c r="V221" s="101">
        <f t="shared" si="92"/>
        <v>2.0099999999999998</v>
      </c>
      <c r="W221" s="101">
        <f t="shared" si="92"/>
        <v>2.0099999999999998</v>
      </c>
      <c r="X221" s="101">
        <f t="shared" si="92"/>
        <v>2.0099999999999998</v>
      </c>
      <c r="Y221" s="101">
        <f t="shared" si="92"/>
        <v>2.0099999999999998</v>
      </c>
      <c r="Z221" s="101">
        <f t="shared" si="92"/>
        <v>2.0099999999999998</v>
      </c>
      <c r="AA221" s="101">
        <f t="shared" si="92"/>
        <v>2.0099999999999998</v>
      </c>
      <c r="AB221" s="101">
        <f t="shared" si="92"/>
        <v>2.0099999999999998</v>
      </c>
      <c r="AC221" s="101">
        <f t="shared" si="92"/>
        <v>2.0099999999999998</v>
      </c>
      <c r="AD221" s="101">
        <f t="shared" si="92"/>
        <v>0</v>
      </c>
      <c r="AE221" s="101">
        <f t="shared" si="92"/>
        <v>0</v>
      </c>
      <c r="AF221" s="101">
        <f t="shared" si="92"/>
        <v>0</v>
      </c>
      <c r="AG221" s="101">
        <f t="shared" si="92"/>
        <v>0</v>
      </c>
      <c r="AH221" s="101">
        <f t="shared" si="92"/>
        <v>0</v>
      </c>
      <c r="AI221" s="101">
        <f t="shared" si="89"/>
        <v>0</v>
      </c>
      <c r="AJ221" s="101">
        <f t="shared" si="89"/>
        <v>0</v>
      </c>
      <c r="AK221" s="101">
        <f t="shared" si="89"/>
        <v>0</v>
      </c>
      <c r="AL221" s="101">
        <f t="shared" si="89"/>
        <v>0</v>
      </c>
      <c r="AM221" s="101">
        <f t="shared" si="89"/>
        <v>0</v>
      </c>
      <c r="AN221" s="101">
        <f t="shared" si="89"/>
        <v>0</v>
      </c>
      <c r="AO221" s="101">
        <f t="shared" si="89"/>
        <v>0</v>
      </c>
      <c r="AP221" s="101">
        <f t="shared" si="89"/>
        <v>0</v>
      </c>
      <c r="AQ221" s="101">
        <f t="shared" si="89"/>
        <v>0</v>
      </c>
      <c r="AR221" s="101">
        <f t="shared" si="89"/>
        <v>0</v>
      </c>
      <c r="AS221" s="101">
        <f t="shared" si="89"/>
        <v>0</v>
      </c>
      <c r="AT221" s="101">
        <f t="shared" si="89"/>
        <v>0</v>
      </c>
      <c r="AU221" s="101">
        <f t="shared" si="89"/>
        <v>0</v>
      </c>
      <c r="AV221" s="101">
        <f t="shared" si="89"/>
        <v>0</v>
      </c>
      <c r="AW221" s="101">
        <f t="shared" si="89"/>
        <v>0</v>
      </c>
      <c r="AX221" s="101"/>
      <c r="AY221" s="101"/>
    </row>
    <row r="222" spans="3:51" x14ac:dyDescent="0.25">
      <c r="C222" s="62" t="str">
        <f t="shared" si="90"/>
        <v>Scenario C - 2030 cliffMATIMBA</v>
      </c>
      <c r="D222" s="62" t="str">
        <f t="shared" si="93"/>
        <v>Scenario C - 2030 cliff</v>
      </c>
      <c r="E222" s="104" t="s">
        <v>143</v>
      </c>
      <c r="F222" s="101"/>
      <c r="G222" s="101" t="s">
        <v>204</v>
      </c>
      <c r="H222" s="62">
        <v>2031</v>
      </c>
      <c r="I222" s="62">
        <v>2031</v>
      </c>
      <c r="J222" s="62">
        <v>2031</v>
      </c>
      <c r="K222" s="62">
        <v>2031</v>
      </c>
      <c r="L222" s="62">
        <v>2031</v>
      </c>
      <c r="M222" s="62">
        <v>2031</v>
      </c>
      <c r="Q222" s="101">
        <f t="shared" si="87"/>
        <v>6</v>
      </c>
      <c r="R222" s="101">
        <v>3.69</v>
      </c>
      <c r="S222" s="101">
        <f t="shared" si="92"/>
        <v>3.69</v>
      </c>
      <c r="T222" s="101">
        <f t="shared" si="92"/>
        <v>3.69</v>
      </c>
      <c r="U222" s="101">
        <f t="shared" si="92"/>
        <v>3.69</v>
      </c>
      <c r="V222" s="101">
        <f t="shared" si="92"/>
        <v>3.69</v>
      </c>
      <c r="W222" s="101">
        <f t="shared" si="92"/>
        <v>3.69</v>
      </c>
      <c r="X222" s="101">
        <f t="shared" si="92"/>
        <v>3.69</v>
      </c>
      <c r="Y222" s="101">
        <f t="shared" si="92"/>
        <v>3.69</v>
      </c>
      <c r="Z222" s="101">
        <f t="shared" si="92"/>
        <v>3.69</v>
      </c>
      <c r="AA222" s="101">
        <f t="shared" si="92"/>
        <v>3.69</v>
      </c>
      <c r="AB222" s="101">
        <f t="shared" si="92"/>
        <v>3.69</v>
      </c>
      <c r="AC222" s="101">
        <f t="shared" si="92"/>
        <v>3.69</v>
      </c>
      <c r="AD222" s="101">
        <f t="shared" si="92"/>
        <v>0</v>
      </c>
      <c r="AE222" s="101">
        <f t="shared" si="92"/>
        <v>0</v>
      </c>
      <c r="AF222" s="101">
        <f t="shared" si="92"/>
        <v>0</v>
      </c>
      <c r="AG222" s="101">
        <f t="shared" si="92"/>
        <v>0</v>
      </c>
      <c r="AH222" s="101">
        <f t="shared" si="92"/>
        <v>0</v>
      </c>
      <c r="AI222" s="101">
        <f t="shared" si="89"/>
        <v>0</v>
      </c>
      <c r="AJ222" s="101">
        <f t="shared" si="89"/>
        <v>0</v>
      </c>
      <c r="AK222" s="101">
        <f t="shared" si="89"/>
        <v>0</v>
      </c>
      <c r="AL222" s="101">
        <f t="shared" si="89"/>
        <v>0</v>
      </c>
      <c r="AM222" s="101">
        <f t="shared" si="89"/>
        <v>0</v>
      </c>
      <c r="AN222" s="101">
        <f t="shared" si="89"/>
        <v>0</v>
      </c>
      <c r="AO222" s="101">
        <f t="shared" si="89"/>
        <v>0</v>
      </c>
      <c r="AP222" s="101">
        <f t="shared" si="89"/>
        <v>0</v>
      </c>
      <c r="AQ222" s="101">
        <f t="shared" si="89"/>
        <v>0</v>
      </c>
      <c r="AR222" s="101">
        <f t="shared" si="89"/>
        <v>0</v>
      </c>
      <c r="AS222" s="101">
        <f t="shared" si="89"/>
        <v>0</v>
      </c>
      <c r="AT222" s="101">
        <f t="shared" si="89"/>
        <v>0</v>
      </c>
      <c r="AU222" s="101">
        <f t="shared" si="89"/>
        <v>0</v>
      </c>
      <c r="AV222" s="101">
        <f t="shared" si="89"/>
        <v>0</v>
      </c>
      <c r="AW222" s="101">
        <f t="shared" si="89"/>
        <v>0</v>
      </c>
      <c r="AX222" s="101"/>
      <c r="AY222" s="101"/>
    </row>
    <row r="223" spans="3:51" x14ac:dyDescent="0.25">
      <c r="C223" s="62" t="str">
        <f t="shared" si="90"/>
        <v>Scenario C - 2030 cliffMATLA</v>
      </c>
      <c r="D223" s="62" t="str">
        <f t="shared" si="93"/>
        <v>Scenario C - 2030 cliff</v>
      </c>
      <c r="E223" s="103" t="s">
        <v>141</v>
      </c>
      <c r="F223" s="101"/>
      <c r="G223" s="101" t="s">
        <v>200</v>
      </c>
      <c r="H223" s="62">
        <v>2031</v>
      </c>
      <c r="I223" s="62">
        <v>2031</v>
      </c>
      <c r="J223" s="62">
        <v>2031</v>
      </c>
      <c r="K223" s="62">
        <v>2031</v>
      </c>
      <c r="L223" s="62">
        <v>2031</v>
      </c>
      <c r="M223" s="62">
        <v>2031</v>
      </c>
      <c r="Q223" s="101">
        <f t="shared" si="87"/>
        <v>6</v>
      </c>
      <c r="R223" s="101">
        <v>3.45</v>
      </c>
      <c r="S223" s="101">
        <f t="shared" si="92"/>
        <v>3.45</v>
      </c>
      <c r="T223" s="101">
        <f t="shared" si="92"/>
        <v>3.45</v>
      </c>
      <c r="U223" s="101">
        <f t="shared" si="92"/>
        <v>3.45</v>
      </c>
      <c r="V223" s="101">
        <f t="shared" si="92"/>
        <v>3.45</v>
      </c>
      <c r="W223" s="101">
        <f t="shared" si="92"/>
        <v>3.45</v>
      </c>
      <c r="X223" s="101">
        <f t="shared" si="92"/>
        <v>3.45</v>
      </c>
      <c r="Y223" s="101">
        <f t="shared" si="92"/>
        <v>3.45</v>
      </c>
      <c r="Z223" s="101">
        <f t="shared" si="92"/>
        <v>3.45</v>
      </c>
      <c r="AA223" s="101">
        <f t="shared" si="92"/>
        <v>3.45</v>
      </c>
      <c r="AB223" s="101">
        <f t="shared" si="92"/>
        <v>3.45</v>
      </c>
      <c r="AC223" s="101">
        <f t="shared" si="92"/>
        <v>3.45</v>
      </c>
      <c r="AD223" s="101">
        <f t="shared" si="92"/>
        <v>0</v>
      </c>
      <c r="AE223" s="101">
        <f t="shared" si="92"/>
        <v>0</v>
      </c>
      <c r="AF223" s="101">
        <f t="shared" si="92"/>
        <v>0</v>
      </c>
      <c r="AG223" s="101">
        <f t="shared" si="92"/>
        <v>0</v>
      </c>
      <c r="AH223" s="101">
        <f t="shared" si="92"/>
        <v>0</v>
      </c>
      <c r="AI223" s="101">
        <f t="shared" si="89"/>
        <v>0</v>
      </c>
      <c r="AJ223" s="101">
        <f t="shared" si="89"/>
        <v>0</v>
      </c>
      <c r="AK223" s="101">
        <f t="shared" si="89"/>
        <v>0</v>
      </c>
      <c r="AL223" s="101">
        <f t="shared" si="89"/>
        <v>0</v>
      </c>
      <c r="AM223" s="101">
        <f t="shared" si="89"/>
        <v>0</v>
      </c>
      <c r="AN223" s="101">
        <f t="shared" si="89"/>
        <v>0</v>
      </c>
      <c r="AO223" s="101">
        <f t="shared" si="89"/>
        <v>0</v>
      </c>
      <c r="AP223" s="101">
        <f t="shared" si="89"/>
        <v>0</v>
      </c>
      <c r="AQ223" s="101">
        <f t="shared" si="89"/>
        <v>0</v>
      </c>
      <c r="AR223" s="101">
        <f t="shared" si="89"/>
        <v>0</v>
      </c>
      <c r="AS223" s="101">
        <f t="shared" si="89"/>
        <v>0</v>
      </c>
      <c r="AT223" s="101">
        <f t="shared" si="89"/>
        <v>0</v>
      </c>
      <c r="AU223" s="101">
        <f t="shared" si="89"/>
        <v>0</v>
      </c>
      <c r="AV223" s="101">
        <f t="shared" si="89"/>
        <v>0</v>
      </c>
      <c r="AW223" s="101">
        <f t="shared" si="89"/>
        <v>0</v>
      </c>
      <c r="AX223" s="101"/>
      <c r="AY223" s="101"/>
    </row>
    <row r="224" spans="3:51" x14ac:dyDescent="0.25">
      <c r="C224" s="62" t="str">
        <f t="shared" si="90"/>
        <v>Scenario C - 2030 cliffTUTUKA</v>
      </c>
      <c r="D224" s="62" t="str">
        <f t="shared" si="93"/>
        <v>Scenario C - 2030 cliff</v>
      </c>
      <c r="E224" s="103" t="s">
        <v>139</v>
      </c>
      <c r="F224" s="101"/>
      <c r="G224" s="101" t="s">
        <v>202</v>
      </c>
      <c r="H224" s="62">
        <v>2031</v>
      </c>
      <c r="I224" s="62">
        <v>2031</v>
      </c>
      <c r="J224" s="62">
        <v>2031</v>
      </c>
      <c r="K224" s="62">
        <v>2031</v>
      </c>
      <c r="L224" s="62">
        <v>2031</v>
      </c>
      <c r="M224" s="62">
        <v>2031</v>
      </c>
      <c r="Q224" s="101">
        <f t="shared" si="87"/>
        <v>6</v>
      </c>
      <c r="R224" s="101">
        <v>3.51</v>
      </c>
      <c r="S224" s="101">
        <f t="shared" si="92"/>
        <v>3.51</v>
      </c>
      <c r="T224" s="101">
        <f t="shared" si="92"/>
        <v>3.51</v>
      </c>
      <c r="U224" s="101">
        <f t="shared" si="92"/>
        <v>3.51</v>
      </c>
      <c r="V224" s="101">
        <f t="shared" si="92"/>
        <v>3.51</v>
      </c>
      <c r="W224" s="101">
        <f t="shared" si="92"/>
        <v>3.51</v>
      </c>
      <c r="X224" s="101">
        <f t="shared" si="92"/>
        <v>3.51</v>
      </c>
      <c r="Y224" s="101">
        <f t="shared" si="92"/>
        <v>3.51</v>
      </c>
      <c r="Z224" s="101">
        <f t="shared" si="92"/>
        <v>3.51</v>
      </c>
      <c r="AA224" s="101">
        <f t="shared" si="92"/>
        <v>3.51</v>
      </c>
      <c r="AB224" s="101">
        <f t="shared" si="92"/>
        <v>3.51</v>
      </c>
      <c r="AC224" s="101">
        <f t="shared" si="92"/>
        <v>3.51</v>
      </c>
      <c r="AD224" s="101">
        <f t="shared" si="92"/>
        <v>0</v>
      </c>
      <c r="AE224" s="101">
        <f t="shared" si="92"/>
        <v>0</v>
      </c>
      <c r="AF224" s="101">
        <f t="shared" si="92"/>
        <v>0</v>
      </c>
      <c r="AG224" s="101">
        <f t="shared" si="92"/>
        <v>0</v>
      </c>
      <c r="AH224" s="101">
        <f t="shared" si="92"/>
        <v>0</v>
      </c>
      <c r="AI224" s="101">
        <f t="shared" si="89"/>
        <v>0</v>
      </c>
      <c r="AJ224" s="101">
        <f t="shared" si="89"/>
        <v>0</v>
      </c>
      <c r="AK224" s="101">
        <f t="shared" si="89"/>
        <v>0</v>
      </c>
      <c r="AL224" s="101">
        <f t="shared" si="89"/>
        <v>0</v>
      </c>
      <c r="AM224" s="101">
        <f t="shared" si="89"/>
        <v>0</v>
      </c>
      <c r="AN224" s="101">
        <f t="shared" si="89"/>
        <v>0</v>
      </c>
      <c r="AO224" s="101">
        <f t="shared" si="89"/>
        <v>0</v>
      </c>
      <c r="AP224" s="101">
        <f t="shared" si="89"/>
        <v>0</v>
      </c>
      <c r="AQ224" s="101">
        <f t="shared" si="89"/>
        <v>0</v>
      </c>
      <c r="AR224" s="101">
        <f t="shared" si="89"/>
        <v>0</v>
      </c>
      <c r="AS224" s="101">
        <f t="shared" si="89"/>
        <v>0</v>
      </c>
      <c r="AT224" s="101">
        <f t="shared" si="89"/>
        <v>0</v>
      </c>
      <c r="AU224" s="101">
        <f t="shared" si="89"/>
        <v>0</v>
      </c>
      <c r="AV224" s="101">
        <f t="shared" si="89"/>
        <v>0</v>
      </c>
      <c r="AW224" s="101">
        <f t="shared" si="89"/>
        <v>0</v>
      </c>
      <c r="AX224" s="101"/>
      <c r="AY224" s="101"/>
    </row>
    <row r="226" spans="3:51" x14ac:dyDescent="0.25">
      <c r="E226" s="62" t="s">
        <v>297</v>
      </c>
    </row>
    <row r="227" spans="3:51" x14ac:dyDescent="0.25">
      <c r="E227" s="101"/>
      <c r="F227" s="101"/>
      <c r="G227" s="101" t="s">
        <v>210</v>
      </c>
      <c r="H227" s="101">
        <v>1</v>
      </c>
      <c r="I227" s="101">
        <v>2</v>
      </c>
      <c r="J227" s="101">
        <v>3</v>
      </c>
      <c r="K227" s="101">
        <v>4</v>
      </c>
      <c r="L227" s="101">
        <v>5</v>
      </c>
      <c r="M227" s="101">
        <v>6</v>
      </c>
      <c r="N227" s="101">
        <v>7</v>
      </c>
      <c r="O227" s="101">
        <v>8</v>
      </c>
      <c r="P227" s="101">
        <v>9</v>
      </c>
      <c r="Q227" s="101" t="s">
        <v>43</v>
      </c>
      <c r="R227" s="101">
        <v>2019</v>
      </c>
      <c r="S227" s="101">
        <v>2020</v>
      </c>
      <c r="T227" s="101">
        <v>2021</v>
      </c>
      <c r="U227" s="101">
        <v>2022</v>
      </c>
      <c r="V227" s="101">
        <v>2023</v>
      </c>
      <c r="W227" s="101">
        <v>2024</v>
      </c>
      <c r="X227" s="101">
        <v>2025</v>
      </c>
      <c r="Y227" s="101">
        <v>2026</v>
      </c>
      <c r="Z227" s="101">
        <v>2027</v>
      </c>
      <c r="AA227" s="101">
        <v>2028</v>
      </c>
      <c r="AB227" s="101">
        <v>2029</v>
      </c>
      <c r="AC227" s="101">
        <v>2030</v>
      </c>
      <c r="AD227" s="101">
        <v>2031</v>
      </c>
      <c r="AE227" s="101">
        <v>2032</v>
      </c>
      <c r="AF227" s="101">
        <v>2033</v>
      </c>
      <c r="AG227" s="101">
        <v>2034</v>
      </c>
      <c r="AH227" s="101">
        <v>2035</v>
      </c>
      <c r="AI227" s="101">
        <v>2036</v>
      </c>
      <c r="AJ227" s="101">
        <v>2037</v>
      </c>
      <c r="AK227" s="101">
        <v>2038</v>
      </c>
      <c r="AL227" s="101">
        <v>2039</v>
      </c>
      <c r="AM227" s="101">
        <v>2040</v>
      </c>
      <c r="AN227" s="101">
        <v>2041</v>
      </c>
      <c r="AO227" s="101">
        <v>2042</v>
      </c>
      <c r="AP227" s="101">
        <v>2043</v>
      </c>
      <c r="AQ227" s="101">
        <v>2044</v>
      </c>
      <c r="AR227" s="101">
        <v>2045</v>
      </c>
      <c r="AS227" s="101">
        <v>2046</v>
      </c>
      <c r="AT227" s="101">
        <v>2047</v>
      </c>
      <c r="AU227" s="101">
        <v>2048</v>
      </c>
      <c r="AV227" s="101">
        <v>2049</v>
      </c>
      <c r="AW227" s="101">
        <v>2050</v>
      </c>
      <c r="AX227" s="101"/>
      <c r="AY227" s="101"/>
    </row>
    <row r="228" spans="3:51" x14ac:dyDescent="0.25">
      <c r="C228" s="62" t="str">
        <f>D228&amp;E228</f>
        <v>Scenario C - last 3 yearsCAMDEN</v>
      </c>
      <c r="D228" s="62" t="str">
        <f>E226</f>
        <v>Scenario C - last 3 years</v>
      </c>
      <c r="E228" s="101" t="s">
        <v>165</v>
      </c>
      <c r="F228" s="101"/>
      <c r="G228" s="101" t="s">
        <v>208</v>
      </c>
      <c r="H228" s="62">
        <f>H211</f>
        <v>2024</v>
      </c>
      <c r="I228" s="62">
        <f t="shared" ref="I228:O228" si="96">I211</f>
        <v>2024</v>
      </c>
      <c r="J228" s="62">
        <f t="shared" si="96"/>
        <v>2025</v>
      </c>
      <c r="K228" s="62">
        <f t="shared" si="96"/>
        <v>2026</v>
      </c>
      <c r="L228" s="62">
        <f t="shared" si="96"/>
        <v>2026</v>
      </c>
      <c r="M228" s="62">
        <f t="shared" si="96"/>
        <v>2025</v>
      </c>
      <c r="N228" s="62">
        <f t="shared" si="96"/>
        <v>2026</v>
      </c>
      <c r="O228" s="62" t="str">
        <f t="shared" si="96"/>
        <v/>
      </c>
      <c r="Q228" s="101">
        <f t="shared" ref="Q228:Q241" si="97">COUNT(H228:P228)</f>
        <v>7</v>
      </c>
      <c r="R228" s="101">
        <v>1.4810000000000001</v>
      </c>
      <c r="S228" s="101">
        <f>COUNTIF($H228:$P228,S$98)*-$R228/$Q228+R228</f>
        <v>1.4810000000000001</v>
      </c>
      <c r="T228" s="101">
        <f t="shared" ref="T228:AI228" si="98">COUNTIF($H228:$P228,T$98)*-$R228/$Q228+S228</f>
        <v>1.4810000000000001</v>
      </c>
      <c r="U228" s="101">
        <f t="shared" si="98"/>
        <v>1.4810000000000001</v>
      </c>
      <c r="V228" s="101">
        <f t="shared" si="98"/>
        <v>1.4810000000000001</v>
      </c>
      <c r="W228" s="101">
        <f t="shared" si="98"/>
        <v>1.0578571428571428</v>
      </c>
      <c r="X228" s="101">
        <f t="shared" si="98"/>
        <v>0.63471428571428568</v>
      </c>
      <c r="Y228" s="101">
        <f t="shared" si="98"/>
        <v>0</v>
      </c>
      <c r="Z228" s="101">
        <f t="shared" si="98"/>
        <v>0</v>
      </c>
      <c r="AA228" s="101">
        <f t="shared" si="98"/>
        <v>0</v>
      </c>
      <c r="AB228" s="101">
        <f t="shared" si="98"/>
        <v>0</v>
      </c>
      <c r="AC228" s="101">
        <f t="shared" si="98"/>
        <v>0</v>
      </c>
      <c r="AD228" s="101">
        <f t="shared" si="98"/>
        <v>0</v>
      </c>
      <c r="AE228" s="101">
        <f t="shared" si="98"/>
        <v>0</v>
      </c>
      <c r="AF228" s="101">
        <f t="shared" si="98"/>
        <v>0</v>
      </c>
      <c r="AG228" s="101">
        <f t="shared" si="98"/>
        <v>0</v>
      </c>
      <c r="AH228" s="101">
        <f t="shared" si="98"/>
        <v>0</v>
      </c>
      <c r="AI228" s="101">
        <f t="shared" si="98"/>
        <v>0</v>
      </c>
      <c r="AJ228" s="101">
        <f t="shared" ref="AI228:AW241" si="99">COUNTIF($H228:$P228,AJ$98)*-$R228/$Q228+AI228</f>
        <v>0</v>
      </c>
      <c r="AK228" s="101">
        <f t="shared" si="99"/>
        <v>0</v>
      </c>
      <c r="AL228" s="101">
        <f t="shared" si="99"/>
        <v>0</v>
      </c>
      <c r="AM228" s="101">
        <f t="shared" si="99"/>
        <v>0</v>
      </c>
      <c r="AN228" s="101">
        <f t="shared" si="99"/>
        <v>0</v>
      </c>
      <c r="AO228" s="101">
        <f t="shared" si="99"/>
        <v>0</v>
      </c>
      <c r="AP228" s="101">
        <f t="shared" si="99"/>
        <v>0</v>
      </c>
      <c r="AQ228" s="101">
        <f t="shared" si="99"/>
        <v>0</v>
      </c>
      <c r="AR228" s="101">
        <f t="shared" si="99"/>
        <v>0</v>
      </c>
      <c r="AS228" s="101">
        <f t="shared" si="99"/>
        <v>0</v>
      </c>
      <c r="AT228" s="101">
        <f t="shared" si="99"/>
        <v>0</v>
      </c>
      <c r="AU228" s="101">
        <f t="shared" si="99"/>
        <v>0</v>
      </c>
      <c r="AV228" s="101">
        <f t="shared" si="99"/>
        <v>0</v>
      </c>
      <c r="AW228" s="101">
        <f t="shared" si="99"/>
        <v>0</v>
      </c>
      <c r="AX228" s="101"/>
      <c r="AY228" s="101"/>
    </row>
    <row r="229" spans="3:51" x14ac:dyDescent="0.25">
      <c r="C229" s="62" t="str">
        <f t="shared" ref="C229:C241" si="100">D229&amp;E229</f>
        <v>Scenario C - last 3 yearsGROOTVLEI</v>
      </c>
      <c r="D229" s="62" t="str">
        <f>D228</f>
        <v>Scenario C - last 3 years</v>
      </c>
      <c r="E229" s="101" t="s">
        <v>163</v>
      </c>
      <c r="F229" s="101"/>
      <c r="G229" s="101" t="s">
        <v>195</v>
      </c>
      <c r="H229" s="62">
        <f t="shared" ref="H229:O235" si="101">H212</f>
        <v>2026</v>
      </c>
      <c r="I229" s="62">
        <f t="shared" si="101"/>
        <v>2027</v>
      </c>
      <c r="J229" s="62">
        <f t="shared" si="101"/>
        <v>2028</v>
      </c>
      <c r="K229" s="62" t="str">
        <f t="shared" si="101"/>
        <v/>
      </c>
      <c r="L229" s="62" t="str">
        <f t="shared" si="101"/>
        <v/>
      </c>
      <c r="M229" s="62" t="str">
        <f t="shared" si="101"/>
        <v/>
      </c>
      <c r="N229" s="62" t="str">
        <f t="shared" si="101"/>
        <v/>
      </c>
      <c r="O229" s="62" t="str">
        <f t="shared" si="101"/>
        <v/>
      </c>
      <c r="Q229" s="101">
        <f t="shared" si="97"/>
        <v>3</v>
      </c>
      <c r="R229" s="101">
        <v>0.56999999999999995</v>
      </c>
      <c r="S229" s="101">
        <f t="shared" ref="S229:AH241" si="102">COUNTIF($H229:$P229,S$98)*-$R229/$Q229+R229</f>
        <v>0.56999999999999995</v>
      </c>
      <c r="T229" s="101">
        <f t="shared" si="102"/>
        <v>0.56999999999999995</v>
      </c>
      <c r="U229" s="101">
        <f t="shared" si="102"/>
        <v>0.56999999999999995</v>
      </c>
      <c r="V229" s="101">
        <f t="shared" si="102"/>
        <v>0.56999999999999995</v>
      </c>
      <c r="W229" s="101">
        <f t="shared" si="102"/>
        <v>0.56999999999999995</v>
      </c>
      <c r="X229" s="101">
        <f t="shared" si="102"/>
        <v>0.56999999999999995</v>
      </c>
      <c r="Y229" s="101">
        <f t="shared" si="102"/>
        <v>0.38</v>
      </c>
      <c r="Z229" s="101">
        <f t="shared" si="102"/>
        <v>0.19000000000000003</v>
      </c>
      <c r="AA229" s="101">
        <f t="shared" si="102"/>
        <v>0</v>
      </c>
      <c r="AB229" s="101">
        <f t="shared" si="102"/>
        <v>0</v>
      </c>
      <c r="AC229" s="101">
        <f t="shared" si="102"/>
        <v>0</v>
      </c>
      <c r="AD229" s="101">
        <f t="shared" si="102"/>
        <v>0</v>
      </c>
      <c r="AE229" s="101">
        <f t="shared" si="102"/>
        <v>0</v>
      </c>
      <c r="AF229" s="101">
        <f t="shared" si="102"/>
        <v>0</v>
      </c>
      <c r="AG229" s="101">
        <f t="shared" si="102"/>
        <v>0</v>
      </c>
      <c r="AH229" s="101">
        <f t="shared" si="102"/>
        <v>0</v>
      </c>
      <c r="AI229" s="101">
        <f t="shared" si="99"/>
        <v>0</v>
      </c>
      <c r="AJ229" s="101">
        <f t="shared" si="99"/>
        <v>0</v>
      </c>
      <c r="AK229" s="101">
        <f t="shared" si="99"/>
        <v>0</v>
      </c>
      <c r="AL229" s="101">
        <f t="shared" si="99"/>
        <v>0</v>
      </c>
      <c r="AM229" s="101">
        <f t="shared" si="99"/>
        <v>0</v>
      </c>
      <c r="AN229" s="101">
        <f t="shared" si="99"/>
        <v>0</v>
      </c>
      <c r="AO229" s="101">
        <f t="shared" si="99"/>
        <v>0</v>
      </c>
      <c r="AP229" s="101">
        <f t="shared" si="99"/>
        <v>0</v>
      </c>
      <c r="AQ229" s="101">
        <f t="shared" si="99"/>
        <v>0</v>
      </c>
      <c r="AR229" s="101">
        <f t="shared" si="99"/>
        <v>0</v>
      </c>
      <c r="AS229" s="101">
        <f t="shared" si="99"/>
        <v>0</v>
      </c>
      <c r="AT229" s="101">
        <f t="shared" si="99"/>
        <v>0</v>
      </c>
      <c r="AU229" s="101">
        <f t="shared" si="99"/>
        <v>0</v>
      </c>
      <c r="AV229" s="101">
        <f t="shared" si="99"/>
        <v>0</v>
      </c>
      <c r="AW229" s="101">
        <f t="shared" si="99"/>
        <v>0</v>
      </c>
      <c r="AX229" s="101"/>
      <c r="AY229" s="101"/>
    </row>
    <row r="230" spans="3:51" x14ac:dyDescent="0.25">
      <c r="C230" s="62" t="str">
        <f t="shared" si="100"/>
        <v>Scenario C - last 3 yearsKOMATI</v>
      </c>
      <c r="D230" s="62" t="str">
        <f t="shared" ref="D230:D241" si="103">D229</f>
        <v>Scenario C - last 3 years</v>
      </c>
      <c r="E230" s="101" t="s">
        <v>161</v>
      </c>
      <c r="F230" s="101"/>
      <c r="G230" s="101" t="s">
        <v>196</v>
      </c>
      <c r="H230" s="62">
        <f t="shared" si="101"/>
        <v>2020</v>
      </c>
      <c r="I230" s="62">
        <f t="shared" si="101"/>
        <v>2020</v>
      </c>
      <c r="J230" s="62">
        <f t="shared" si="101"/>
        <v>2021</v>
      </c>
      <c r="K230" s="62" t="str">
        <f t="shared" si="101"/>
        <v/>
      </c>
      <c r="L230" s="62" t="str">
        <f t="shared" si="101"/>
        <v/>
      </c>
      <c r="M230" s="62" t="str">
        <f t="shared" si="101"/>
        <v/>
      </c>
      <c r="N230" s="62" t="str">
        <f t="shared" si="101"/>
        <v/>
      </c>
      <c r="O230" s="62" t="str">
        <f t="shared" si="101"/>
        <v/>
      </c>
      <c r="Q230" s="101">
        <f t="shared" si="97"/>
        <v>3</v>
      </c>
      <c r="R230" s="101">
        <v>0.41</v>
      </c>
      <c r="S230" s="101">
        <f t="shared" si="102"/>
        <v>0.13666666666666666</v>
      </c>
      <c r="T230" s="101">
        <f t="shared" si="102"/>
        <v>0</v>
      </c>
      <c r="U230" s="101">
        <f t="shared" si="102"/>
        <v>0</v>
      </c>
      <c r="V230" s="101">
        <f t="shared" si="102"/>
        <v>0</v>
      </c>
      <c r="W230" s="101">
        <f t="shared" si="102"/>
        <v>0</v>
      </c>
      <c r="X230" s="101">
        <f t="shared" si="102"/>
        <v>0</v>
      </c>
      <c r="Y230" s="101">
        <f t="shared" si="102"/>
        <v>0</v>
      </c>
      <c r="Z230" s="101">
        <f t="shared" si="102"/>
        <v>0</v>
      </c>
      <c r="AA230" s="101">
        <f t="shared" si="102"/>
        <v>0</v>
      </c>
      <c r="AB230" s="101">
        <f t="shared" si="102"/>
        <v>0</v>
      </c>
      <c r="AC230" s="101">
        <f t="shared" si="102"/>
        <v>0</v>
      </c>
      <c r="AD230" s="101">
        <f t="shared" si="102"/>
        <v>0</v>
      </c>
      <c r="AE230" s="101">
        <f t="shared" si="102"/>
        <v>0</v>
      </c>
      <c r="AF230" s="101">
        <f t="shared" si="102"/>
        <v>0</v>
      </c>
      <c r="AG230" s="101">
        <f t="shared" si="102"/>
        <v>0</v>
      </c>
      <c r="AH230" s="101">
        <f t="shared" si="102"/>
        <v>0</v>
      </c>
      <c r="AI230" s="101">
        <f t="shared" si="99"/>
        <v>0</v>
      </c>
      <c r="AJ230" s="101">
        <f t="shared" si="99"/>
        <v>0</v>
      </c>
      <c r="AK230" s="101">
        <f t="shared" si="99"/>
        <v>0</v>
      </c>
      <c r="AL230" s="101">
        <f t="shared" si="99"/>
        <v>0</v>
      </c>
      <c r="AM230" s="101">
        <f t="shared" si="99"/>
        <v>0</v>
      </c>
      <c r="AN230" s="101">
        <f t="shared" si="99"/>
        <v>0</v>
      </c>
      <c r="AO230" s="101">
        <f t="shared" si="99"/>
        <v>0</v>
      </c>
      <c r="AP230" s="101">
        <f t="shared" si="99"/>
        <v>0</v>
      </c>
      <c r="AQ230" s="101">
        <f t="shared" si="99"/>
        <v>0</v>
      </c>
      <c r="AR230" s="101">
        <f t="shared" si="99"/>
        <v>0</v>
      </c>
      <c r="AS230" s="101">
        <f t="shared" si="99"/>
        <v>0</v>
      </c>
      <c r="AT230" s="101">
        <f t="shared" si="99"/>
        <v>0</v>
      </c>
      <c r="AU230" s="101">
        <f t="shared" si="99"/>
        <v>0</v>
      </c>
      <c r="AV230" s="101">
        <f t="shared" si="99"/>
        <v>0</v>
      </c>
      <c r="AW230" s="101">
        <f t="shared" si="99"/>
        <v>0</v>
      </c>
      <c r="AX230" s="101"/>
      <c r="AY230" s="101"/>
    </row>
    <row r="231" spans="3:51" x14ac:dyDescent="0.25">
      <c r="C231" s="62" t="str">
        <f t="shared" si="100"/>
        <v>Scenario C - last 3 yearsARNOT</v>
      </c>
      <c r="D231" s="62" t="str">
        <f t="shared" si="103"/>
        <v>Scenario C - last 3 years</v>
      </c>
      <c r="E231" s="101" t="s">
        <v>159</v>
      </c>
      <c r="F231" s="101"/>
      <c r="G231" s="101" t="s">
        <v>201</v>
      </c>
      <c r="H231" s="62">
        <f t="shared" si="101"/>
        <v>2027</v>
      </c>
      <c r="I231" s="62">
        <f t="shared" si="101"/>
        <v>2026</v>
      </c>
      <c r="J231" s="62">
        <f t="shared" si="101"/>
        <v>2026</v>
      </c>
      <c r="K231" s="62">
        <f t="shared" si="101"/>
        <v>2027</v>
      </c>
      <c r="L231" s="62">
        <f t="shared" si="101"/>
        <v>2029</v>
      </c>
      <c r="M231" s="62">
        <f t="shared" si="101"/>
        <v>2029</v>
      </c>
      <c r="N231" s="62" t="str">
        <f t="shared" si="101"/>
        <v/>
      </c>
      <c r="O231" s="62" t="str">
        <f t="shared" si="101"/>
        <v/>
      </c>
      <c r="Q231" s="101">
        <f t="shared" si="97"/>
        <v>6</v>
      </c>
      <c r="R231" s="101">
        <v>2.2320000000000002</v>
      </c>
      <c r="S231" s="101">
        <f t="shared" si="102"/>
        <v>2.2320000000000002</v>
      </c>
      <c r="T231" s="101">
        <f t="shared" si="102"/>
        <v>2.2320000000000002</v>
      </c>
      <c r="U231" s="101">
        <f t="shared" si="102"/>
        <v>2.2320000000000002</v>
      </c>
      <c r="V231" s="101">
        <f t="shared" si="102"/>
        <v>2.2320000000000002</v>
      </c>
      <c r="W231" s="101">
        <f t="shared" si="102"/>
        <v>2.2320000000000002</v>
      </c>
      <c r="X231" s="101">
        <f t="shared" si="102"/>
        <v>2.2320000000000002</v>
      </c>
      <c r="Y231" s="101">
        <f t="shared" si="102"/>
        <v>1.488</v>
      </c>
      <c r="Z231" s="101">
        <f t="shared" si="102"/>
        <v>0.74399999999999988</v>
      </c>
      <c r="AA231" s="101">
        <f t="shared" si="102"/>
        <v>0.74399999999999988</v>
      </c>
      <c r="AB231" s="101">
        <f t="shared" si="102"/>
        <v>0</v>
      </c>
      <c r="AC231" s="101">
        <f t="shared" si="102"/>
        <v>0</v>
      </c>
      <c r="AD231" s="101">
        <f t="shared" si="102"/>
        <v>0</v>
      </c>
      <c r="AE231" s="101">
        <f t="shared" si="102"/>
        <v>0</v>
      </c>
      <c r="AF231" s="101">
        <f t="shared" si="102"/>
        <v>0</v>
      </c>
      <c r="AG231" s="101">
        <f t="shared" si="102"/>
        <v>0</v>
      </c>
      <c r="AH231" s="101">
        <f t="shared" si="102"/>
        <v>0</v>
      </c>
      <c r="AI231" s="101">
        <f t="shared" si="99"/>
        <v>0</v>
      </c>
      <c r="AJ231" s="101">
        <f t="shared" si="99"/>
        <v>0</v>
      </c>
      <c r="AK231" s="101">
        <f t="shared" si="99"/>
        <v>0</v>
      </c>
      <c r="AL231" s="101">
        <f t="shared" si="99"/>
        <v>0</v>
      </c>
      <c r="AM231" s="101">
        <f t="shared" si="99"/>
        <v>0</v>
      </c>
      <c r="AN231" s="101">
        <f t="shared" si="99"/>
        <v>0</v>
      </c>
      <c r="AO231" s="101">
        <f t="shared" si="99"/>
        <v>0</v>
      </c>
      <c r="AP231" s="101">
        <f t="shared" si="99"/>
        <v>0</v>
      </c>
      <c r="AQ231" s="101">
        <f t="shared" si="99"/>
        <v>0</v>
      </c>
      <c r="AR231" s="101">
        <f t="shared" si="99"/>
        <v>0</v>
      </c>
      <c r="AS231" s="101">
        <f t="shared" si="99"/>
        <v>0</v>
      </c>
      <c r="AT231" s="101">
        <f t="shared" si="99"/>
        <v>0</v>
      </c>
      <c r="AU231" s="101">
        <f t="shared" si="99"/>
        <v>0</v>
      </c>
      <c r="AV231" s="101">
        <f t="shared" si="99"/>
        <v>0</v>
      </c>
      <c r="AW231" s="101">
        <f t="shared" si="99"/>
        <v>0</v>
      </c>
      <c r="AX231" s="101"/>
      <c r="AY231" s="101"/>
    </row>
    <row r="232" spans="3:51" x14ac:dyDescent="0.25">
      <c r="C232" s="62" t="str">
        <f t="shared" si="100"/>
        <v>Scenario C - last 3 yearsDUVHA</v>
      </c>
      <c r="D232" s="62" t="str">
        <f t="shared" si="103"/>
        <v>Scenario C - last 3 years</v>
      </c>
      <c r="E232" s="103" t="s">
        <v>157</v>
      </c>
      <c r="F232" s="101"/>
      <c r="G232" s="101" t="s">
        <v>207</v>
      </c>
      <c r="H232" s="62">
        <v>2029</v>
      </c>
      <c r="I232" s="62">
        <v>2030</v>
      </c>
      <c r="J232" s="62">
        <v>2030</v>
      </c>
      <c r="K232" s="62">
        <v>2031</v>
      </c>
      <c r="L232" s="62">
        <v>2031</v>
      </c>
      <c r="M232" s="62" t="s">
        <v>277</v>
      </c>
      <c r="N232" s="62" t="s">
        <v>277</v>
      </c>
      <c r="O232" s="62" t="s">
        <v>277</v>
      </c>
      <c r="Q232" s="101">
        <f t="shared" si="97"/>
        <v>5</v>
      </c>
      <c r="R232" s="101">
        <v>2.875</v>
      </c>
      <c r="S232" s="101">
        <f t="shared" si="102"/>
        <v>2.875</v>
      </c>
      <c r="T232" s="101">
        <f t="shared" si="102"/>
        <v>2.875</v>
      </c>
      <c r="U232" s="101">
        <f t="shared" si="102"/>
        <v>2.875</v>
      </c>
      <c r="V232" s="101">
        <f t="shared" si="102"/>
        <v>2.875</v>
      </c>
      <c r="W232" s="101">
        <f t="shared" si="102"/>
        <v>2.875</v>
      </c>
      <c r="X232" s="101">
        <f t="shared" si="102"/>
        <v>2.875</v>
      </c>
      <c r="Y232" s="101">
        <f t="shared" si="102"/>
        <v>2.875</v>
      </c>
      <c r="Z232" s="101">
        <f t="shared" si="102"/>
        <v>2.875</v>
      </c>
      <c r="AA232" s="101">
        <f t="shared" si="102"/>
        <v>2.875</v>
      </c>
      <c r="AB232" s="101">
        <f t="shared" si="102"/>
        <v>2.2999999999999998</v>
      </c>
      <c r="AC232" s="101">
        <f t="shared" si="102"/>
        <v>1.1499999999999999</v>
      </c>
      <c r="AD232" s="101">
        <f t="shared" si="102"/>
        <v>0</v>
      </c>
      <c r="AE232" s="101">
        <f t="shared" si="102"/>
        <v>0</v>
      </c>
      <c r="AF232" s="101">
        <f t="shared" si="102"/>
        <v>0</v>
      </c>
      <c r="AG232" s="101">
        <f t="shared" si="102"/>
        <v>0</v>
      </c>
      <c r="AH232" s="101">
        <f t="shared" si="102"/>
        <v>0</v>
      </c>
      <c r="AI232" s="101">
        <f t="shared" si="99"/>
        <v>0</v>
      </c>
      <c r="AJ232" s="101">
        <f t="shared" si="99"/>
        <v>0</v>
      </c>
      <c r="AK232" s="101">
        <f t="shared" si="99"/>
        <v>0</v>
      </c>
      <c r="AL232" s="101">
        <f t="shared" si="99"/>
        <v>0</v>
      </c>
      <c r="AM232" s="101">
        <f t="shared" si="99"/>
        <v>0</v>
      </c>
      <c r="AN232" s="101">
        <f t="shared" si="99"/>
        <v>0</v>
      </c>
      <c r="AO232" s="101">
        <f t="shared" si="99"/>
        <v>0</v>
      </c>
      <c r="AP232" s="101">
        <f t="shared" si="99"/>
        <v>0</v>
      </c>
      <c r="AQ232" s="101">
        <f t="shared" si="99"/>
        <v>0</v>
      </c>
      <c r="AR232" s="101">
        <f t="shared" si="99"/>
        <v>0</v>
      </c>
      <c r="AS232" s="101">
        <f t="shared" si="99"/>
        <v>0</v>
      </c>
      <c r="AT232" s="101">
        <f t="shared" si="99"/>
        <v>0</v>
      </c>
      <c r="AU232" s="101">
        <f t="shared" si="99"/>
        <v>0</v>
      </c>
      <c r="AV232" s="101">
        <f t="shared" si="99"/>
        <v>0</v>
      </c>
      <c r="AW232" s="101">
        <f t="shared" si="99"/>
        <v>0</v>
      </c>
      <c r="AX232" s="101"/>
      <c r="AY232" s="101"/>
    </row>
    <row r="233" spans="3:51" x14ac:dyDescent="0.25">
      <c r="C233" s="62" t="str">
        <f t="shared" si="100"/>
        <v>Scenario C - last 3 yearsHENDRINA</v>
      </c>
      <c r="D233" s="62" t="str">
        <f t="shared" si="103"/>
        <v>Scenario C - last 3 years</v>
      </c>
      <c r="E233" s="101" t="s">
        <v>155</v>
      </c>
      <c r="F233" s="101"/>
      <c r="G233" s="101" t="s">
        <v>198</v>
      </c>
      <c r="H233" s="62">
        <f t="shared" si="101"/>
        <v>2021</v>
      </c>
      <c r="I233" s="62">
        <f t="shared" si="101"/>
        <v>2025</v>
      </c>
      <c r="J233" s="62" t="str">
        <f t="shared" si="101"/>
        <v/>
      </c>
      <c r="K233" s="62">
        <f t="shared" si="101"/>
        <v>2025</v>
      </c>
      <c r="L233" s="62">
        <f t="shared" si="101"/>
        <v>2025</v>
      </c>
      <c r="M233" s="62">
        <f t="shared" si="101"/>
        <v>2025</v>
      </c>
      <c r="N233" s="62">
        <f t="shared" si="101"/>
        <v>2024</v>
      </c>
      <c r="O233" s="62" t="str">
        <f t="shared" si="101"/>
        <v/>
      </c>
      <c r="Q233" s="101">
        <f t="shared" si="97"/>
        <v>6</v>
      </c>
      <c r="R233" s="101">
        <v>1.2929999999999999</v>
      </c>
      <c r="S233" s="101">
        <f t="shared" si="102"/>
        <v>1.2929999999999999</v>
      </c>
      <c r="T233" s="101">
        <f t="shared" si="102"/>
        <v>1.0774999999999999</v>
      </c>
      <c r="U233" s="101">
        <f t="shared" si="102"/>
        <v>1.0774999999999999</v>
      </c>
      <c r="V233" s="101">
        <f t="shared" si="102"/>
        <v>1.0774999999999999</v>
      </c>
      <c r="W233" s="101">
        <f t="shared" si="102"/>
        <v>0.86199999999999988</v>
      </c>
      <c r="X233" s="101">
        <f t="shared" si="102"/>
        <v>0</v>
      </c>
      <c r="Y233" s="101">
        <f t="shared" si="102"/>
        <v>0</v>
      </c>
      <c r="Z233" s="101">
        <f t="shared" si="102"/>
        <v>0</v>
      </c>
      <c r="AA233" s="101">
        <f t="shared" si="102"/>
        <v>0</v>
      </c>
      <c r="AB233" s="101">
        <f t="shared" si="102"/>
        <v>0</v>
      </c>
      <c r="AC233" s="101">
        <f t="shared" si="102"/>
        <v>0</v>
      </c>
      <c r="AD233" s="101">
        <f t="shared" si="102"/>
        <v>0</v>
      </c>
      <c r="AE233" s="101">
        <f t="shared" si="102"/>
        <v>0</v>
      </c>
      <c r="AF233" s="101">
        <f t="shared" si="102"/>
        <v>0</v>
      </c>
      <c r="AG233" s="101">
        <f t="shared" si="102"/>
        <v>0</v>
      </c>
      <c r="AH233" s="101">
        <f t="shared" si="102"/>
        <v>0</v>
      </c>
      <c r="AI233" s="101">
        <f t="shared" si="99"/>
        <v>0</v>
      </c>
      <c r="AJ233" s="101">
        <f t="shared" si="99"/>
        <v>0</v>
      </c>
      <c r="AK233" s="101">
        <f t="shared" si="99"/>
        <v>0</v>
      </c>
      <c r="AL233" s="101">
        <f t="shared" si="99"/>
        <v>0</v>
      </c>
      <c r="AM233" s="101">
        <f t="shared" si="99"/>
        <v>0</v>
      </c>
      <c r="AN233" s="101">
        <f t="shared" si="99"/>
        <v>0</v>
      </c>
      <c r="AO233" s="101">
        <f t="shared" si="99"/>
        <v>0</v>
      </c>
      <c r="AP233" s="101">
        <f t="shared" si="99"/>
        <v>0</v>
      </c>
      <c r="AQ233" s="101">
        <f t="shared" si="99"/>
        <v>0</v>
      </c>
      <c r="AR233" s="101">
        <f t="shared" si="99"/>
        <v>0</v>
      </c>
      <c r="AS233" s="101">
        <f t="shared" si="99"/>
        <v>0</v>
      </c>
      <c r="AT233" s="101">
        <f t="shared" si="99"/>
        <v>0</v>
      </c>
      <c r="AU233" s="101">
        <f t="shared" si="99"/>
        <v>0</v>
      </c>
      <c r="AV233" s="101">
        <f t="shared" si="99"/>
        <v>0</v>
      </c>
      <c r="AW233" s="101">
        <f t="shared" si="99"/>
        <v>0</v>
      </c>
      <c r="AX233" s="101"/>
      <c r="AY233" s="101"/>
    </row>
    <row r="234" spans="3:51" x14ac:dyDescent="0.25">
      <c r="C234" s="62" t="str">
        <f t="shared" si="100"/>
        <v>Scenario C - last 3 yearsKENDAL</v>
      </c>
      <c r="D234" s="62" t="str">
        <f t="shared" si="103"/>
        <v>Scenario C - last 3 years</v>
      </c>
      <c r="E234" s="103" t="s">
        <v>153</v>
      </c>
      <c r="F234" s="101"/>
      <c r="G234" s="101" t="s">
        <v>206</v>
      </c>
      <c r="H234" s="62">
        <v>2029</v>
      </c>
      <c r="I234" s="62">
        <v>2029</v>
      </c>
      <c r="J234" s="62">
        <v>2030</v>
      </c>
      <c r="K234" s="62">
        <v>2030</v>
      </c>
      <c r="L234" s="62">
        <v>2031</v>
      </c>
      <c r="M234" s="62">
        <v>2031</v>
      </c>
      <c r="N234" s="62" t="s">
        <v>277</v>
      </c>
      <c r="O234" s="62" t="s">
        <v>277</v>
      </c>
      <c r="Q234" s="101">
        <f t="shared" si="97"/>
        <v>6</v>
      </c>
      <c r="R234" s="101">
        <v>3.84</v>
      </c>
      <c r="S234" s="101">
        <f t="shared" si="102"/>
        <v>3.84</v>
      </c>
      <c r="T234" s="101">
        <f t="shared" si="102"/>
        <v>3.84</v>
      </c>
      <c r="U234" s="101">
        <f t="shared" si="102"/>
        <v>3.84</v>
      </c>
      <c r="V234" s="101">
        <f t="shared" si="102"/>
        <v>3.84</v>
      </c>
      <c r="W234" s="101">
        <f t="shared" si="102"/>
        <v>3.84</v>
      </c>
      <c r="X234" s="101">
        <f t="shared" si="102"/>
        <v>3.84</v>
      </c>
      <c r="Y234" s="101">
        <f t="shared" si="102"/>
        <v>3.84</v>
      </c>
      <c r="Z234" s="101">
        <f t="shared" si="102"/>
        <v>3.84</v>
      </c>
      <c r="AA234" s="101">
        <f t="shared" si="102"/>
        <v>3.84</v>
      </c>
      <c r="AB234" s="101">
        <f t="shared" si="102"/>
        <v>2.5599999999999996</v>
      </c>
      <c r="AC234" s="101">
        <f t="shared" si="102"/>
        <v>1.2799999999999996</v>
      </c>
      <c r="AD234" s="101">
        <f t="shared" si="102"/>
        <v>0</v>
      </c>
      <c r="AE234" s="101">
        <f t="shared" si="102"/>
        <v>0</v>
      </c>
      <c r="AF234" s="101">
        <f t="shared" si="102"/>
        <v>0</v>
      </c>
      <c r="AG234" s="101">
        <f t="shared" si="102"/>
        <v>0</v>
      </c>
      <c r="AH234" s="101">
        <f t="shared" si="102"/>
        <v>0</v>
      </c>
      <c r="AI234" s="101">
        <f t="shared" si="99"/>
        <v>0</v>
      </c>
      <c r="AJ234" s="101">
        <f t="shared" si="99"/>
        <v>0</v>
      </c>
      <c r="AK234" s="101">
        <f t="shared" si="99"/>
        <v>0</v>
      </c>
      <c r="AL234" s="101">
        <f t="shared" si="99"/>
        <v>0</v>
      </c>
      <c r="AM234" s="101">
        <f t="shared" si="99"/>
        <v>0</v>
      </c>
      <c r="AN234" s="101">
        <f t="shared" si="99"/>
        <v>0</v>
      </c>
      <c r="AO234" s="101">
        <f t="shared" si="99"/>
        <v>0</v>
      </c>
      <c r="AP234" s="101">
        <f t="shared" si="99"/>
        <v>0</v>
      </c>
      <c r="AQ234" s="101">
        <f t="shared" si="99"/>
        <v>0</v>
      </c>
      <c r="AR234" s="101">
        <f t="shared" si="99"/>
        <v>0</v>
      </c>
      <c r="AS234" s="101">
        <f t="shared" si="99"/>
        <v>0</v>
      </c>
      <c r="AT234" s="101">
        <f t="shared" si="99"/>
        <v>0</v>
      </c>
      <c r="AU234" s="101">
        <f t="shared" si="99"/>
        <v>0</v>
      </c>
      <c r="AV234" s="101">
        <f t="shared" si="99"/>
        <v>0</v>
      </c>
      <c r="AW234" s="101">
        <f t="shared" si="99"/>
        <v>0</v>
      </c>
      <c r="AX234" s="101"/>
      <c r="AY234" s="101"/>
    </row>
    <row r="235" spans="3:51" x14ac:dyDescent="0.25">
      <c r="C235" s="62" t="str">
        <f t="shared" si="100"/>
        <v>Scenario C - last 3 yearsKRIEL</v>
      </c>
      <c r="D235" s="62" t="str">
        <f t="shared" si="103"/>
        <v>Scenario C - last 3 years</v>
      </c>
      <c r="E235" s="101" t="s">
        <v>151</v>
      </c>
      <c r="F235" s="101"/>
      <c r="G235" s="101" t="s">
        <v>199</v>
      </c>
      <c r="H235" s="62">
        <f t="shared" si="101"/>
        <v>2026</v>
      </c>
      <c r="I235" s="62">
        <f t="shared" si="101"/>
        <v>2027</v>
      </c>
      <c r="J235" s="62">
        <f t="shared" si="101"/>
        <v>2028</v>
      </c>
      <c r="K235" s="62">
        <f t="shared" si="101"/>
        <v>2029</v>
      </c>
      <c r="L235" s="62">
        <f t="shared" si="101"/>
        <v>2029</v>
      </c>
      <c r="M235" s="62">
        <f t="shared" si="101"/>
        <v>2030</v>
      </c>
      <c r="N235" s="62" t="str">
        <f t="shared" si="101"/>
        <v/>
      </c>
      <c r="O235" s="62" t="str">
        <f t="shared" si="101"/>
        <v/>
      </c>
      <c r="Q235" s="101">
        <f t="shared" si="97"/>
        <v>6</v>
      </c>
      <c r="R235" s="101">
        <v>2.85</v>
      </c>
      <c r="S235" s="101">
        <f t="shared" si="102"/>
        <v>2.85</v>
      </c>
      <c r="T235" s="101">
        <f t="shared" si="102"/>
        <v>2.85</v>
      </c>
      <c r="U235" s="101">
        <f t="shared" si="102"/>
        <v>2.85</v>
      </c>
      <c r="V235" s="101">
        <f t="shared" si="102"/>
        <v>2.85</v>
      </c>
      <c r="W235" s="101">
        <f t="shared" si="102"/>
        <v>2.85</v>
      </c>
      <c r="X235" s="101">
        <f t="shared" si="102"/>
        <v>2.85</v>
      </c>
      <c r="Y235" s="101">
        <f t="shared" si="102"/>
        <v>2.375</v>
      </c>
      <c r="Z235" s="101">
        <f t="shared" si="102"/>
        <v>1.9</v>
      </c>
      <c r="AA235" s="101">
        <f t="shared" si="102"/>
        <v>1.4249999999999998</v>
      </c>
      <c r="AB235" s="101">
        <f t="shared" si="102"/>
        <v>0.47499999999999976</v>
      </c>
      <c r="AC235" s="101">
        <f t="shared" si="102"/>
        <v>0</v>
      </c>
      <c r="AD235" s="101">
        <f t="shared" si="102"/>
        <v>0</v>
      </c>
      <c r="AE235" s="101">
        <f t="shared" si="102"/>
        <v>0</v>
      </c>
      <c r="AF235" s="101">
        <f t="shared" si="102"/>
        <v>0</v>
      </c>
      <c r="AG235" s="101">
        <f t="shared" si="102"/>
        <v>0</v>
      </c>
      <c r="AH235" s="101">
        <f t="shared" si="102"/>
        <v>0</v>
      </c>
      <c r="AI235" s="101">
        <f t="shared" si="99"/>
        <v>0</v>
      </c>
      <c r="AJ235" s="101">
        <f t="shared" si="99"/>
        <v>0</v>
      </c>
      <c r="AK235" s="101">
        <f t="shared" si="99"/>
        <v>0</v>
      </c>
      <c r="AL235" s="101">
        <f t="shared" si="99"/>
        <v>0</v>
      </c>
      <c r="AM235" s="101">
        <f t="shared" si="99"/>
        <v>0</v>
      </c>
      <c r="AN235" s="101">
        <f t="shared" si="99"/>
        <v>0</v>
      </c>
      <c r="AO235" s="101">
        <f t="shared" si="99"/>
        <v>0</v>
      </c>
      <c r="AP235" s="101">
        <f t="shared" si="99"/>
        <v>0</v>
      </c>
      <c r="AQ235" s="101">
        <f t="shared" si="99"/>
        <v>0</v>
      </c>
      <c r="AR235" s="101">
        <f t="shared" si="99"/>
        <v>0</v>
      </c>
      <c r="AS235" s="101">
        <f t="shared" si="99"/>
        <v>0</v>
      </c>
      <c r="AT235" s="101">
        <f t="shared" si="99"/>
        <v>0</v>
      </c>
      <c r="AU235" s="101">
        <f t="shared" si="99"/>
        <v>0</v>
      </c>
      <c r="AV235" s="101">
        <f t="shared" si="99"/>
        <v>0</v>
      </c>
      <c r="AW235" s="101">
        <f t="shared" si="99"/>
        <v>0</v>
      </c>
      <c r="AX235" s="101"/>
      <c r="AY235" s="101"/>
    </row>
    <row r="236" spans="3:51" x14ac:dyDescent="0.25">
      <c r="C236" s="62" t="str">
        <f t="shared" si="100"/>
        <v>Scenario C - last 3 yearsLETHABO</v>
      </c>
      <c r="D236" s="62" t="str">
        <f t="shared" si="103"/>
        <v>Scenario C - last 3 years</v>
      </c>
      <c r="E236" s="104" t="s">
        <v>149</v>
      </c>
      <c r="F236" s="101"/>
      <c r="G236" s="101" t="s">
        <v>205</v>
      </c>
      <c r="H236" s="62">
        <v>2029</v>
      </c>
      <c r="I236" s="62">
        <v>2029</v>
      </c>
      <c r="J236" s="62">
        <v>2030</v>
      </c>
      <c r="K236" s="62">
        <v>2030</v>
      </c>
      <c r="L236" s="62">
        <v>2031</v>
      </c>
      <c r="M236" s="62">
        <v>2031</v>
      </c>
      <c r="N236" s="62" t="s">
        <v>277</v>
      </c>
      <c r="O236" s="62" t="s">
        <v>277</v>
      </c>
      <c r="Q236" s="101">
        <f t="shared" si="97"/>
        <v>6</v>
      </c>
      <c r="R236" s="101">
        <v>3.5579999999999998</v>
      </c>
      <c r="S236" s="101">
        <f t="shared" si="102"/>
        <v>3.5579999999999998</v>
      </c>
      <c r="T236" s="101">
        <f t="shared" si="102"/>
        <v>3.5579999999999998</v>
      </c>
      <c r="U236" s="101">
        <f t="shared" si="102"/>
        <v>3.5579999999999998</v>
      </c>
      <c r="V236" s="101">
        <f t="shared" si="102"/>
        <v>3.5579999999999998</v>
      </c>
      <c r="W236" s="101">
        <f t="shared" si="102"/>
        <v>3.5579999999999998</v>
      </c>
      <c r="X236" s="101">
        <f t="shared" si="102"/>
        <v>3.5579999999999998</v>
      </c>
      <c r="Y236" s="101">
        <f t="shared" si="102"/>
        <v>3.5579999999999998</v>
      </c>
      <c r="Z236" s="101">
        <f t="shared" si="102"/>
        <v>3.5579999999999998</v>
      </c>
      <c r="AA236" s="101">
        <f t="shared" si="102"/>
        <v>3.5579999999999998</v>
      </c>
      <c r="AB236" s="101">
        <f t="shared" si="102"/>
        <v>2.3719999999999999</v>
      </c>
      <c r="AC236" s="101">
        <f t="shared" si="102"/>
        <v>1.1859999999999999</v>
      </c>
      <c r="AD236" s="101">
        <f t="shared" si="102"/>
        <v>0</v>
      </c>
      <c r="AE236" s="101">
        <f t="shared" si="102"/>
        <v>0</v>
      </c>
      <c r="AF236" s="101">
        <f t="shared" si="102"/>
        <v>0</v>
      </c>
      <c r="AG236" s="101">
        <f t="shared" si="102"/>
        <v>0</v>
      </c>
      <c r="AH236" s="101">
        <f t="shared" si="102"/>
        <v>0</v>
      </c>
      <c r="AI236" s="101">
        <f t="shared" si="99"/>
        <v>0</v>
      </c>
      <c r="AJ236" s="101">
        <f t="shared" si="99"/>
        <v>0</v>
      </c>
      <c r="AK236" s="101">
        <f t="shared" si="99"/>
        <v>0</v>
      </c>
      <c r="AL236" s="101">
        <f t="shared" si="99"/>
        <v>0</v>
      </c>
      <c r="AM236" s="101">
        <f t="shared" si="99"/>
        <v>0</v>
      </c>
      <c r="AN236" s="101">
        <f t="shared" si="99"/>
        <v>0</v>
      </c>
      <c r="AO236" s="101">
        <f t="shared" si="99"/>
        <v>0</v>
      </c>
      <c r="AP236" s="101">
        <f t="shared" si="99"/>
        <v>0</v>
      </c>
      <c r="AQ236" s="101">
        <f t="shared" si="99"/>
        <v>0</v>
      </c>
      <c r="AR236" s="101">
        <f t="shared" si="99"/>
        <v>0</v>
      </c>
      <c r="AS236" s="101">
        <f t="shared" si="99"/>
        <v>0</v>
      </c>
      <c r="AT236" s="101">
        <f t="shared" si="99"/>
        <v>0</v>
      </c>
      <c r="AU236" s="101">
        <f t="shared" si="99"/>
        <v>0</v>
      </c>
      <c r="AV236" s="101">
        <f t="shared" si="99"/>
        <v>0</v>
      </c>
      <c r="AW236" s="101">
        <f t="shared" si="99"/>
        <v>0</v>
      </c>
      <c r="AX236" s="101"/>
      <c r="AY236" s="101"/>
    </row>
    <row r="237" spans="3:51" x14ac:dyDescent="0.25">
      <c r="C237" s="62" t="str">
        <f t="shared" si="100"/>
        <v>Scenario C - last 3 yearsMAJUBA DRY</v>
      </c>
      <c r="D237" s="62" t="str">
        <f t="shared" si="103"/>
        <v>Scenario C - last 3 years</v>
      </c>
      <c r="E237" s="104" t="s">
        <v>147</v>
      </c>
      <c r="F237" s="101"/>
      <c r="G237" s="101" t="s">
        <v>197</v>
      </c>
      <c r="H237" s="62">
        <v>2029</v>
      </c>
      <c r="I237" s="62">
        <v>2029</v>
      </c>
      <c r="J237" s="62">
        <v>2030</v>
      </c>
      <c r="Q237" s="101">
        <f t="shared" si="97"/>
        <v>3</v>
      </c>
      <c r="R237" s="101">
        <v>1.8330000000000002</v>
      </c>
      <c r="S237" s="101">
        <f t="shared" si="102"/>
        <v>1.8330000000000002</v>
      </c>
      <c r="T237" s="101">
        <f t="shared" si="102"/>
        <v>1.8330000000000002</v>
      </c>
      <c r="U237" s="101">
        <f t="shared" si="102"/>
        <v>1.8330000000000002</v>
      </c>
      <c r="V237" s="101">
        <f t="shared" si="102"/>
        <v>1.8330000000000002</v>
      </c>
      <c r="W237" s="101">
        <f t="shared" si="102"/>
        <v>1.8330000000000002</v>
      </c>
      <c r="X237" s="101">
        <f t="shared" si="102"/>
        <v>1.8330000000000002</v>
      </c>
      <c r="Y237" s="101">
        <f t="shared" si="102"/>
        <v>1.8330000000000002</v>
      </c>
      <c r="Z237" s="101">
        <f t="shared" si="102"/>
        <v>1.8330000000000002</v>
      </c>
      <c r="AA237" s="101">
        <f t="shared" si="102"/>
        <v>1.8330000000000002</v>
      </c>
      <c r="AB237" s="101">
        <f t="shared" si="102"/>
        <v>0.61099999999999999</v>
      </c>
      <c r="AC237" s="101">
        <f t="shared" si="102"/>
        <v>0</v>
      </c>
      <c r="AD237" s="101">
        <f t="shared" si="102"/>
        <v>0</v>
      </c>
      <c r="AE237" s="101">
        <f t="shared" si="102"/>
        <v>0</v>
      </c>
      <c r="AF237" s="101">
        <f t="shared" si="102"/>
        <v>0</v>
      </c>
      <c r="AG237" s="101">
        <f t="shared" si="102"/>
        <v>0</v>
      </c>
      <c r="AH237" s="101">
        <f t="shared" si="102"/>
        <v>0</v>
      </c>
      <c r="AI237" s="101">
        <f t="shared" si="99"/>
        <v>0</v>
      </c>
      <c r="AJ237" s="101">
        <f t="shared" si="99"/>
        <v>0</v>
      </c>
      <c r="AK237" s="101">
        <f t="shared" si="99"/>
        <v>0</v>
      </c>
      <c r="AL237" s="101">
        <f t="shared" si="99"/>
        <v>0</v>
      </c>
      <c r="AM237" s="101">
        <f t="shared" si="99"/>
        <v>0</v>
      </c>
      <c r="AN237" s="101">
        <f t="shared" si="99"/>
        <v>0</v>
      </c>
      <c r="AO237" s="101">
        <f t="shared" si="99"/>
        <v>0</v>
      </c>
      <c r="AP237" s="101">
        <f t="shared" si="99"/>
        <v>0</v>
      </c>
      <c r="AQ237" s="101">
        <f t="shared" si="99"/>
        <v>0</v>
      </c>
      <c r="AR237" s="101">
        <f t="shared" si="99"/>
        <v>0</v>
      </c>
      <c r="AS237" s="101">
        <f t="shared" si="99"/>
        <v>0</v>
      </c>
      <c r="AT237" s="101">
        <f t="shared" si="99"/>
        <v>0</v>
      </c>
      <c r="AU237" s="101">
        <f t="shared" si="99"/>
        <v>0</v>
      </c>
      <c r="AV237" s="101">
        <f t="shared" si="99"/>
        <v>0</v>
      </c>
      <c r="AW237" s="101">
        <f t="shared" si="99"/>
        <v>0</v>
      </c>
      <c r="AX237" s="101"/>
      <c r="AY237" s="101"/>
    </row>
    <row r="238" spans="3:51" x14ac:dyDescent="0.25">
      <c r="C238" s="62" t="str">
        <f t="shared" si="100"/>
        <v>Scenario C - last 3 yearsMAJUBA WET</v>
      </c>
      <c r="D238" s="62" t="str">
        <f t="shared" si="103"/>
        <v>Scenario C - last 3 years</v>
      </c>
      <c r="E238" s="104" t="s">
        <v>145</v>
      </c>
      <c r="F238" s="101"/>
      <c r="G238" s="101"/>
      <c r="K238" s="62">
        <v>2030</v>
      </c>
      <c r="L238" s="62">
        <v>2031</v>
      </c>
      <c r="M238" s="62">
        <v>2031</v>
      </c>
      <c r="Q238" s="101">
        <f t="shared" si="97"/>
        <v>3</v>
      </c>
      <c r="R238" s="101">
        <v>2.0099999999999998</v>
      </c>
      <c r="S238" s="101">
        <f t="shared" si="102"/>
        <v>2.0099999999999998</v>
      </c>
      <c r="T238" s="101">
        <f t="shared" si="102"/>
        <v>2.0099999999999998</v>
      </c>
      <c r="U238" s="101">
        <f t="shared" si="102"/>
        <v>2.0099999999999998</v>
      </c>
      <c r="V238" s="101">
        <f t="shared" si="102"/>
        <v>2.0099999999999998</v>
      </c>
      <c r="W238" s="101">
        <f t="shared" si="102"/>
        <v>2.0099999999999998</v>
      </c>
      <c r="X238" s="101">
        <f t="shared" si="102"/>
        <v>2.0099999999999998</v>
      </c>
      <c r="Y238" s="101">
        <f t="shared" si="102"/>
        <v>2.0099999999999998</v>
      </c>
      <c r="Z238" s="101">
        <f t="shared" si="102"/>
        <v>2.0099999999999998</v>
      </c>
      <c r="AA238" s="101">
        <f t="shared" si="102"/>
        <v>2.0099999999999998</v>
      </c>
      <c r="AB238" s="101">
        <f t="shared" si="102"/>
        <v>2.0099999999999998</v>
      </c>
      <c r="AC238" s="101">
        <f t="shared" si="102"/>
        <v>1.3399999999999999</v>
      </c>
      <c r="AD238" s="101">
        <f t="shared" si="102"/>
        <v>0</v>
      </c>
      <c r="AE238" s="101">
        <f t="shared" si="102"/>
        <v>0</v>
      </c>
      <c r="AF238" s="101">
        <f t="shared" si="102"/>
        <v>0</v>
      </c>
      <c r="AG238" s="101">
        <f t="shared" si="102"/>
        <v>0</v>
      </c>
      <c r="AH238" s="101">
        <f t="shared" si="102"/>
        <v>0</v>
      </c>
      <c r="AI238" s="101">
        <f t="shared" si="99"/>
        <v>0</v>
      </c>
      <c r="AJ238" s="101">
        <f t="shared" si="99"/>
        <v>0</v>
      </c>
      <c r="AK238" s="101">
        <f t="shared" si="99"/>
        <v>0</v>
      </c>
      <c r="AL238" s="101">
        <f t="shared" si="99"/>
        <v>0</v>
      </c>
      <c r="AM238" s="101">
        <f t="shared" si="99"/>
        <v>0</v>
      </c>
      <c r="AN238" s="101">
        <f t="shared" si="99"/>
        <v>0</v>
      </c>
      <c r="AO238" s="101">
        <f t="shared" si="99"/>
        <v>0</v>
      </c>
      <c r="AP238" s="101">
        <f t="shared" si="99"/>
        <v>0</v>
      </c>
      <c r="AQ238" s="101">
        <f t="shared" si="99"/>
        <v>0</v>
      </c>
      <c r="AR238" s="101">
        <f t="shared" si="99"/>
        <v>0</v>
      </c>
      <c r="AS238" s="101">
        <f t="shared" si="99"/>
        <v>0</v>
      </c>
      <c r="AT238" s="101">
        <f t="shared" si="99"/>
        <v>0</v>
      </c>
      <c r="AU238" s="101">
        <f t="shared" si="99"/>
        <v>0</v>
      </c>
      <c r="AV238" s="101">
        <f t="shared" si="99"/>
        <v>0</v>
      </c>
      <c r="AW238" s="101">
        <f t="shared" si="99"/>
        <v>0</v>
      </c>
      <c r="AX238" s="101"/>
      <c r="AY238" s="101"/>
    </row>
    <row r="239" spans="3:51" x14ac:dyDescent="0.25">
      <c r="C239" s="62" t="str">
        <f t="shared" si="100"/>
        <v>Scenario C - last 3 yearsMATIMBA</v>
      </c>
      <c r="D239" s="62" t="str">
        <f t="shared" si="103"/>
        <v>Scenario C - last 3 years</v>
      </c>
      <c r="E239" s="104" t="s">
        <v>143</v>
      </c>
      <c r="F239" s="101"/>
      <c r="G239" s="101" t="s">
        <v>204</v>
      </c>
      <c r="H239" s="62">
        <v>2029</v>
      </c>
      <c r="I239" s="62">
        <v>2029</v>
      </c>
      <c r="J239" s="62">
        <v>2030</v>
      </c>
      <c r="K239" s="62">
        <v>2030</v>
      </c>
      <c r="L239" s="62">
        <v>2031</v>
      </c>
      <c r="M239" s="62">
        <v>2031</v>
      </c>
      <c r="Q239" s="101">
        <f t="shared" si="97"/>
        <v>6</v>
      </c>
      <c r="R239" s="101">
        <v>3.69</v>
      </c>
      <c r="S239" s="101">
        <f t="shared" si="102"/>
        <v>3.69</v>
      </c>
      <c r="T239" s="101">
        <f t="shared" si="102"/>
        <v>3.69</v>
      </c>
      <c r="U239" s="101">
        <f t="shared" si="102"/>
        <v>3.69</v>
      </c>
      <c r="V239" s="101">
        <f t="shared" si="102"/>
        <v>3.69</v>
      </c>
      <c r="W239" s="101">
        <f t="shared" si="102"/>
        <v>3.69</v>
      </c>
      <c r="X239" s="101">
        <f t="shared" si="102"/>
        <v>3.69</v>
      </c>
      <c r="Y239" s="101">
        <f t="shared" si="102"/>
        <v>3.69</v>
      </c>
      <c r="Z239" s="101">
        <f t="shared" si="102"/>
        <v>3.69</v>
      </c>
      <c r="AA239" s="101">
        <f t="shared" si="102"/>
        <v>3.69</v>
      </c>
      <c r="AB239" s="101">
        <f t="shared" si="102"/>
        <v>2.46</v>
      </c>
      <c r="AC239" s="101">
        <f t="shared" si="102"/>
        <v>1.23</v>
      </c>
      <c r="AD239" s="101">
        <f t="shared" si="102"/>
        <v>0</v>
      </c>
      <c r="AE239" s="101">
        <f t="shared" si="102"/>
        <v>0</v>
      </c>
      <c r="AF239" s="101">
        <f t="shared" si="102"/>
        <v>0</v>
      </c>
      <c r="AG239" s="101">
        <f t="shared" si="102"/>
        <v>0</v>
      </c>
      <c r="AH239" s="101">
        <f t="shared" si="102"/>
        <v>0</v>
      </c>
      <c r="AI239" s="101">
        <f t="shared" si="99"/>
        <v>0</v>
      </c>
      <c r="AJ239" s="101">
        <f t="shared" si="99"/>
        <v>0</v>
      </c>
      <c r="AK239" s="101">
        <f t="shared" si="99"/>
        <v>0</v>
      </c>
      <c r="AL239" s="101">
        <f t="shared" si="99"/>
        <v>0</v>
      </c>
      <c r="AM239" s="101">
        <f t="shared" si="99"/>
        <v>0</v>
      </c>
      <c r="AN239" s="101">
        <f t="shared" si="99"/>
        <v>0</v>
      </c>
      <c r="AO239" s="101">
        <f t="shared" si="99"/>
        <v>0</v>
      </c>
      <c r="AP239" s="101">
        <f t="shared" si="99"/>
        <v>0</v>
      </c>
      <c r="AQ239" s="101">
        <f t="shared" si="99"/>
        <v>0</v>
      </c>
      <c r="AR239" s="101">
        <f t="shared" si="99"/>
        <v>0</v>
      </c>
      <c r="AS239" s="101">
        <f t="shared" si="99"/>
        <v>0</v>
      </c>
      <c r="AT239" s="101">
        <f t="shared" si="99"/>
        <v>0</v>
      </c>
      <c r="AU239" s="101">
        <f t="shared" si="99"/>
        <v>0</v>
      </c>
      <c r="AV239" s="101">
        <f t="shared" si="99"/>
        <v>0</v>
      </c>
      <c r="AW239" s="101">
        <f t="shared" si="99"/>
        <v>0</v>
      </c>
      <c r="AX239" s="101"/>
      <c r="AY239" s="101"/>
    </row>
    <row r="240" spans="3:51" x14ac:dyDescent="0.25">
      <c r="C240" s="62" t="str">
        <f t="shared" si="100"/>
        <v>Scenario C - last 3 yearsMATLA</v>
      </c>
      <c r="D240" s="62" t="str">
        <f t="shared" si="103"/>
        <v>Scenario C - last 3 years</v>
      </c>
      <c r="E240" s="103" t="s">
        <v>141</v>
      </c>
      <c r="F240" s="101"/>
      <c r="G240" s="101" t="s">
        <v>200</v>
      </c>
      <c r="H240" s="62">
        <v>2029</v>
      </c>
      <c r="I240" s="62">
        <v>2029</v>
      </c>
      <c r="J240" s="62">
        <v>2030</v>
      </c>
      <c r="K240" s="62">
        <v>2030</v>
      </c>
      <c r="L240" s="62">
        <v>2031</v>
      </c>
      <c r="M240" s="62">
        <v>2031</v>
      </c>
      <c r="Q240" s="101">
        <f t="shared" si="97"/>
        <v>6</v>
      </c>
      <c r="R240" s="101">
        <v>3.45</v>
      </c>
      <c r="S240" s="101">
        <f t="shared" si="102"/>
        <v>3.45</v>
      </c>
      <c r="T240" s="101">
        <f t="shared" si="102"/>
        <v>3.45</v>
      </c>
      <c r="U240" s="101">
        <f t="shared" si="102"/>
        <v>3.45</v>
      </c>
      <c r="V240" s="101">
        <f t="shared" si="102"/>
        <v>3.45</v>
      </c>
      <c r="W240" s="101">
        <f t="shared" si="102"/>
        <v>3.45</v>
      </c>
      <c r="X240" s="101">
        <f t="shared" si="102"/>
        <v>3.45</v>
      </c>
      <c r="Y240" s="101">
        <f t="shared" si="102"/>
        <v>3.45</v>
      </c>
      <c r="Z240" s="101">
        <f t="shared" si="102"/>
        <v>3.45</v>
      </c>
      <c r="AA240" s="101">
        <f t="shared" si="102"/>
        <v>3.45</v>
      </c>
      <c r="AB240" s="101">
        <f t="shared" si="102"/>
        <v>2.2999999999999998</v>
      </c>
      <c r="AC240" s="101">
        <f t="shared" si="102"/>
        <v>1.1499999999999997</v>
      </c>
      <c r="AD240" s="101">
        <f t="shared" si="102"/>
        <v>0</v>
      </c>
      <c r="AE240" s="101">
        <f t="shared" si="102"/>
        <v>0</v>
      </c>
      <c r="AF240" s="101">
        <f t="shared" si="102"/>
        <v>0</v>
      </c>
      <c r="AG240" s="101">
        <f t="shared" si="102"/>
        <v>0</v>
      </c>
      <c r="AH240" s="101">
        <f t="shared" si="102"/>
        <v>0</v>
      </c>
      <c r="AI240" s="101">
        <f t="shared" si="99"/>
        <v>0</v>
      </c>
      <c r="AJ240" s="101">
        <f t="shared" si="99"/>
        <v>0</v>
      </c>
      <c r="AK240" s="101">
        <f t="shared" si="99"/>
        <v>0</v>
      </c>
      <c r="AL240" s="101">
        <f t="shared" si="99"/>
        <v>0</v>
      </c>
      <c r="AM240" s="101">
        <f t="shared" si="99"/>
        <v>0</v>
      </c>
      <c r="AN240" s="101">
        <f t="shared" si="99"/>
        <v>0</v>
      </c>
      <c r="AO240" s="101">
        <f t="shared" si="99"/>
        <v>0</v>
      </c>
      <c r="AP240" s="101">
        <f t="shared" si="99"/>
        <v>0</v>
      </c>
      <c r="AQ240" s="101">
        <f t="shared" si="99"/>
        <v>0</v>
      </c>
      <c r="AR240" s="101">
        <f t="shared" si="99"/>
        <v>0</v>
      </c>
      <c r="AS240" s="101">
        <f t="shared" si="99"/>
        <v>0</v>
      </c>
      <c r="AT240" s="101">
        <f t="shared" si="99"/>
        <v>0</v>
      </c>
      <c r="AU240" s="101">
        <f t="shared" si="99"/>
        <v>0</v>
      </c>
      <c r="AV240" s="101">
        <f t="shared" si="99"/>
        <v>0</v>
      </c>
      <c r="AW240" s="101">
        <f t="shared" si="99"/>
        <v>0</v>
      </c>
      <c r="AX240" s="101"/>
      <c r="AY240" s="101"/>
    </row>
    <row r="241" spans="3:51" x14ac:dyDescent="0.25">
      <c r="C241" s="62" t="str">
        <f t="shared" si="100"/>
        <v>Scenario C - last 3 yearsTUTUKA</v>
      </c>
      <c r="D241" s="62" t="str">
        <f t="shared" si="103"/>
        <v>Scenario C - last 3 years</v>
      </c>
      <c r="E241" s="103" t="s">
        <v>139</v>
      </c>
      <c r="F241" s="101"/>
      <c r="G241" s="101" t="s">
        <v>202</v>
      </c>
      <c r="H241" s="62">
        <v>2029</v>
      </c>
      <c r="I241" s="62">
        <v>2029</v>
      </c>
      <c r="J241" s="62">
        <v>2030</v>
      </c>
      <c r="K241" s="62">
        <v>2030</v>
      </c>
      <c r="L241" s="62">
        <v>2031</v>
      </c>
      <c r="M241" s="62">
        <v>2031</v>
      </c>
      <c r="Q241" s="101">
        <f t="shared" si="97"/>
        <v>6</v>
      </c>
      <c r="R241" s="101">
        <v>3.51</v>
      </c>
      <c r="S241" s="101">
        <f t="shared" si="102"/>
        <v>3.51</v>
      </c>
      <c r="T241" s="101">
        <f t="shared" si="102"/>
        <v>3.51</v>
      </c>
      <c r="U241" s="101">
        <f t="shared" si="102"/>
        <v>3.51</v>
      </c>
      <c r="V241" s="101">
        <f t="shared" si="102"/>
        <v>3.51</v>
      </c>
      <c r="W241" s="101">
        <f t="shared" si="102"/>
        <v>3.51</v>
      </c>
      <c r="X241" s="101">
        <f t="shared" si="102"/>
        <v>3.51</v>
      </c>
      <c r="Y241" s="101">
        <f t="shared" si="102"/>
        <v>3.51</v>
      </c>
      <c r="Z241" s="101">
        <f t="shared" si="102"/>
        <v>3.51</v>
      </c>
      <c r="AA241" s="101">
        <f t="shared" si="102"/>
        <v>3.51</v>
      </c>
      <c r="AB241" s="101">
        <f t="shared" si="102"/>
        <v>2.34</v>
      </c>
      <c r="AC241" s="101">
        <f t="shared" si="102"/>
        <v>1.17</v>
      </c>
      <c r="AD241" s="101">
        <f t="shared" si="102"/>
        <v>0</v>
      </c>
      <c r="AE241" s="101">
        <f t="shared" si="102"/>
        <v>0</v>
      </c>
      <c r="AF241" s="101">
        <f t="shared" si="102"/>
        <v>0</v>
      </c>
      <c r="AG241" s="101">
        <f t="shared" si="102"/>
        <v>0</v>
      </c>
      <c r="AH241" s="101">
        <f t="shared" si="102"/>
        <v>0</v>
      </c>
      <c r="AI241" s="101">
        <f t="shared" si="99"/>
        <v>0</v>
      </c>
      <c r="AJ241" s="101">
        <f t="shared" si="99"/>
        <v>0</v>
      </c>
      <c r="AK241" s="101">
        <f t="shared" si="99"/>
        <v>0</v>
      </c>
      <c r="AL241" s="101">
        <f t="shared" si="99"/>
        <v>0</v>
      </c>
      <c r="AM241" s="101">
        <f t="shared" si="99"/>
        <v>0</v>
      </c>
      <c r="AN241" s="101">
        <f t="shared" si="99"/>
        <v>0</v>
      </c>
      <c r="AO241" s="101">
        <f t="shared" si="99"/>
        <v>0</v>
      </c>
      <c r="AP241" s="101">
        <f t="shared" si="99"/>
        <v>0</v>
      </c>
      <c r="AQ241" s="101">
        <f t="shared" si="99"/>
        <v>0</v>
      </c>
      <c r="AR241" s="101">
        <f t="shared" si="99"/>
        <v>0</v>
      </c>
      <c r="AS241" s="101">
        <f t="shared" si="99"/>
        <v>0</v>
      </c>
      <c r="AT241" s="101">
        <f t="shared" si="99"/>
        <v>0</v>
      </c>
      <c r="AU241" s="101">
        <f t="shared" si="99"/>
        <v>0</v>
      </c>
      <c r="AV241" s="101">
        <f t="shared" si="99"/>
        <v>0</v>
      </c>
      <c r="AW241" s="101">
        <f t="shared" si="99"/>
        <v>0</v>
      </c>
      <c r="AX241" s="101"/>
      <c r="AY241" s="101"/>
    </row>
  </sheetData>
  <conditionalFormatting sqref="H57:Q70">
    <cfRule type="cellIs" dxfId="0" priority="1" operator="equal">
      <formula>2020</formula>
    </cfRule>
  </conditionalFormatting>
  <dataValidations count="2">
    <dataValidation type="list" allowBlank="1" showInputMessage="1" showErrorMessage="1" sqref="B17" xr:uid="{78905A7F-A5EA-49A2-BDE7-900CF14AD6A7}">
      <formula1>$B$14:$B$16</formula1>
    </dataValidation>
    <dataValidation type="list" allowBlank="1" showInputMessage="1" showErrorMessage="1" sqref="B18" xr:uid="{93CCF7AF-369B-4F3C-B823-646FCF035305}">
      <formula1>$E$10:$H$10</formula1>
    </dataValidation>
  </dataValidation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EC8D4-E378-4942-B290-7B7EF0C5B32E}">
  <sheetPr codeName="Sheet26">
    <tabColor theme="5" tint="-0.249977111117893"/>
  </sheetPr>
  <dimension ref="A1:AC33"/>
  <sheetViews>
    <sheetView topLeftCell="F1" workbookViewId="0">
      <selection activeCell="W9" sqref="W9"/>
    </sheetView>
    <sheetView workbookViewId="1"/>
  </sheetViews>
  <sheetFormatPr defaultColWidth="13.140625" defaultRowHeight="12.75" x14ac:dyDescent="0.2"/>
  <cols>
    <col min="1" max="1" width="14.7109375" style="38" customWidth="1"/>
    <col min="2" max="2" width="8" style="38" customWidth="1"/>
    <col min="3" max="21" width="6.28515625" style="38" customWidth="1"/>
    <col min="22" max="22" width="8" style="38" customWidth="1"/>
    <col min="23" max="23" width="7.5703125" style="38" customWidth="1"/>
    <col min="24" max="24" width="8.42578125" style="38" customWidth="1"/>
    <col min="25" max="25" width="8.5703125" style="38" customWidth="1"/>
    <col min="26" max="16384" width="13.140625" style="38"/>
  </cols>
  <sheetData>
    <row r="1" spans="1:29" ht="15.75" customHeight="1" x14ac:dyDescent="0.2">
      <c r="A1" s="67" t="s">
        <v>215</v>
      </c>
      <c r="B1" s="67">
        <v>1996</v>
      </c>
      <c r="C1" s="67">
        <v>1997</v>
      </c>
      <c r="D1" s="67">
        <v>1998</v>
      </c>
      <c r="E1" s="67">
        <v>1999</v>
      </c>
      <c r="F1" s="67">
        <v>2000</v>
      </c>
      <c r="G1" s="67">
        <v>2001</v>
      </c>
      <c r="H1" s="67">
        <v>2002</v>
      </c>
      <c r="I1" s="67">
        <v>2003</v>
      </c>
      <c r="J1" s="67">
        <v>2004</v>
      </c>
      <c r="K1" s="67">
        <v>2005</v>
      </c>
      <c r="L1" s="67">
        <v>2006</v>
      </c>
      <c r="M1" s="67">
        <v>2007</v>
      </c>
      <c r="N1" s="67">
        <v>2008</v>
      </c>
      <c r="O1" s="67">
        <v>2009</v>
      </c>
      <c r="P1" s="67">
        <v>2010</v>
      </c>
      <c r="Q1" s="67">
        <v>2011</v>
      </c>
      <c r="R1" s="67">
        <v>2012</v>
      </c>
      <c r="S1" s="67">
        <v>2013</v>
      </c>
      <c r="T1" s="67">
        <v>2014</v>
      </c>
      <c r="U1" s="67">
        <v>2015</v>
      </c>
      <c r="V1" s="67">
        <v>2016</v>
      </c>
      <c r="W1" s="84">
        <v>2017</v>
      </c>
      <c r="X1" s="84">
        <v>2018</v>
      </c>
      <c r="Y1" s="84">
        <v>2019</v>
      </c>
      <c r="Z1" s="38">
        <v>2020</v>
      </c>
      <c r="AA1" s="38">
        <v>2021</v>
      </c>
      <c r="AC1" s="51" t="s">
        <v>230</v>
      </c>
    </row>
    <row r="2" spans="1:29" ht="15.75" customHeight="1" x14ac:dyDescent="0.2">
      <c r="A2" s="66" t="s">
        <v>214</v>
      </c>
      <c r="B2" s="65">
        <v>7.9057626177225204</v>
      </c>
      <c r="C2" s="65">
        <v>7.9871533674518798</v>
      </c>
      <c r="D2" s="65">
        <v>7.7873391569621004</v>
      </c>
      <c r="E2" s="65">
        <v>7.0278247472558499</v>
      </c>
      <c r="F2" s="65">
        <v>8.7963222595021993</v>
      </c>
      <c r="G2" s="65">
        <v>7.6417362147513304</v>
      </c>
      <c r="H2" s="65">
        <v>12.205405688193901</v>
      </c>
      <c r="I2" s="65">
        <v>5.7936025975283902</v>
      </c>
      <c r="J2" s="65">
        <v>6.5271139772024496</v>
      </c>
      <c r="K2" s="65">
        <v>5.4490666230227598</v>
      </c>
      <c r="L2" s="65">
        <v>6.2741537708994999</v>
      </c>
      <c r="M2" s="65">
        <v>8.8492898126298094</v>
      </c>
      <c r="N2" s="65">
        <v>8.8315688644124695</v>
      </c>
      <c r="O2" s="65">
        <v>7.5045113457487203</v>
      </c>
      <c r="P2" s="65">
        <v>6.3510267905241404</v>
      </c>
      <c r="Q2" s="65">
        <v>6.6517827868979502</v>
      </c>
      <c r="R2" s="65">
        <v>5.5122264718124399</v>
      </c>
      <c r="S2" s="65">
        <v>5.9856351455896997</v>
      </c>
      <c r="T2" s="65">
        <v>5.79552879780148</v>
      </c>
      <c r="U2" s="65">
        <v>4.5454545454545414</v>
      </c>
      <c r="V2" s="65">
        <v>6.3405797101449224</v>
      </c>
      <c r="W2" s="83">
        <v>5.2725724020443065</v>
      </c>
      <c r="X2" s="83">
        <v>4.6201148960271832</v>
      </c>
      <c r="Y2" s="83">
        <v>4.1299303944315469</v>
      </c>
    </row>
    <row r="3" spans="1:29" ht="15.75" customHeight="1" x14ac:dyDescent="0.2">
      <c r="A3" s="82">
        <f>B12</f>
        <v>2015</v>
      </c>
      <c r="B3" s="69">
        <f t="shared" ref="B3:T3" si="0">IF(B1=$A$3,1,IF(B1&lt;$A3,C3/(1+C2/100),A3*(B2/100+1)))</f>
        <v>0.27072325050979379</v>
      </c>
      <c r="C3" s="69">
        <f t="shared" si="0"/>
        <v>0.29234633172936197</v>
      </c>
      <c r="D3" s="69">
        <f t="shared" si="0"/>
        <v>0.31511233209406492</v>
      </c>
      <c r="E3" s="69">
        <f t="shared" si="0"/>
        <v>0.33725787455062667</v>
      </c>
      <c r="F3" s="69">
        <f t="shared" si="0"/>
        <v>0.36692416404164746</v>
      </c>
      <c r="G3" s="69">
        <f t="shared" si="0"/>
        <v>0.39496354076589157</v>
      </c>
      <c r="H3" s="69">
        <f t="shared" si="0"/>
        <v>0.44317044323682375</v>
      </c>
      <c r="I3" s="69">
        <f t="shared" si="0"/>
        <v>0.46884597754767043</v>
      </c>
      <c r="J3" s="69">
        <f t="shared" si="0"/>
        <v>0.49944808887973591</v>
      </c>
      <c r="K3" s="69">
        <f t="shared" si="0"/>
        <v>0.52666334799020664</v>
      </c>
      <c r="L3" s="69">
        <f t="shared" si="0"/>
        <v>0.55970701629807973</v>
      </c>
      <c r="M3" s="69">
        <f t="shared" si="0"/>
        <v>0.6092371122719199</v>
      </c>
      <c r="N3" s="69">
        <f t="shared" si="0"/>
        <v>0.66304230738977243</v>
      </c>
      <c r="O3" s="69">
        <f t="shared" si="0"/>
        <v>0.71280039257495198</v>
      </c>
      <c r="P3" s="69">
        <f t="shared" si="0"/>
        <v>0.7580705364703485</v>
      </c>
      <c r="Q3" s="69">
        <f t="shared" si="0"/>
        <v>0.80849574192782814</v>
      </c>
      <c r="R3" s="69">
        <f t="shared" si="0"/>
        <v>0.8530618582378503</v>
      </c>
      <c r="S3" s="69">
        <f t="shared" si="0"/>
        <v>0.90412302863815563</v>
      </c>
      <c r="T3" s="69">
        <f t="shared" si="0"/>
        <v>0.95652173913043481</v>
      </c>
      <c r="U3" s="69">
        <f>IF(U1=$A$3,1,IF(U1&lt;$A3,#REF!/(1+#REF!/100),T3*(U2/100+1)))</f>
        <v>1</v>
      </c>
      <c r="V3" s="69">
        <f>IF(V1=$A$3,1,IF(V1&lt;$A3,#REF!/(1+#REF!/100),U3*(V2/100+1)))</f>
        <v>1.0634057971014492</v>
      </c>
      <c r="W3" s="81">
        <f>IF(W1=$A$3,1,IF(W1&lt;$A3,#REF!/(1+#REF!/100),V3*(W2/100+1)))</f>
        <v>1.1194746376811595</v>
      </c>
      <c r="X3" s="81">
        <f>IF(X1=$A$3,1,IF(X1&lt;$A3,#REF!/(1+#REF!/100),W3*(X2/100+1)))</f>
        <v>1.1711956521739131</v>
      </c>
      <c r="Y3" s="81">
        <f>IF(Y1=$A$3,1,IF(Y1&lt;$A3,#REF!/(1+#REF!/100),X3*(Y2/100+1)))</f>
        <v>1.2195652173913043</v>
      </c>
      <c r="Z3" s="88">
        <f>1/Z4</f>
        <v>1.2594458438287153</v>
      </c>
      <c r="AA3" s="89">
        <f>1/AA4</f>
        <v>1.3020833333333333</v>
      </c>
    </row>
    <row r="4" spans="1:29" ht="15.75" customHeight="1" x14ac:dyDescent="0.2">
      <c r="A4" s="80" t="s">
        <v>217</v>
      </c>
      <c r="B4" s="79">
        <f t="shared" ref="B4:Y4" si="1">1/B3</f>
        <v>3.6938090766748668</v>
      </c>
      <c r="C4" s="79">
        <f t="shared" si="1"/>
        <v>3.4206004709706588</v>
      </c>
      <c r="D4" s="79">
        <f t="shared" si="1"/>
        <v>3.1734714835009621</v>
      </c>
      <c r="E4" s="79">
        <f t="shared" si="1"/>
        <v>2.9650901445442375</v>
      </c>
      <c r="F4" s="79">
        <f t="shared" si="1"/>
        <v>2.7253588016255472</v>
      </c>
      <c r="G4" s="79">
        <f t="shared" si="1"/>
        <v>2.5318792667820809</v>
      </c>
      <c r="H4" s="79">
        <f t="shared" si="1"/>
        <v>2.2564681721466129</v>
      </c>
      <c r="I4" s="79">
        <f t="shared" si="1"/>
        <v>2.1328966182680409</v>
      </c>
      <c r="J4" s="79">
        <f t="shared" si="1"/>
        <v>2.0022100840209522</v>
      </c>
      <c r="K4" s="79">
        <f t="shared" si="1"/>
        <v>1.8987461417546663</v>
      </c>
      <c r="L4" s="79">
        <f t="shared" si="1"/>
        <v>1.7866490340143175</v>
      </c>
      <c r="M4" s="79">
        <f t="shared" si="1"/>
        <v>1.6413970519144465</v>
      </c>
      <c r="N4" s="79">
        <f t="shared" si="1"/>
        <v>1.5081993846467259</v>
      </c>
      <c r="O4" s="79">
        <f t="shared" si="1"/>
        <v>1.4029172969273422</v>
      </c>
      <c r="P4" s="79">
        <f t="shared" si="1"/>
        <v>1.3191384599328964</v>
      </c>
      <c r="Q4" s="79">
        <f t="shared" si="1"/>
        <v>1.2368648938280578</v>
      </c>
      <c r="R4" s="79">
        <f t="shared" si="1"/>
        <v>1.1722479329525719</v>
      </c>
      <c r="S4" s="79">
        <f t="shared" si="1"/>
        <v>1.106044164704288</v>
      </c>
      <c r="T4" s="79">
        <f t="shared" si="1"/>
        <v>1.0454545454545454</v>
      </c>
      <c r="U4" s="78">
        <f t="shared" si="1"/>
        <v>1</v>
      </c>
      <c r="V4" s="78">
        <f t="shared" si="1"/>
        <v>0.94037478705281097</v>
      </c>
      <c r="W4" s="77">
        <f t="shared" si="1"/>
        <v>0.89327615502872393</v>
      </c>
      <c r="X4" s="77">
        <f t="shared" si="1"/>
        <v>0.85382830626450112</v>
      </c>
      <c r="Y4" s="77">
        <f t="shared" si="1"/>
        <v>0.81996434937611407</v>
      </c>
      <c r="Z4" s="38">
        <v>0.79400000000000004</v>
      </c>
      <c r="AA4" s="38">
        <v>0.76800000000000002</v>
      </c>
    </row>
    <row r="5" spans="1:29" x14ac:dyDescent="0.2">
      <c r="A5" s="38" t="s">
        <v>229</v>
      </c>
    </row>
    <row r="6" spans="1:29" x14ac:dyDescent="0.2">
      <c r="A6" s="76" t="s">
        <v>228</v>
      </c>
    </row>
    <row r="7" spans="1:29" x14ac:dyDescent="0.2">
      <c r="A7" s="38" t="s">
        <v>227</v>
      </c>
    </row>
    <row r="9" spans="1:29" x14ac:dyDescent="0.2">
      <c r="A9" s="38" t="s">
        <v>226</v>
      </c>
      <c r="W9" s="38">
        <v>17.7</v>
      </c>
      <c r="X9" s="38">
        <f>W9*Z3/W3</f>
        <v>19.913083052907322</v>
      </c>
    </row>
    <row r="10" spans="1:29" ht="15" x14ac:dyDescent="0.25">
      <c r="B10" s="75">
        <v>2016</v>
      </c>
      <c r="C10" s="38" t="s">
        <v>224</v>
      </c>
      <c r="X10" s="38">
        <f>X9*1.3</f>
        <v>25.887007968779518</v>
      </c>
    </row>
    <row r="11" spans="1:29" x14ac:dyDescent="0.2">
      <c r="A11" s="38" t="s">
        <v>225</v>
      </c>
    </row>
    <row r="12" spans="1:29" ht="15" x14ac:dyDescent="0.25">
      <c r="B12" s="74">
        <v>2015</v>
      </c>
      <c r="C12" s="38" t="s">
        <v>224</v>
      </c>
    </row>
    <row r="13" spans="1:29" x14ac:dyDescent="0.2">
      <c r="A13" s="38" t="s">
        <v>223</v>
      </c>
    </row>
    <row r="14" spans="1:29" ht="15" x14ac:dyDescent="0.25">
      <c r="A14" s="38" t="s">
        <v>222</v>
      </c>
      <c r="B14" s="73">
        <f>1/B15</f>
        <v>0.94037478705281097</v>
      </c>
    </row>
    <row r="15" spans="1:29" ht="15" x14ac:dyDescent="0.25">
      <c r="A15" s="38" t="s">
        <v>221</v>
      </c>
      <c r="B15" s="72">
        <f>SUMIF($B$1:$Y$1,B10,$B$3:$Y$3)</f>
        <v>1.0634057971014492</v>
      </c>
    </row>
    <row r="17" spans="1:27" x14ac:dyDescent="0.2">
      <c r="A17" s="38" t="s">
        <v>220</v>
      </c>
    </row>
    <row r="18" spans="1:27" ht="15.75" customHeight="1" x14ac:dyDescent="0.2">
      <c r="A18" s="67" t="s">
        <v>215</v>
      </c>
      <c r="B18" s="67">
        <v>1996</v>
      </c>
      <c r="C18" s="67">
        <v>1997</v>
      </c>
      <c r="D18" s="67">
        <v>1998</v>
      </c>
      <c r="E18" s="67">
        <v>1999</v>
      </c>
      <c r="F18" s="67">
        <v>2000</v>
      </c>
      <c r="G18" s="67">
        <v>2001</v>
      </c>
      <c r="H18" s="67">
        <v>2002</v>
      </c>
      <c r="I18" s="67">
        <v>2003</v>
      </c>
      <c r="J18" s="67">
        <v>2004</v>
      </c>
      <c r="K18" s="67">
        <v>2005</v>
      </c>
      <c r="L18" s="67">
        <v>2006</v>
      </c>
      <c r="M18" s="67">
        <v>2007</v>
      </c>
      <c r="N18" s="67">
        <v>2008</v>
      </c>
      <c r="O18" s="67">
        <v>2009</v>
      </c>
      <c r="P18" s="67">
        <v>2010</v>
      </c>
      <c r="Q18" s="67">
        <v>2011</v>
      </c>
      <c r="R18" s="67">
        <v>2012</v>
      </c>
      <c r="S18" s="67">
        <v>2013</v>
      </c>
      <c r="T18" s="67">
        <v>2014</v>
      </c>
      <c r="U18" s="67">
        <v>2015</v>
      </c>
      <c r="AA18" s="38">
        <f>6.5*1.22</f>
        <v>7.93</v>
      </c>
    </row>
    <row r="19" spans="1:27" ht="15.75" customHeight="1" x14ac:dyDescent="0.2">
      <c r="A19" s="66" t="s">
        <v>219</v>
      </c>
      <c r="B19" s="65">
        <v>1.8255534310941799</v>
      </c>
      <c r="C19" s="65">
        <v>1.71150364527261</v>
      </c>
      <c r="D19" s="65">
        <v>1.0852561994729899</v>
      </c>
      <c r="E19" s="65">
        <v>1.5303218850354201</v>
      </c>
      <c r="F19" s="65">
        <v>2.27551980515122</v>
      </c>
      <c r="G19" s="65">
        <v>2.2789008870265399</v>
      </c>
      <c r="H19" s="65">
        <v>1.53512459242262</v>
      </c>
      <c r="I19" s="65">
        <v>1.99405626315642</v>
      </c>
      <c r="J19" s="65">
        <v>2.7497211590168402</v>
      </c>
      <c r="K19" s="65">
        <v>3.21763824985275</v>
      </c>
      <c r="L19" s="65">
        <v>3.0722666250241302</v>
      </c>
      <c r="M19" s="65">
        <v>2.6613363935771299</v>
      </c>
      <c r="N19" s="65">
        <v>1.9616123833010599</v>
      </c>
      <c r="O19" s="65">
        <v>0.759434764489896</v>
      </c>
      <c r="P19" s="65">
        <v>1.22134939747505</v>
      </c>
      <c r="Q19" s="65">
        <v>2.0646274665789002</v>
      </c>
      <c r="R19" s="65">
        <v>1.84205148309647</v>
      </c>
      <c r="S19" s="65">
        <v>1.63009401037573</v>
      </c>
      <c r="T19" s="65">
        <v>1.6426578036589901</v>
      </c>
      <c r="U19" s="65">
        <v>1.0021165735553299</v>
      </c>
      <c r="AA19" s="38">
        <f>9.1/1.12</f>
        <v>8.1249999999999982</v>
      </c>
    </row>
    <row r="20" spans="1:27" x14ac:dyDescent="0.2">
      <c r="A20" s="70">
        <v>2010</v>
      </c>
      <c r="B20" s="69">
        <f t="shared" ref="B20:T20" si="2">IF(B18=$A$20,1,IF(B18&lt;$A20,C20/(1+C19/100),A20*(B19/100+1)))</f>
        <v>0.75773889271266437</v>
      </c>
      <c r="C20" s="69">
        <f t="shared" si="2"/>
        <v>0.77070762148309002</v>
      </c>
      <c r="D20" s="69">
        <f t="shared" si="2"/>
        <v>0.7790717737250461</v>
      </c>
      <c r="E20" s="69">
        <f t="shared" si="2"/>
        <v>0.7909940795784941</v>
      </c>
      <c r="F20" s="69">
        <f t="shared" si="2"/>
        <v>0.80899330651687629</v>
      </c>
      <c r="G20" s="69">
        <f t="shared" si="2"/>
        <v>0.82742946215507474</v>
      </c>
      <c r="H20" s="69">
        <f t="shared" si="2"/>
        <v>0.84013153531356755</v>
      </c>
      <c r="I20" s="69">
        <f t="shared" si="2"/>
        <v>0.85688423081223997</v>
      </c>
      <c r="J20" s="69">
        <f t="shared" si="2"/>
        <v>0.88044615781516278</v>
      </c>
      <c r="K20" s="69">
        <f t="shared" si="2"/>
        <v>0.90877573015838231</v>
      </c>
      <c r="L20" s="69">
        <f t="shared" si="2"/>
        <v>0.93669574361235763</v>
      </c>
      <c r="M20" s="69">
        <f t="shared" si="2"/>
        <v>0.96162436833420117</v>
      </c>
      <c r="N20" s="69">
        <f t="shared" si="2"/>
        <v>0.98048771102428545</v>
      </c>
      <c r="O20" s="69">
        <f t="shared" si="2"/>
        <v>0.9879338755633551</v>
      </c>
      <c r="P20" s="69">
        <f t="shared" si="2"/>
        <v>1</v>
      </c>
      <c r="Q20" s="71">
        <f t="shared" si="2"/>
        <v>1.0206462746657889</v>
      </c>
      <c r="R20" s="69">
        <f t="shared" si="2"/>
        <v>1.039447104505439</v>
      </c>
      <c r="S20" s="69">
        <f t="shared" si="2"/>
        <v>1.056391069497006</v>
      </c>
      <c r="T20" s="69">
        <f t="shared" si="2"/>
        <v>1.0737439598372553</v>
      </c>
      <c r="U20" s="69">
        <f>IF(U18=$A$20,1,IF(U18&lt;$A20,#REF!/(1+#REF!/100),T20*(U19/100+1)))</f>
        <v>1.0845041260163337</v>
      </c>
    </row>
    <row r="21" spans="1:27" x14ac:dyDescent="0.2">
      <c r="A21" s="70" t="s">
        <v>217</v>
      </c>
      <c r="B21" s="69">
        <f t="shared" ref="B21:U21" si="3">1/B20</f>
        <v>1.3197158145334917</v>
      </c>
      <c r="C21" s="69">
        <f t="shared" si="3"/>
        <v>1.2975089023716639</v>
      </c>
      <c r="D21" s="69">
        <f t="shared" si="3"/>
        <v>1.2835787840427202</v>
      </c>
      <c r="E21" s="69">
        <f t="shared" si="3"/>
        <v>1.2642319655955974</v>
      </c>
      <c r="F21" s="69">
        <f t="shared" si="3"/>
        <v>1.2361041703861602</v>
      </c>
      <c r="G21" s="69">
        <f t="shared" si="3"/>
        <v>1.2085622348948732</v>
      </c>
      <c r="H21" s="69">
        <f t="shared" si="3"/>
        <v>1.1902898034017539</v>
      </c>
      <c r="I21" s="69">
        <f t="shared" si="3"/>
        <v>1.1670187920859516</v>
      </c>
      <c r="J21" s="69">
        <f t="shared" si="3"/>
        <v>1.1357877947715866</v>
      </c>
      <c r="K21" s="69">
        <f t="shared" si="3"/>
        <v>1.1003814987727709</v>
      </c>
      <c r="L21" s="69">
        <f t="shared" si="3"/>
        <v>1.0675825173962146</v>
      </c>
      <c r="M21" s="69">
        <f t="shared" si="3"/>
        <v>1.0399070915104576</v>
      </c>
      <c r="N21" s="69">
        <f t="shared" si="3"/>
        <v>1.0199005951388525</v>
      </c>
      <c r="O21" s="69">
        <f t="shared" si="3"/>
        <v>1.0122134939747505</v>
      </c>
      <c r="P21" s="69">
        <f t="shared" si="3"/>
        <v>1</v>
      </c>
      <c r="Q21" s="69">
        <f t="shared" si="3"/>
        <v>0.97977137116132662</v>
      </c>
      <c r="R21" s="69">
        <f t="shared" si="3"/>
        <v>0.96204991640800464</v>
      </c>
      <c r="S21" s="69">
        <f t="shared" si="3"/>
        <v>0.94661913459391867</v>
      </c>
      <c r="T21" s="69">
        <f t="shared" si="3"/>
        <v>0.93132072207564964</v>
      </c>
      <c r="U21" s="69">
        <f t="shared" si="3"/>
        <v>0.92208040155020954</v>
      </c>
    </row>
    <row r="23" spans="1:27" x14ac:dyDescent="0.2">
      <c r="A23" s="68" t="s">
        <v>218</v>
      </c>
    </row>
    <row r="24" spans="1:27" ht="15.75" customHeight="1" x14ac:dyDescent="0.2">
      <c r="A24" s="67" t="s">
        <v>215</v>
      </c>
      <c r="B24" s="67">
        <v>1996</v>
      </c>
      <c r="C24" s="67">
        <v>1997</v>
      </c>
      <c r="D24" s="67">
        <v>1998</v>
      </c>
      <c r="E24" s="67">
        <v>1999</v>
      </c>
      <c r="F24" s="67">
        <v>2000</v>
      </c>
      <c r="G24" s="67">
        <v>2001</v>
      </c>
      <c r="H24" s="67">
        <v>2002</v>
      </c>
      <c r="I24" s="67">
        <v>2003</v>
      </c>
      <c r="J24" s="67">
        <v>2004</v>
      </c>
      <c r="K24" s="67">
        <v>2005</v>
      </c>
      <c r="L24" s="67">
        <v>2006</v>
      </c>
      <c r="M24" s="67">
        <v>2007</v>
      </c>
      <c r="N24" s="67">
        <v>2008</v>
      </c>
      <c r="O24" s="67">
        <v>2009</v>
      </c>
      <c r="P24" s="67">
        <v>2010</v>
      </c>
      <c r="Q24" s="67">
        <v>2011</v>
      </c>
      <c r="R24" s="67">
        <v>2012</v>
      </c>
      <c r="S24" s="67">
        <v>2013</v>
      </c>
      <c r="T24" s="67">
        <v>2014</v>
      </c>
      <c r="U24" s="67">
        <v>2015</v>
      </c>
    </row>
    <row r="25" spans="1:27" ht="15.75" customHeight="1" x14ac:dyDescent="0.2">
      <c r="A25" s="66" t="s">
        <v>214</v>
      </c>
      <c r="B25" s="65">
        <v>4.2993491666666701</v>
      </c>
      <c r="C25" s="65">
        <v>4.6079616666666698</v>
      </c>
      <c r="D25" s="65">
        <v>5.52828416666667</v>
      </c>
      <c r="E25" s="65">
        <v>6.1094841666666699</v>
      </c>
      <c r="F25" s="65">
        <v>6.9398283333333302</v>
      </c>
      <c r="G25" s="65">
        <v>8.6091808333333297</v>
      </c>
      <c r="H25" s="65">
        <v>10.540746666666699</v>
      </c>
      <c r="I25" s="65">
        <v>7.5647491666666697</v>
      </c>
      <c r="J25" s="65">
        <v>6.4596925000000001</v>
      </c>
      <c r="K25" s="65">
        <v>6.3593283333333304</v>
      </c>
      <c r="L25" s="65">
        <v>6.7715491666666701</v>
      </c>
      <c r="M25" s="65">
        <v>7.0453650000000003</v>
      </c>
      <c r="N25" s="65">
        <v>8.26122333333333</v>
      </c>
      <c r="O25" s="65">
        <v>8.4736741582488797</v>
      </c>
      <c r="P25" s="65">
        <v>7.3212219611528804</v>
      </c>
      <c r="Q25" s="65">
        <v>7.2611321323273499</v>
      </c>
      <c r="R25" s="65">
        <v>8.2099686265933105</v>
      </c>
      <c r="S25" s="65">
        <v>9.6550560691352594</v>
      </c>
      <c r="T25" s="65">
        <v>10.852655568783099</v>
      </c>
      <c r="U25" s="65">
        <v>12.7589308811644</v>
      </c>
    </row>
    <row r="26" spans="1:27" x14ac:dyDescent="0.2">
      <c r="A26" s="70">
        <v>2010</v>
      </c>
      <c r="B26" s="69">
        <f t="shared" ref="B26:T26" si="4">IF(B24=$A$26,1,IF(B24&lt;$A26,C26/(1+C25/100),A26*(B25/100+1)))</f>
        <v>0.37900653843113158</v>
      </c>
      <c r="C26" s="69">
        <f t="shared" si="4"/>
        <v>0.39647101443619837</v>
      </c>
      <c r="D26" s="69">
        <f t="shared" si="4"/>
        <v>0.41838905875269744</v>
      </c>
      <c r="E26" s="69">
        <f t="shared" si="4"/>
        <v>0.44395047205225924</v>
      </c>
      <c r="F26" s="69">
        <f t="shared" si="4"/>
        <v>0.47475987269770897</v>
      </c>
      <c r="G26" s="69">
        <f t="shared" si="4"/>
        <v>0.51563280866235783</v>
      </c>
      <c r="H26" s="69">
        <f t="shared" si="4"/>
        <v>0.56998435675367509</v>
      </c>
      <c r="I26" s="69">
        <f t="shared" si="4"/>
        <v>0.61310224363132915</v>
      </c>
      <c r="J26" s="69">
        <f t="shared" si="4"/>
        <v>0.65270676328051391</v>
      </c>
      <c r="K26" s="69">
        <f t="shared" si="4"/>
        <v>0.6942145294113945</v>
      </c>
      <c r="L26" s="69">
        <f t="shared" si="4"/>
        <v>0.74122360759263073</v>
      </c>
      <c r="M26" s="69">
        <f t="shared" si="4"/>
        <v>0.79344551621369919</v>
      </c>
      <c r="N26" s="69">
        <f t="shared" si="4"/>
        <v>0.85899382233643229</v>
      </c>
      <c r="O26" s="69">
        <f t="shared" si="4"/>
        <v>0.93178215988070889</v>
      </c>
      <c r="P26" s="69">
        <f t="shared" si="4"/>
        <v>1</v>
      </c>
      <c r="Q26" s="69">
        <f t="shared" si="4"/>
        <v>1.0726113213232735</v>
      </c>
      <c r="R26" s="69">
        <f t="shared" si="4"/>
        <v>1.1606723742892022</v>
      </c>
      <c r="S26" s="69">
        <f t="shared" si="4"/>
        <v>1.2727359428057881</v>
      </c>
      <c r="T26" s="69">
        <f t="shared" si="4"/>
        <v>1.4108615909786044</v>
      </c>
      <c r="U26" s="69">
        <f>IF(U24=$A$26,1,IF(U24&lt;$A26,#REF!/(1+#REF!/100),T26*(U25/100+1)))</f>
        <v>1.5908724462004609</v>
      </c>
    </row>
    <row r="27" spans="1:27" x14ac:dyDescent="0.2">
      <c r="A27" s="70" t="s">
        <v>217</v>
      </c>
      <c r="B27" s="69">
        <f t="shared" ref="B27:U27" si="5">1/B26</f>
        <v>2.6384769089721329</v>
      </c>
      <c r="C27" s="69">
        <f t="shared" si="5"/>
        <v>2.5222524814885903</v>
      </c>
      <c r="D27" s="69">
        <f t="shared" si="5"/>
        <v>2.3901198635098218</v>
      </c>
      <c r="E27" s="69">
        <f t="shared" si="5"/>
        <v>2.2525035177398931</v>
      </c>
      <c r="F27" s="69">
        <f t="shared" si="5"/>
        <v>2.1063279723236508</v>
      </c>
      <c r="G27" s="69">
        <f t="shared" si="5"/>
        <v>1.9393645695163886</v>
      </c>
      <c r="H27" s="69">
        <f t="shared" si="5"/>
        <v>1.7544341141140489</v>
      </c>
      <c r="I27" s="69">
        <f t="shared" si="5"/>
        <v>1.6310493239710282</v>
      </c>
      <c r="J27" s="69">
        <f t="shared" si="5"/>
        <v>1.5320815659607772</v>
      </c>
      <c r="K27" s="69">
        <f t="shared" si="5"/>
        <v>1.4404769097066761</v>
      </c>
      <c r="L27" s="69">
        <f t="shared" si="5"/>
        <v>1.3491205484507318</v>
      </c>
      <c r="M27" s="69">
        <f t="shared" si="5"/>
        <v>1.2603259827744357</v>
      </c>
      <c r="N27" s="69">
        <f t="shared" si="5"/>
        <v>1.1641527261279201</v>
      </c>
      <c r="O27" s="69">
        <f t="shared" si="5"/>
        <v>1.0732122196115288</v>
      </c>
      <c r="P27" s="69">
        <f t="shared" si="5"/>
        <v>1</v>
      </c>
      <c r="Q27" s="69">
        <f t="shared" si="5"/>
        <v>0.93230416285957762</v>
      </c>
      <c r="R27" s="69">
        <f t="shared" si="5"/>
        <v>0.8615695713550533</v>
      </c>
      <c r="S27" s="69">
        <f t="shared" si="5"/>
        <v>0.78570893330431701</v>
      </c>
      <c r="T27" s="69">
        <f t="shared" si="5"/>
        <v>0.70878674874576331</v>
      </c>
      <c r="U27" s="69">
        <f t="shared" si="5"/>
        <v>0.62858590730409392</v>
      </c>
    </row>
    <row r="29" spans="1:27" x14ac:dyDescent="0.2">
      <c r="A29" s="68" t="s">
        <v>216</v>
      </c>
    </row>
    <row r="30" spans="1:27" ht="15.75" customHeight="1" x14ac:dyDescent="0.2">
      <c r="A30" s="67" t="s">
        <v>215</v>
      </c>
      <c r="B30" s="67">
        <v>1996</v>
      </c>
      <c r="C30" s="67">
        <v>1997</v>
      </c>
      <c r="D30" s="67">
        <v>1998</v>
      </c>
      <c r="E30" s="67">
        <v>1999</v>
      </c>
      <c r="F30" s="67">
        <v>2000</v>
      </c>
      <c r="G30" s="67">
        <v>2001</v>
      </c>
      <c r="H30" s="67">
        <v>2002</v>
      </c>
      <c r="I30" s="67">
        <v>2003</v>
      </c>
      <c r="J30" s="67">
        <v>2004</v>
      </c>
      <c r="K30" s="67">
        <v>2005</v>
      </c>
      <c r="L30" s="67">
        <v>2006</v>
      </c>
      <c r="M30" s="67">
        <v>2007</v>
      </c>
      <c r="N30" s="67">
        <v>2008</v>
      </c>
      <c r="O30" s="67">
        <v>2009</v>
      </c>
      <c r="P30" s="67">
        <v>2010</v>
      </c>
      <c r="Q30" s="67">
        <v>2011</v>
      </c>
      <c r="R30" s="67">
        <v>2012</v>
      </c>
      <c r="S30" s="67">
        <v>2013</v>
      </c>
      <c r="T30" s="67">
        <v>2014</v>
      </c>
      <c r="U30" s="67">
        <v>2015</v>
      </c>
    </row>
    <row r="31" spans="1:27" ht="15.75" customHeight="1" x14ac:dyDescent="0.2">
      <c r="A31" s="66" t="s">
        <v>214</v>
      </c>
      <c r="B31" s="65">
        <v>103.715135759584</v>
      </c>
      <c r="C31" s="65">
        <v>109.521881253578</v>
      </c>
      <c r="D31" s="65">
        <v>100.564833236306</v>
      </c>
      <c r="E31" s="65">
        <v>95.147213378643301</v>
      </c>
      <c r="F31" s="65">
        <v>92.053927609599299</v>
      </c>
      <c r="G31" s="65">
        <v>81.296448850858198</v>
      </c>
      <c r="H31" s="65">
        <v>69.451444430556194</v>
      </c>
      <c r="I31" s="65">
        <v>90.226931033391807</v>
      </c>
      <c r="J31" s="65">
        <v>97.558121531582202</v>
      </c>
      <c r="K31" s="65">
        <v>98.889450271899506</v>
      </c>
      <c r="L31" s="65">
        <v>94.943180992497403</v>
      </c>
      <c r="M31" s="65">
        <v>89.261366522496303</v>
      </c>
      <c r="N31" s="65">
        <v>79.430220433244997</v>
      </c>
      <c r="O31" s="65">
        <v>86.5809923216611</v>
      </c>
      <c r="P31" s="65">
        <v>100</v>
      </c>
      <c r="Q31" s="65">
        <v>97.917858437598099</v>
      </c>
      <c r="R31" s="65">
        <v>92.603568191556306</v>
      </c>
      <c r="S31" s="65">
        <v>82.840595021179197</v>
      </c>
      <c r="T31" s="65">
        <v>77.598396119444104</v>
      </c>
      <c r="U31" s="65">
        <v>77.160528760568198</v>
      </c>
    </row>
    <row r="32" spans="1:27" ht="13.5" thickBot="1" x14ac:dyDescent="0.25"/>
    <row r="33" spans="1:6" ht="13.5" thickBot="1" x14ac:dyDescent="0.25">
      <c r="A33" s="38" t="s">
        <v>213</v>
      </c>
      <c r="F33" s="64">
        <v>7.4</v>
      </c>
    </row>
  </sheetData>
  <hyperlinks>
    <hyperlink ref="A6" r:id="rId1" xr:uid="{7182463A-1333-4CA2-A86A-2910760E481F}"/>
  </hyperlinks>
  <pageMargins left="0.75" right="0.75" top="1" bottom="1" header="0.5" footer="0.5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D13"/>
  <sheetViews>
    <sheetView workbookViewId="0"/>
    <sheetView workbookViewId="1"/>
  </sheetViews>
  <sheetFormatPr defaultColWidth="9.140625" defaultRowHeight="11.25" x14ac:dyDescent="0.2"/>
  <cols>
    <col min="1" max="1" width="14.5703125" style="12" customWidth="1"/>
    <col min="2" max="2" width="42.5703125" style="12" customWidth="1"/>
    <col min="3" max="3" width="28.5703125" style="12" customWidth="1"/>
    <col min="4" max="4" width="21.7109375" style="12" customWidth="1"/>
    <col min="5" max="16384" width="9.140625" style="12"/>
  </cols>
  <sheetData>
    <row r="1" spans="1:4" x14ac:dyDescent="0.2">
      <c r="A1" s="11" t="s">
        <v>100</v>
      </c>
      <c r="B1" s="12" t="s">
        <v>101</v>
      </c>
    </row>
    <row r="3" spans="1:4" ht="18" customHeight="1" x14ac:dyDescent="0.2"/>
    <row r="7" spans="1:4" x14ac:dyDescent="0.2">
      <c r="A7" s="11" t="s">
        <v>16</v>
      </c>
      <c r="B7" s="11" t="s">
        <v>15</v>
      </c>
      <c r="C7" s="11" t="s">
        <v>1</v>
      </c>
      <c r="D7" s="11" t="s">
        <v>0</v>
      </c>
    </row>
    <row r="8" spans="1:4" x14ac:dyDescent="0.2">
      <c r="A8" s="14" t="s">
        <v>17</v>
      </c>
      <c r="B8" s="14" t="s">
        <v>18</v>
      </c>
      <c r="C8" s="14" t="s">
        <v>19</v>
      </c>
    </row>
    <row r="9" spans="1:4" x14ac:dyDescent="0.2">
      <c r="A9" s="11" t="s">
        <v>96</v>
      </c>
    </row>
    <row r="10" spans="1:4" x14ac:dyDescent="0.2">
      <c r="A10" s="12" t="s">
        <v>95</v>
      </c>
      <c r="B10" s="12" t="s">
        <v>95</v>
      </c>
      <c r="C10" s="14" t="s">
        <v>97</v>
      </c>
    </row>
    <row r="11" spans="1:4" x14ac:dyDescent="0.2">
      <c r="A11" s="12" t="s">
        <v>98</v>
      </c>
      <c r="B11" s="12" t="s">
        <v>98</v>
      </c>
      <c r="C11" s="14" t="s">
        <v>97</v>
      </c>
    </row>
    <row r="13" spans="1:4" x14ac:dyDescent="0.2">
      <c r="A13" s="11" t="s">
        <v>102</v>
      </c>
    </row>
  </sheetData>
  <phoneticPr fontId="1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89" r:id="rId4" name="cmdCheckRegions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</xdr:rowOff>
              </to>
            </anchor>
          </controlPr>
        </control>
      </mc:Choice>
      <mc:Fallback>
        <control shapeId="63489" r:id="rId4" name="cmdCheckRegionsSheet"/>
      </mc:Fallback>
    </mc:AlternateContent>
    <mc:AlternateContent xmlns:mc="http://schemas.openxmlformats.org/markup-compatibility/2006">
      <mc:Choice Requires="x14">
        <control shapeId="63490" r:id="rId6" name="cmdSpecifySets">
          <controlPr defaultSize="0" autoLine="0" r:id="rId7">
            <anchor moveWithCells="1">
              <from>
                <xdr:col>2</xdr:col>
                <xdr:colOff>9525</xdr:colOff>
                <xdr:row>3</xdr:row>
                <xdr:rowOff>19050</xdr:rowOff>
              </from>
              <to>
                <xdr:col>3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3490" r:id="rId6" name="cmdSpecifySets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7"/>
  <sheetViews>
    <sheetView workbookViewId="0"/>
    <sheetView workbookViewId="1"/>
  </sheetViews>
  <sheetFormatPr defaultColWidth="9.140625" defaultRowHeight="11.25" x14ac:dyDescent="0.2"/>
  <cols>
    <col min="1" max="1" width="12.85546875" style="18" customWidth="1"/>
    <col min="2" max="2" width="12.28515625" style="18" customWidth="1"/>
    <col min="3" max="3" width="21" style="18" customWidth="1"/>
    <col min="4" max="4" width="10.28515625" style="18" customWidth="1"/>
    <col min="5" max="5" width="29.7109375" style="18" customWidth="1"/>
    <col min="6" max="6" width="10.28515625" style="18" customWidth="1"/>
    <col min="7" max="16384" width="9.140625" style="18"/>
  </cols>
  <sheetData>
    <row r="1" spans="1:6" x14ac:dyDescent="0.2">
      <c r="A1" s="20" t="s">
        <v>99</v>
      </c>
    </row>
    <row r="4" spans="1:6" ht="17.25" customHeight="1" x14ac:dyDescent="0.2"/>
    <row r="5" spans="1:6" ht="17.25" customHeight="1" x14ac:dyDescent="0.2">
      <c r="C5" s="19"/>
    </row>
    <row r="6" spans="1:6" ht="15.75" customHeight="1" x14ac:dyDescent="0.2"/>
    <row r="7" spans="1:6" x14ac:dyDescent="0.2">
      <c r="B7" s="24" t="s">
        <v>40</v>
      </c>
      <c r="C7" s="20" t="s">
        <v>41</v>
      </c>
      <c r="D7" s="20" t="s">
        <v>42</v>
      </c>
      <c r="E7" s="20" t="s">
        <v>1</v>
      </c>
      <c r="F7" s="20" t="s">
        <v>0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81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71681" r:id="rId4" name="cmdSpecifySets"/>
      </mc:Fallback>
    </mc:AlternateContent>
    <mc:AlternateContent xmlns:mc="http://schemas.openxmlformats.org/markup-compatibility/2006">
      <mc:Choice Requires="x14">
        <control shapeId="71682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71682" r:id="rId6" name="cmdCheckCommoditiesSheet"/>
      </mc:Fallback>
    </mc:AlternateContent>
    <mc:AlternateContent xmlns:mc="http://schemas.openxmlformats.org/markup-compatibility/2006">
      <mc:Choice Requires="x14">
        <control shapeId="71683" r:id="rId8" name="cmdCommUnit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71683" r:id="rId8" name="cmdCommUni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F10"/>
  <sheetViews>
    <sheetView workbookViewId="0"/>
    <sheetView workbookViewId="1"/>
  </sheetViews>
  <sheetFormatPr defaultColWidth="9.140625" defaultRowHeight="11.25" x14ac:dyDescent="0.2"/>
  <cols>
    <col min="1" max="1" width="13.5703125" style="12" customWidth="1"/>
    <col min="2" max="2" width="11.140625" style="12" customWidth="1"/>
    <col min="3" max="3" width="27.28515625" style="12" customWidth="1"/>
    <col min="4" max="4" width="11.140625" style="12" customWidth="1"/>
    <col min="5" max="5" width="29.28515625" style="12" customWidth="1"/>
    <col min="6" max="6" width="10.42578125" style="12" customWidth="1"/>
    <col min="7" max="16384" width="9.140625" style="12"/>
  </cols>
  <sheetData>
    <row r="1" spans="1:6" x14ac:dyDescent="0.2">
      <c r="A1" s="11" t="s">
        <v>105</v>
      </c>
    </row>
    <row r="4" spans="1:6" ht="18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x14ac:dyDescent="0.2">
      <c r="B8" s="11"/>
      <c r="C8" s="11"/>
      <c r="D8" s="11"/>
      <c r="E8" s="11"/>
      <c r="F8" s="11"/>
    </row>
    <row r="9" spans="1:6" x14ac:dyDescent="0.2">
      <c r="B9" s="32"/>
      <c r="C9" s="32"/>
      <c r="E9" s="32"/>
    </row>
    <row r="10" spans="1:6" x14ac:dyDescent="0.2">
      <c r="B10" s="13"/>
      <c r="C10" s="32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0899" r:id="rId4" name="cmdProcUnits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80899" r:id="rId4" name="cmdProcUnits"/>
      </mc:Fallback>
    </mc:AlternateContent>
    <mc:AlternateContent xmlns:mc="http://schemas.openxmlformats.org/markup-compatibility/2006">
      <mc:Choice Requires="x14">
        <control shapeId="80898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0898" r:id="rId6" name="cmdCheckTechnologiesSheet"/>
      </mc:Fallback>
    </mc:AlternateContent>
    <mc:AlternateContent xmlns:mc="http://schemas.openxmlformats.org/markup-compatibility/2006">
      <mc:Choice Requires="x14">
        <control shapeId="80897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80897" r:id="rId8" name="cmdSpecifySets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10"/>
  <sheetViews>
    <sheetView workbookViewId="0"/>
    <sheetView workbookViewId="1"/>
  </sheetViews>
  <sheetFormatPr defaultColWidth="9.140625" defaultRowHeight="12.75" x14ac:dyDescent="0.2"/>
  <cols>
    <col min="1" max="1" width="12.28515625" style="17" customWidth="1"/>
    <col min="2" max="2" width="12.140625" style="17" customWidth="1"/>
    <col min="3" max="3" width="28.42578125" style="17" customWidth="1"/>
    <col min="4" max="4" width="10" style="17" customWidth="1"/>
    <col min="5" max="5" width="28.42578125" style="17" customWidth="1"/>
    <col min="6" max="6" width="10.28515625" style="17" customWidth="1"/>
    <col min="7" max="16384" width="9.140625" style="17"/>
  </cols>
  <sheetData>
    <row r="1" spans="1:6" s="18" customFormat="1" ht="11.25" x14ac:dyDescent="0.2">
      <c r="A1" s="20" t="s">
        <v>103</v>
      </c>
    </row>
    <row r="2" spans="1:6" s="18" customFormat="1" ht="11.25" x14ac:dyDescent="0.2"/>
    <row r="3" spans="1:6" s="18" customFormat="1" ht="11.25" x14ac:dyDescent="0.2"/>
    <row r="4" spans="1:6" s="18" customFormat="1" ht="18.75" customHeight="1" x14ac:dyDescent="0.2"/>
    <row r="5" spans="1:6" s="18" customFormat="1" ht="17.25" customHeight="1" x14ac:dyDescent="0.2">
      <c r="C5" s="19"/>
    </row>
    <row r="6" spans="1:6" s="18" customFormat="1" ht="15.75" customHeight="1" x14ac:dyDescent="0.2"/>
    <row r="7" spans="1:6" s="18" customFormat="1" ht="11.25" x14ac:dyDescent="0.2">
      <c r="B7" s="24" t="s">
        <v>46</v>
      </c>
      <c r="C7" s="20" t="s">
        <v>47</v>
      </c>
      <c r="D7" s="20" t="s">
        <v>43</v>
      </c>
      <c r="E7" s="20" t="s">
        <v>1</v>
      </c>
      <c r="F7" s="20" t="s">
        <v>0</v>
      </c>
    </row>
    <row r="8" spans="1:6" s="18" customFormat="1" ht="11.25" x14ac:dyDescent="0.2">
      <c r="B8" s="19"/>
      <c r="C8" s="19"/>
    </row>
    <row r="9" spans="1:6" s="18" customFormat="1" ht="11.25" x14ac:dyDescent="0.2">
      <c r="B9" s="19"/>
      <c r="C9" s="19"/>
      <c r="E9" s="19"/>
    </row>
    <row r="10" spans="1:6" s="18" customFormat="1" ht="11.25" x14ac:dyDescent="0.2">
      <c r="D10" s="19"/>
      <c r="E10" s="19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1377" r:id="rId4" name="cmdConstraintSets">
          <controlPr defaultSize="0" autoLine="0" autoPict="0" r:id="rId5">
            <anchor moveWithCells="1">
              <from>
                <xdr:col>4</xdr:col>
                <xdr:colOff>19050</xdr:colOff>
                <xdr:row>4</xdr:row>
                <xdr:rowOff>19050</xdr:rowOff>
              </from>
              <to>
                <xdr:col>5</xdr:col>
                <xdr:colOff>19050</xdr:colOff>
                <xdr:row>5</xdr:row>
                <xdr:rowOff>28575</xdr:rowOff>
              </to>
            </anchor>
          </controlPr>
        </control>
      </mc:Choice>
      <mc:Fallback>
        <control shapeId="101377" r:id="rId4" name="cmdConstraintSets"/>
      </mc:Fallback>
    </mc:AlternateContent>
    <mc:AlternateContent xmlns:mc="http://schemas.openxmlformats.org/markup-compatibility/2006">
      <mc:Choice Requires="x14">
        <control shapeId="101378" r:id="rId6" name="cmdCheckConstraintsSheet">
          <controlPr defaultSize="0" autoLine="0" r:id="rId7">
            <anchor moveWithCells="1">
              <from>
                <xdr:col>0</xdr:col>
                <xdr:colOff>9525</xdr:colOff>
                <xdr:row>3</xdr:row>
                <xdr:rowOff>0</xdr:rowOff>
              </from>
              <to>
                <xdr:col>0</xdr:col>
                <xdr:colOff>790575</xdr:colOff>
                <xdr:row>4</xdr:row>
                <xdr:rowOff>0</xdr:rowOff>
              </to>
            </anchor>
          </controlPr>
        </control>
      </mc:Choice>
      <mc:Fallback>
        <control shapeId="101378" r:id="rId6" name="cmdCheckConstraintsSheet"/>
      </mc:Fallback>
    </mc:AlternateContent>
    <mc:AlternateContent xmlns:mc="http://schemas.openxmlformats.org/markup-compatibility/2006">
      <mc:Choice Requires="x14">
        <control shapeId="101379" r:id="rId8" name="cmdConstraintUnit">
          <controlPr defaultSize="0" autoLine="0" r:id="rId9">
            <anchor moveWithCells="1">
              <from>
                <xdr:col>3</xdr:col>
                <xdr:colOff>19050</xdr:colOff>
                <xdr:row>4</xdr:row>
                <xdr:rowOff>9525</xdr:rowOff>
              </from>
              <to>
                <xdr:col>3</xdr:col>
                <xdr:colOff>581025</xdr:colOff>
                <xdr:row>5</xdr:row>
                <xdr:rowOff>19050</xdr:rowOff>
              </to>
            </anchor>
          </controlPr>
        </control>
      </mc:Choice>
      <mc:Fallback>
        <control shapeId="101379" r:id="rId8" name="cmdConstraintUnit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9"/>
  <sheetViews>
    <sheetView workbookViewId="0"/>
    <sheetView workbookViewId="1"/>
  </sheetViews>
  <sheetFormatPr defaultColWidth="8.85546875" defaultRowHeight="11.25" x14ac:dyDescent="0.2"/>
  <cols>
    <col min="1" max="1" width="14.85546875" style="12" customWidth="1"/>
    <col min="2" max="2" width="11.7109375" style="12" customWidth="1"/>
    <col min="3" max="3" width="21.140625" style="12" customWidth="1"/>
    <col min="4" max="4" width="8.7109375" style="12" customWidth="1"/>
    <col min="5" max="16384" width="8.85546875" style="12"/>
  </cols>
  <sheetData>
    <row r="1" spans="1:4" x14ac:dyDescent="0.2">
      <c r="A1" s="11" t="s">
        <v>104</v>
      </c>
    </row>
    <row r="3" spans="1:4" ht="15" customHeight="1" x14ac:dyDescent="0.2"/>
    <row r="4" spans="1:4" ht="20.25" customHeight="1" x14ac:dyDescent="0.2"/>
    <row r="5" spans="1:4" ht="19.5" customHeight="1" x14ac:dyDescent="0.2"/>
    <row r="6" spans="1:4" ht="19.5" customHeight="1" x14ac:dyDescent="0.2"/>
    <row r="7" spans="1:4" x14ac:dyDescent="0.2">
      <c r="B7" s="11" t="s">
        <v>40</v>
      </c>
      <c r="C7" s="11" t="s">
        <v>41</v>
      </c>
      <c r="D7" s="11" t="s">
        <v>43</v>
      </c>
    </row>
    <row r="9" spans="1:4" x14ac:dyDescent="0.2">
      <c r="B9" s="21"/>
      <c r="C9" s="21"/>
      <c r="D9" s="21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0116" r:id="rId4" name="cmdCheckCommDataSheet">
          <controlPr defaultSize="0" autoLine="0" r:id="rId5">
            <anchor moveWithCells="1">
              <from>
                <xdr:col>0</xdr:col>
                <xdr:colOff>9525</xdr:colOff>
                <xdr:row>1</xdr:row>
                <xdr:rowOff>123825</xdr:rowOff>
              </from>
              <to>
                <xdr:col>0</xdr:col>
                <xdr:colOff>828675</xdr:colOff>
                <xdr:row>3</xdr:row>
                <xdr:rowOff>19050</xdr:rowOff>
              </to>
            </anchor>
          </controlPr>
        </control>
      </mc:Choice>
      <mc:Fallback>
        <control shapeId="90116" r:id="rId4" name="cmdCheckCommDataSheet"/>
      </mc:Fallback>
    </mc:AlternateContent>
    <mc:AlternateContent xmlns:mc="http://schemas.openxmlformats.org/markup-compatibility/2006">
      <mc:Choice Requires="x14">
        <control shapeId="90115" r:id="rId6" name="cmdAddParamQualifier1">
          <controlPr defaultSize="0" autoLine="0" r:id="rId7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828675</xdr:colOff>
                <xdr:row>5</xdr:row>
                <xdr:rowOff>9525</xdr:rowOff>
              </to>
            </anchor>
          </controlPr>
        </control>
      </mc:Choice>
      <mc:Fallback>
        <control shapeId="90115" r:id="rId6" name="cmdAddParamQualifier1"/>
      </mc:Fallback>
    </mc:AlternateContent>
    <mc:AlternateContent xmlns:mc="http://schemas.openxmlformats.org/markup-compatibility/2006">
      <mc:Choice Requires="x14">
        <control shapeId="90114" r:id="rId8" name="cmdCommNameAndDesc">
          <controlPr defaultSize="0" autoLine="0" r:id="rId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90114" r:id="rId8" name="cmdCommNameAndDesc"/>
      </mc:Fallback>
    </mc:AlternateContent>
    <mc:AlternateContent xmlns:mc="http://schemas.openxmlformats.org/markup-compatibility/2006">
      <mc:Choice Requires="x14">
        <control shapeId="90113" r:id="rId10" name="cmdAddParameter">
          <controlPr defaultSize="0" autoLine="0" r:id="rId11">
            <anchor moveWithCells="1">
              <from>
                <xdr:col>0</xdr:col>
                <xdr:colOff>9525</xdr:colOff>
                <xdr:row>3</xdr:row>
                <xdr:rowOff>38100</xdr:rowOff>
              </from>
              <to>
                <xdr:col>0</xdr:col>
                <xdr:colOff>828675</xdr:colOff>
                <xdr:row>4</xdr:row>
                <xdr:rowOff>19050</xdr:rowOff>
              </to>
            </anchor>
          </controlPr>
        </control>
      </mc:Choice>
      <mc:Fallback>
        <control shapeId="90113" r:id="rId10" name="cmdAddParameter"/>
      </mc:Fallback>
    </mc:AlternateContent>
    <mc:AlternateContent xmlns:mc="http://schemas.openxmlformats.org/markup-compatibility/2006">
      <mc:Choice Requires="x14">
        <control shapeId="90118" r:id="rId12" name="cmdAddParamQualifier2">
          <controlPr defaultSize="0" autoLine="0" r:id="rId13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0</xdr:col>
                <xdr:colOff>828675</xdr:colOff>
                <xdr:row>6</xdr:row>
                <xdr:rowOff>9525</xdr:rowOff>
              </to>
            </anchor>
          </controlPr>
        </control>
      </mc:Choice>
      <mc:Fallback>
        <control shapeId="90118" r:id="rId12" name="cmdAddParamQualifier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G7"/>
  <sheetViews>
    <sheetView workbookViewId="0"/>
    <sheetView workbookViewId="1"/>
  </sheetViews>
  <sheetFormatPr defaultColWidth="9.140625" defaultRowHeight="11.25" customHeight="1" x14ac:dyDescent="0.2"/>
  <cols>
    <col min="1" max="1" width="12.28515625" style="12" customWidth="1"/>
    <col min="2" max="2" width="8.42578125" style="12" customWidth="1"/>
    <col min="3" max="3" width="24.28515625" style="12" customWidth="1"/>
    <col min="4" max="4" width="8.5703125" style="12" customWidth="1"/>
    <col min="5" max="5" width="8.85546875" style="12" customWidth="1"/>
    <col min="6" max="6" width="10.140625" style="12" customWidth="1"/>
    <col min="7" max="7" width="6.85546875" style="35" customWidth="1"/>
    <col min="8" max="16384" width="9.140625" style="12"/>
  </cols>
  <sheetData>
    <row r="1" spans="1:7" ht="11.25" customHeight="1" x14ac:dyDescent="0.2">
      <c r="A1" s="11" t="s">
        <v>110</v>
      </c>
    </row>
    <row r="3" spans="1:7" ht="21.75" customHeight="1" x14ac:dyDescent="0.2"/>
    <row r="4" spans="1:7" ht="17.25" customHeight="1" x14ac:dyDescent="0.2">
      <c r="E4" s="36" t="s">
        <v>92</v>
      </c>
      <c r="F4" s="36"/>
      <c r="G4" s="36"/>
    </row>
    <row r="5" spans="1:7" ht="16.5" customHeight="1" x14ac:dyDescent="0.2"/>
    <row r="6" spans="1:7" ht="17.25" customHeight="1" x14ac:dyDescent="0.2"/>
    <row r="7" spans="1:7" ht="21.75" customHeight="1" x14ac:dyDescent="0.2">
      <c r="B7" s="11" t="s">
        <v>56</v>
      </c>
      <c r="C7" s="11" t="s">
        <v>57</v>
      </c>
      <c r="D7" s="15" t="s">
        <v>93</v>
      </c>
      <c r="E7" s="11" t="s">
        <v>80</v>
      </c>
      <c r="F7" s="11" t="s">
        <v>81</v>
      </c>
      <c r="G7" s="15" t="s">
        <v>94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65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1304925</xdr:colOff>
                <xdr:row>2</xdr:row>
                <xdr:rowOff>209550</xdr:rowOff>
              </to>
            </anchor>
          </controlPr>
        </control>
      </mc:Choice>
      <mc:Fallback>
        <control shapeId="113665" r:id="rId4" name="cmdTechNameAndDesc"/>
      </mc:Fallback>
    </mc:AlternateContent>
    <mc:AlternateContent xmlns:mc="http://schemas.openxmlformats.org/markup-compatibility/2006">
      <mc:Choice Requires="x14">
        <control shapeId="113666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5</xdr:col>
                <xdr:colOff>19050</xdr:colOff>
                <xdr:row>2</xdr:row>
                <xdr:rowOff>209550</xdr:rowOff>
              </to>
            </anchor>
          </controlPr>
        </control>
      </mc:Choice>
      <mc:Fallback>
        <control shapeId="113666" r:id="rId6" name="cmdCommIN"/>
      </mc:Fallback>
    </mc:AlternateContent>
    <mc:AlternateContent xmlns:mc="http://schemas.openxmlformats.org/markup-compatibility/2006">
      <mc:Choice Requires="x14">
        <control shapeId="113667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13667" r:id="rId8" name="cmdCommOUT"/>
      </mc:Fallback>
    </mc:AlternateContent>
    <mc:AlternateContent xmlns:mc="http://schemas.openxmlformats.org/markup-compatibility/2006">
      <mc:Choice Requires="x14">
        <control shapeId="113668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113668" r:id="rId10" name="cmdAddParameter"/>
      </mc:Fallback>
    </mc:AlternateContent>
    <mc:AlternateContent xmlns:mc="http://schemas.openxmlformats.org/markup-compatibility/2006">
      <mc:Choice Requires="x14">
        <control shapeId="113669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9525</xdr:colOff>
                <xdr:row>4</xdr:row>
                <xdr:rowOff>190500</xdr:rowOff>
              </to>
            </anchor>
          </controlPr>
        </control>
      </mc:Choice>
      <mc:Fallback>
        <control shapeId="113669" r:id="rId12" name="cmdAddParamQualifier1"/>
      </mc:Fallback>
    </mc:AlternateContent>
    <mc:AlternateContent xmlns:mc="http://schemas.openxmlformats.org/markup-compatibility/2006">
      <mc:Choice Requires="x14">
        <control shapeId="113670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9525</xdr:colOff>
                <xdr:row>2</xdr:row>
                <xdr:rowOff>209550</xdr:rowOff>
              </to>
            </anchor>
          </controlPr>
        </control>
      </mc:Choice>
      <mc:Fallback>
        <control shapeId="113670" r:id="rId14" name="cmdCheckTechDataSheet"/>
      </mc:Fallback>
    </mc:AlternateContent>
    <mc:AlternateContent xmlns:mc="http://schemas.openxmlformats.org/markup-compatibility/2006">
      <mc:Choice Requires="x14">
        <control shapeId="113672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9525</xdr:colOff>
                <xdr:row>6</xdr:row>
                <xdr:rowOff>38100</xdr:rowOff>
              </to>
            </anchor>
          </controlPr>
        </control>
      </mc:Choice>
      <mc:Fallback>
        <control shapeId="113672" r:id="rId16" name="cmdAddParamQualifier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6"/>
  <dimension ref="A1:X9"/>
  <sheetViews>
    <sheetView workbookViewId="0"/>
    <sheetView workbookViewId="1"/>
  </sheetViews>
  <sheetFormatPr defaultColWidth="9.140625" defaultRowHeight="12.75" x14ac:dyDescent="0.2"/>
  <cols>
    <col min="1" max="2" width="12.42578125" style="17" customWidth="1"/>
    <col min="3" max="3" width="20.5703125" style="17" customWidth="1"/>
    <col min="4" max="4" width="8.7109375" style="17" customWidth="1"/>
    <col min="5" max="5" width="12.28515625" style="17" customWidth="1"/>
    <col min="6" max="7" width="12.140625" style="17" customWidth="1"/>
    <col min="8" max="8" width="10.7109375" style="17" customWidth="1"/>
    <col min="9" max="9" width="10.140625" customWidth="1"/>
    <col min="10" max="10" width="11.28515625" style="17" customWidth="1"/>
    <col min="11" max="11" width="11.140625" style="17" customWidth="1"/>
    <col min="12" max="12" width="12.85546875" style="17" customWidth="1"/>
    <col min="13" max="13" width="14" style="17" customWidth="1"/>
    <col min="14" max="14" width="13.42578125" style="17" customWidth="1"/>
    <col min="15" max="16" width="12.140625" style="17" customWidth="1"/>
    <col min="17" max="17" width="14.140625" style="17" customWidth="1"/>
    <col min="18" max="18" width="14.42578125" style="17" customWidth="1"/>
    <col min="19" max="19" width="17.42578125" style="17" customWidth="1"/>
    <col min="20" max="20" width="19.42578125" style="17" customWidth="1"/>
    <col min="21" max="21" width="19" style="17" customWidth="1"/>
    <col min="22" max="22" width="13.85546875" style="17" customWidth="1"/>
    <col min="23" max="23" width="13.7109375" style="17" customWidth="1"/>
    <col min="24" max="24" width="12.28515625" style="17" customWidth="1"/>
    <col min="25" max="25" width="10.28515625" style="17" customWidth="1"/>
    <col min="26" max="16384" width="9.140625" style="17"/>
  </cols>
  <sheetData>
    <row r="1" spans="1:24" s="18" customFormat="1" ht="11.25" x14ac:dyDescent="0.2">
      <c r="A1" s="20" t="s">
        <v>106</v>
      </c>
    </row>
    <row r="2" spans="1:24" s="18" customFormat="1" ht="11.25" customHeight="1" x14ac:dyDescent="0.2"/>
    <row r="3" spans="1:24" s="18" customFormat="1" ht="21.75" customHeight="1" x14ac:dyDescent="0.2">
      <c r="H3" s="30" t="s">
        <v>67</v>
      </c>
      <c r="I3" s="30" t="s">
        <v>68</v>
      </c>
      <c r="J3" s="30" t="s">
        <v>65</v>
      </c>
      <c r="K3" s="30" t="s">
        <v>66</v>
      </c>
      <c r="L3" s="30" t="s">
        <v>69</v>
      </c>
      <c r="M3" s="30" t="s">
        <v>70</v>
      </c>
      <c r="N3" s="31" t="s">
        <v>71</v>
      </c>
      <c r="O3" s="31" t="s">
        <v>73</v>
      </c>
      <c r="P3" s="31" t="s">
        <v>83</v>
      </c>
      <c r="Q3" s="31" t="s">
        <v>84</v>
      </c>
      <c r="R3" s="31" t="s">
        <v>85</v>
      </c>
      <c r="S3" s="31" t="s">
        <v>86</v>
      </c>
      <c r="T3" s="31" t="s">
        <v>87</v>
      </c>
      <c r="U3" s="31" t="s">
        <v>91</v>
      </c>
      <c r="V3" s="30" t="s">
        <v>88</v>
      </c>
      <c r="W3" s="30" t="s">
        <v>89</v>
      </c>
      <c r="X3" s="31" t="s">
        <v>90</v>
      </c>
    </row>
    <row r="4" spans="1:24" s="18" customFormat="1" ht="17.25" customHeight="1" x14ac:dyDescent="0.2">
      <c r="E4" s="29"/>
      <c r="F4" s="29"/>
      <c r="G4" s="29"/>
      <c r="H4" s="22" t="s">
        <v>48</v>
      </c>
      <c r="I4" s="25" t="s">
        <v>64</v>
      </c>
      <c r="J4" s="22" t="s">
        <v>60</v>
      </c>
      <c r="K4" s="22" t="s">
        <v>61</v>
      </c>
      <c r="L4" s="22" t="s">
        <v>49</v>
      </c>
      <c r="M4" s="25" t="s">
        <v>58</v>
      </c>
      <c r="N4" s="22" t="s">
        <v>53</v>
      </c>
      <c r="O4" s="25" t="s">
        <v>62</v>
      </c>
      <c r="P4" s="25" t="s">
        <v>55</v>
      </c>
      <c r="Q4" s="25" t="s">
        <v>72</v>
      </c>
      <c r="R4" s="25" t="s">
        <v>74</v>
      </c>
      <c r="S4" s="25" t="s">
        <v>75</v>
      </c>
      <c r="T4" s="25" t="s">
        <v>76</v>
      </c>
      <c r="U4" s="25" t="s">
        <v>78</v>
      </c>
      <c r="V4" s="22" t="s">
        <v>50</v>
      </c>
      <c r="W4" s="22" t="s">
        <v>52</v>
      </c>
      <c r="X4" s="22" t="s">
        <v>54</v>
      </c>
    </row>
    <row r="5" spans="1:24" s="18" customFormat="1" ht="17.25" customHeight="1" x14ac:dyDescent="0.2">
      <c r="H5" s="28"/>
      <c r="I5" s="28"/>
      <c r="J5" s="23" t="s">
        <v>59</v>
      </c>
      <c r="K5" s="23" t="s">
        <v>59</v>
      </c>
      <c r="L5" s="28"/>
      <c r="M5" s="23" t="s">
        <v>59</v>
      </c>
      <c r="N5" s="23" t="s">
        <v>59</v>
      </c>
      <c r="O5" s="26" t="s">
        <v>63</v>
      </c>
      <c r="P5" s="26" t="s">
        <v>63</v>
      </c>
      <c r="Q5" s="26" t="s">
        <v>63</v>
      </c>
      <c r="R5" s="26" t="s">
        <v>63</v>
      </c>
      <c r="S5" s="26" t="s">
        <v>63</v>
      </c>
      <c r="T5" s="26" t="s">
        <v>63</v>
      </c>
      <c r="U5" s="26" t="s">
        <v>63</v>
      </c>
    </row>
    <row r="6" spans="1:24" s="18" customFormat="1" ht="17.25" customHeight="1" x14ac:dyDescent="0.2">
      <c r="H6" s="28"/>
      <c r="I6" s="28"/>
      <c r="J6" s="28"/>
      <c r="K6" s="28"/>
      <c r="L6" s="28"/>
      <c r="M6" s="28"/>
      <c r="N6" s="28"/>
      <c r="O6" s="28"/>
      <c r="P6" s="26" t="s">
        <v>79</v>
      </c>
      <c r="Q6" s="28"/>
      <c r="R6" s="28"/>
      <c r="S6" s="28"/>
      <c r="T6" s="26" t="s">
        <v>77</v>
      </c>
      <c r="U6" s="34" t="s">
        <v>82</v>
      </c>
    </row>
    <row r="7" spans="1:24" s="18" customFormat="1" ht="17.25" customHeight="1" x14ac:dyDescent="0.2">
      <c r="B7" s="20" t="s">
        <v>46</v>
      </c>
      <c r="C7" s="20" t="s">
        <v>47</v>
      </c>
      <c r="D7" s="20" t="s">
        <v>43</v>
      </c>
      <c r="E7" s="20" t="s">
        <v>56</v>
      </c>
      <c r="F7" s="20" t="s">
        <v>40</v>
      </c>
      <c r="G7" s="20" t="s">
        <v>45</v>
      </c>
      <c r="H7" s="27" t="s">
        <v>44</v>
      </c>
      <c r="J7" s="27" t="s">
        <v>44</v>
      </c>
      <c r="K7" s="30"/>
      <c r="L7" s="27" t="s">
        <v>44</v>
      </c>
      <c r="M7" s="20"/>
      <c r="N7" s="30"/>
      <c r="O7" s="20"/>
      <c r="P7" s="25" t="s">
        <v>44</v>
      </c>
      <c r="Q7" s="25"/>
      <c r="R7" s="25"/>
      <c r="S7" s="25"/>
      <c r="T7" s="25"/>
      <c r="U7" s="25" t="s">
        <v>44</v>
      </c>
      <c r="V7" s="33" t="s">
        <v>51</v>
      </c>
      <c r="W7" s="33" t="s">
        <v>51</v>
      </c>
      <c r="X7" s="33" t="s">
        <v>51</v>
      </c>
    </row>
    <row r="9" spans="1:24" x14ac:dyDescent="0.2">
      <c r="A9" s="16"/>
      <c r="B9" s="16"/>
      <c r="C9" s="16"/>
      <c r="D9" s="16"/>
      <c r="E9" s="16"/>
      <c r="F9" s="16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01" r:id="rId4" name="cmdConstrNameAndDesc">
          <controlPr defaultSize="0" autoLine="0" autoPict="0" r:id="rId5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2</xdr:col>
                <xdr:colOff>1085850</xdr:colOff>
                <xdr:row>2</xdr:row>
                <xdr:rowOff>190500</xdr:rowOff>
              </to>
            </anchor>
          </controlPr>
        </control>
      </mc:Choice>
      <mc:Fallback>
        <control shapeId="102401" r:id="rId4" name="cmdConstrNameAndDesc"/>
      </mc:Fallback>
    </mc:AlternateContent>
    <mc:AlternateContent xmlns:mc="http://schemas.openxmlformats.org/markup-compatibility/2006">
      <mc:Choice Requires="x14">
        <control shapeId="102402" r:id="rId6" name="cmdProcName">
          <controlPr defaultSize="0" autoLine="0" r:id="rId7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2" r:id="rId6" name="cmdProcName"/>
      </mc:Fallback>
    </mc:AlternateContent>
    <mc:AlternateContent xmlns:mc="http://schemas.openxmlformats.org/markup-compatibility/2006">
      <mc:Choice Requires="x14">
        <control shapeId="102403" r:id="rId8" name="cmdAddParameter">
          <controlPr defaultSize="0" autoLine="0" r:id="rId9">
            <anchor moveWithCells="1">
              <from>
                <xdr:col>0</xdr:col>
                <xdr:colOff>0</xdr:colOff>
                <xdr:row>2</xdr:row>
                <xdr:rowOff>190500</xdr:rowOff>
              </from>
              <to>
                <xdr:col>0</xdr:col>
                <xdr:colOff>819150</xdr:colOff>
                <xdr:row>3</xdr:row>
                <xdr:rowOff>152400</xdr:rowOff>
              </to>
            </anchor>
          </controlPr>
        </control>
      </mc:Choice>
      <mc:Fallback>
        <control shapeId="102403" r:id="rId8" name="cmdAddParameter"/>
      </mc:Fallback>
    </mc:AlternateContent>
    <mc:AlternateContent xmlns:mc="http://schemas.openxmlformats.org/markup-compatibility/2006">
      <mc:Choice Requires="x14">
        <control shapeId="102404" r:id="rId10" name="cmdCheckConstrDataSheet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4" r:id="rId10" name="cmdCheckConstrDataSheet"/>
      </mc:Fallback>
    </mc:AlternateContent>
    <mc:AlternateContent xmlns:mc="http://schemas.openxmlformats.org/markup-compatibility/2006">
      <mc:Choice Requires="x14">
        <control shapeId="102405" r:id="rId12" name="cmdAddParamQualifier1">
          <controlPr defaultSize="0" autoLine="0" r:id="rId13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819150</xdr:colOff>
                <xdr:row>5</xdr:row>
                <xdr:rowOff>19050</xdr:rowOff>
              </to>
            </anchor>
          </controlPr>
        </control>
      </mc:Choice>
      <mc:Fallback>
        <control shapeId="102405" r:id="rId12" name="cmdAddParamQualifier1"/>
      </mc:Fallback>
    </mc:AlternateContent>
    <mc:AlternateContent xmlns:mc="http://schemas.openxmlformats.org/markup-compatibility/2006">
      <mc:Choice Requires="x14">
        <control shapeId="102407" r:id="rId14" name="cmdCommName">
          <controlPr defaultSize="0" autoLine="0" r:id="rId15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6</xdr:col>
                <xdr:colOff>19050</xdr:colOff>
                <xdr:row>2</xdr:row>
                <xdr:rowOff>238125</xdr:rowOff>
              </to>
            </anchor>
          </controlPr>
        </control>
      </mc:Choice>
      <mc:Fallback>
        <control shapeId="102407" r:id="rId14" name="cmdCommName"/>
      </mc:Fallback>
    </mc:AlternateContent>
    <mc:AlternateContent xmlns:mc="http://schemas.openxmlformats.org/markup-compatibility/2006">
      <mc:Choice Requires="x14">
        <control shapeId="102408" r:id="rId16" name="cmdTimeSlice">
          <controlPr defaultSize="0" autoLine="0" r:id="rId17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19050</xdr:colOff>
                <xdr:row>2</xdr:row>
                <xdr:rowOff>238125</xdr:rowOff>
              </to>
            </anchor>
          </controlPr>
        </control>
      </mc:Choice>
      <mc:Fallback>
        <control shapeId="102408" r:id="rId16" name="cmdTimeSlice"/>
      </mc:Fallback>
    </mc:AlternateContent>
    <mc:AlternateContent xmlns:mc="http://schemas.openxmlformats.org/markup-compatibility/2006">
      <mc:Choice Requires="x14">
        <control shapeId="102409" r:id="rId18" name="cmdAddParamQualifier2">
          <controlPr defaultSize="0" autoLine="0" r:id="rId19">
            <anchor moveWithCells="1">
              <from>
                <xdr:col>0</xdr:col>
                <xdr:colOff>0</xdr:colOff>
                <xdr:row>5</xdr:row>
                <xdr:rowOff>19050</xdr:rowOff>
              </from>
              <to>
                <xdr:col>0</xdr:col>
                <xdr:colOff>819150</xdr:colOff>
                <xdr:row>6</xdr:row>
                <xdr:rowOff>38100</xdr:rowOff>
              </to>
            </anchor>
          </controlPr>
        </control>
      </mc:Choice>
      <mc:Fallback>
        <control shapeId="102409" r:id="rId18" name="cmdAddParamQualifier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7"/>
  <dimension ref="A1:G15"/>
  <sheetViews>
    <sheetView workbookViewId="0"/>
    <sheetView workbookViewId="1"/>
  </sheetViews>
  <sheetFormatPr defaultColWidth="9.140625" defaultRowHeight="11.25" x14ac:dyDescent="0.2"/>
  <cols>
    <col min="1" max="1" width="14.42578125" style="12" customWidth="1"/>
    <col min="2" max="3" width="9.140625" style="12"/>
    <col min="4" max="4" width="27.42578125" style="12" customWidth="1"/>
    <col min="5" max="5" width="10.140625" style="12" customWidth="1"/>
    <col min="6" max="6" width="28.7109375" style="12" customWidth="1"/>
    <col min="7" max="16384" width="9.140625" style="12"/>
  </cols>
  <sheetData>
    <row r="1" spans="1:7" x14ac:dyDescent="0.2">
      <c r="A1" s="11" t="s">
        <v>107</v>
      </c>
    </row>
    <row r="3" spans="1:7" ht="18.75" customHeight="1" x14ac:dyDescent="0.2"/>
    <row r="7" spans="1:7" x14ac:dyDescent="0.2">
      <c r="B7" s="11" t="s">
        <v>13</v>
      </c>
      <c r="C7" s="13" t="s">
        <v>14</v>
      </c>
      <c r="D7" s="11" t="s">
        <v>15</v>
      </c>
      <c r="E7" s="11" t="s">
        <v>20</v>
      </c>
      <c r="F7" s="11" t="s">
        <v>1</v>
      </c>
      <c r="G7" s="11" t="s">
        <v>0</v>
      </c>
    </row>
    <row r="9" spans="1:7" x14ac:dyDescent="0.2">
      <c r="A9" s="11" t="s">
        <v>25</v>
      </c>
    </row>
    <row r="10" spans="1:7" x14ac:dyDescent="0.2">
      <c r="B10" s="14" t="s">
        <v>26</v>
      </c>
      <c r="C10" s="12" t="s">
        <v>27</v>
      </c>
      <c r="D10" s="12" t="s">
        <v>28</v>
      </c>
      <c r="F10" s="14" t="s">
        <v>29</v>
      </c>
    </row>
    <row r="11" spans="1:7" x14ac:dyDescent="0.2">
      <c r="B11" s="14" t="s">
        <v>26</v>
      </c>
      <c r="C11" s="12" t="s">
        <v>30</v>
      </c>
      <c r="D11" s="12" t="s">
        <v>31</v>
      </c>
      <c r="F11" s="14" t="s">
        <v>29</v>
      </c>
    </row>
    <row r="12" spans="1:7" x14ac:dyDescent="0.2">
      <c r="B12" s="14" t="s">
        <v>26</v>
      </c>
      <c r="C12" s="12" t="s">
        <v>32</v>
      </c>
      <c r="D12" s="12" t="s">
        <v>33</v>
      </c>
      <c r="F12" s="14" t="s">
        <v>29</v>
      </c>
    </row>
    <row r="13" spans="1:7" x14ac:dyDescent="0.2">
      <c r="B13" s="14" t="s">
        <v>26</v>
      </c>
      <c r="C13" s="12" t="s">
        <v>34</v>
      </c>
      <c r="D13" s="12" t="s">
        <v>35</v>
      </c>
      <c r="F13" s="14" t="s">
        <v>29</v>
      </c>
    </row>
    <row r="14" spans="1:7" x14ac:dyDescent="0.2">
      <c r="B14" s="14" t="s">
        <v>26</v>
      </c>
      <c r="C14" s="12" t="s">
        <v>36</v>
      </c>
      <c r="D14" s="12" t="s">
        <v>37</v>
      </c>
      <c r="F14" s="14" t="s">
        <v>29</v>
      </c>
    </row>
    <row r="15" spans="1:7" x14ac:dyDescent="0.2">
      <c r="B15" s="14" t="s">
        <v>26</v>
      </c>
      <c r="C15" s="12" t="s">
        <v>38</v>
      </c>
      <c r="D15" s="12" t="s">
        <v>39</v>
      </c>
      <c r="F15" s="14" t="s">
        <v>29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297" r:id="rId4" name="cmdCheckItems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55297" r:id="rId4" name="cmdCheckItemsSheet"/>
      </mc:Fallback>
    </mc:AlternateContent>
    <mc:AlternateContent xmlns:mc="http://schemas.openxmlformats.org/markup-compatibility/2006">
      <mc:Choice Requires="x14">
        <control shapeId="55298" r:id="rId6" name="cmdSpecifyComponent">
          <controlPr defaultSize="0" autoLine="0" r:id="rId7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152400</xdr:colOff>
                <xdr:row>4</xdr:row>
                <xdr:rowOff>95250</xdr:rowOff>
              </to>
            </anchor>
          </controlPr>
        </control>
      </mc:Choice>
      <mc:Fallback>
        <control shapeId="55298" r:id="rId6" name="cmdSpecifyComponent"/>
      </mc:Fallback>
    </mc:AlternateContent>
    <mc:AlternateContent xmlns:mc="http://schemas.openxmlformats.org/markup-compatibility/2006">
      <mc:Choice Requires="x14">
        <control shapeId="55299" r:id="rId8" name="cmdSpecifyUnits">
          <controlPr defaultSize="0" autoLine="0" r:id="rId9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299" r:id="rId8" name="cmdSpecifyUnits"/>
      </mc:Fallback>
    </mc:AlternateContent>
    <mc:AlternateContent xmlns:mc="http://schemas.openxmlformats.org/markup-compatibility/2006">
      <mc:Choice Requires="x14">
        <control shapeId="55300" r:id="rId10" name="cmdSpecifySets">
          <controlPr defaultSize="0" autoLine="0" r:id="rId11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300" r:id="rId10" name="cmdSpecifySets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"/>
  <dimension ref="A1:R7"/>
  <sheetViews>
    <sheetView workbookViewId="0"/>
    <sheetView workbookViewId="1"/>
  </sheetViews>
  <sheetFormatPr defaultColWidth="9.140625" defaultRowHeight="11.25" x14ac:dyDescent="0.2"/>
  <cols>
    <col min="1" max="1" width="14.42578125" style="12" customWidth="1"/>
    <col min="2" max="2" width="12.140625" style="12" customWidth="1"/>
    <col min="3" max="8" width="9.140625" style="12"/>
    <col min="9" max="9" width="6.7109375" style="12" customWidth="1"/>
    <col min="10" max="16384" width="9.140625" style="12"/>
  </cols>
  <sheetData>
    <row r="1" spans="1:18" x14ac:dyDescent="0.2">
      <c r="A1" s="11" t="s">
        <v>10</v>
      </c>
    </row>
    <row r="3" spans="1:18" ht="17.25" customHeight="1" x14ac:dyDescent="0.2"/>
    <row r="7" spans="1:18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4" r:id="rId4" name="cmdPopulateDataYears">
          <controlPr defaultSize="0" autoLine="0" r:id="rId5">
            <anchor moveWithCells="1">
              <from>
                <xdr:col>0</xdr:col>
                <xdr:colOff>0</xdr:colOff>
                <xdr:row>3</xdr:row>
                <xdr:rowOff>57150</xdr:rowOff>
              </from>
              <to>
                <xdr:col>0</xdr:col>
                <xdr:colOff>819150</xdr:colOff>
                <xdr:row>6</xdr:row>
                <xdr:rowOff>0</xdr:rowOff>
              </to>
            </anchor>
          </controlPr>
        </control>
      </mc:Choice>
      <mc:Fallback>
        <control shapeId="57354" r:id="rId4" name="cmdPopulateDataYears"/>
      </mc:Fallback>
    </mc:AlternateContent>
    <mc:AlternateContent xmlns:mc="http://schemas.openxmlformats.org/markup-compatibility/2006">
      <mc:Choice Requires="x14">
        <control shapeId="57345" r:id="rId6" name="cmdCheckTSData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19050</xdr:rowOff>
              </to>
            </anchor>
          </controlPr>
        </control>
      </mc:Choice>
      <mc:Fallback>
        <control shapeId="57345" r:id="rId6" name="cmdCheckTSDataSheet"/>
      </mc:Fallback>
    </mc:AlternateContent>
    <mc:AlternateContent xmlns:mc="http://schemas.openxmlformats.org/markup-compatibility/2006">
      <mc:Choice Requires="x14">
        <control shapeId="57346" r:id="rId8" name="cmdSpecifyParameter">
          <controlPr defaultSize="0" autoLine="0" r:id="rId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6" r:id="rId8" name="cmdSpecifyParameter"/>
      </mc:Fallback>
    </mc:AlternateContent>
    <mc:AlternateContent xmlns:mc="http://schemas.openxmlformats.org/markup-compatibility/2006">
      <mc:Choice Requires="x14">
        <control shapeId="57347" r:id="rId10" name="cmdSpecifyArg1">
          <controlPr defaultSize="0" autoLine="0" r:id="rId11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3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7" r:id="rId10" name="cmdSpecifyArg1"/>
      </mc:Fallback>
    </mc:AlternateContent>
    <mc:AlternateContent xmlns:mc="http://schemas.openxmlformats.org/markup-compatibility/2006">
      <mc:Choice Requires="x14">
        <control shapeId="57348" r:id="rId12" name="cmdSpecifyArg2">
          <controlPr defaultSize="0" autoLine="0" r:id="rId13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8" r:id="rId12" name="cmdSpecifyArg2"/>
      </mc:Fallback>
    </mc:AlternateContent>
    <mc:AlternateContent xmlns:mc="http://schemas.openxmlformats.org/markup-compatibility/2006">
      <mc:Choice Requires="x14">
        <control shapeId="57349" r:id="rId14" name="cmdSpecifyArg3">
          <controlPr defaultSize="0" autoLine="0" r:id="rId15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9" r:id="rId14" name="cmdSpecifyArg3"/>
      </mc:Fallback>
    </mc:AlternateContent>
    <mc:AlternateContent xmlns:mc="http://schemas.openxmlformats.org/markup-compatibility/2006">
      <mc:Choice Requires="x14">
        <control shapeId="57350" r:id="rId16" name="cmdSpecifyArg4">
          <controlPr defaultSize="0" autoLine="0" r:id="rId17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0" r:id="rId16" name="cmdSpecifyArg4"/>
      </mc:Fallback>
    </mc:AlternateContent>
    <mc:AlternateContent xmlns:mc="http://schemas.openxmlformats.org/markup-compatibility/2006">
      <mc:Choice Requires="x14">
        <control shapeId="57351" r:id="rId18" name="cmdSpecifyArg5">
          <controlPr defaultSize="0" autoLine="0" r:id="rId19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1" r:id="rId18" name="cmdSpecifyArg5"/>
      </mc:Fallback>
    </mc:AlternateContent>
    <mc:AlternateContent xmlns:mc="http://schemas.openxmlformats.org/markup-compatibility/2006">
      <mc:Choice Requires="x14">
        <control shapeId="57352" r:id="rId20" name="cmdSpecifyArg6">
          <controlPr defaultSize="0" autoLine="0" r:id="rId21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2" r:id="rId20" name="cmdSpecifyArg6"/>
      </mc:Fallback>
    </mc:AlternateContent>
    <mc:AlternateContent xmlns:mc="http://schemas.openxmlformats.org/markup-compatibility/2006">
      <mc:Choice Requires="x14">
        <control shapeId="57353" r:id="rId22" name="cmdSpecifyIEOptcode">
          <controlPr defaultSize="0" autoLine="0" autoPict="0" r:id="rId23">
            <anchor moveWithCells="1">
              <from>
                <xdr:col>8</xdr:col>
                <xdr:colOff>9525</xdr:colOff>
                <xdr:row>3</xdr:row>
                <xdr:rowOff>0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57353" r:id="rId22" name="cmdSpecifyIEOptcode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0"/>
  <dimension ref="A1:I7"/>
  <sheetViews>
    <sheetView workbookViewId="0"/>
    <sheetView workbookViewId="1"/>
  </sheetViews>
  <sheetFormatPr defaultColWidth="9.140625" defaultRowHeight="11.25" x14ac:dyDescent="0.2"/>
  <cols>
    <col min="1" max="1" width="15.42578125" style="12" customWidth="1"/>
    <col min="2" max="2" width="12" style="12" customWidth="1"/>
    <col min="3" max="16384" width="9.140625" style="12"/>
  </cols>
  <sheetData>
    <row r="1" spans="1:9" x14ac:dyDescent="0.2">
      <c r="A1" s="11" t="s">
        <v>23</v>
      </c>
    </row>
    <row r="3" spans="1:9" ht="15.75" customHeight="1" x14ac:dyDescent="0.2"/>
    <row r="4" spans="1:9" ht="12.75" customHeight="1" x14ac:dyDescent="0.2"/>
    <row r="7" spans="1:9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21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69" r:id="rId4" name="cmdCheckTIDDataSheet">
          <controlPr defaultSize="0" autoLine="0" r:id="rId5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819150</xdr:colOff>
                <xdr:row>3</xdr:row>
                <xdr:rowOff>38100</xdr:rowOff>
              </to>
            </anchor>
          </controlPr>
        </control>
      </mc:Choice>
      <mc:Fallback>
        <control shapeId="58369" r:id="rId4" name="cmdCheckTIDDataSheet"/>
      </mc:Fallback>
    </mc:AlternateContent>
    <mc:AlternateContent xmlns:mc="http://schemas.openxmlformats.org/markup-compatibility/2006">
      <mc:Choice Requires="x14">
        <control shapeId="58370" r:id="rId6" name="cmdSpecifyParameter">
          <controlPr defaultSize="0" autoLine="0" r:id="rId7">
            <anchor moveWithCells="1">
              <from>
                <xdr:col>1</xdr:col>
                <xdr:colOff>0</xdr:colOff>
                <xdr:row>3</xdr:row>
                <xdr:rowOff>9525</xdr:rowOff>
              </from>
              <to>
                <xdr:col>2</xdr:col>
                <xdr:colOff>19050</xdr:colOff>
                <xdr:row>4</xdr:row>
                <xdr:rowOff>95250</xdr:rowOff>
              </to>
            </anchor>
          </controlPr>
        </control>
      </mc:Choice>
      <mc:Fallback>
        <control shapeId="58370" r:id="rId6" name="cmdSpecifyParameter"/>
      </mc:Fallback>
    </mc:AlternateContent>
    <mc:AlternateContent xmlns:mc="http://schemas.openxmlformats.org/markup-compatibility/2006">
      <mc:Choice Requires="x14">
        <control shapeId="58371" r:id="rId8" name="cmdSpecifyArg1">
          <controlPr defaultSize="0" autoLine="0" r:id="rId9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1" r:id="rId8" name="cmdSpecifyArg1"/>
      </mc:Fallback>
    </mc:AlternateContent>
    <mc:AlternateContent xmlns:mc="http://schemas.openxmlformats.org/markup-compatibility/2006">
      <mc:Choice Requires="x14">
        <control shapeId="58372" r:id="rId10" name="cmdSpecifyArg2">
          <controlPr defaultSize="0" autoLine="0" r:id="rId11">
            <anchor moveWithCells="1">
              <from>
                <xdr:col>3</xdr:col>
                <xdr:colOff>0</xdr:colOff>
                <xdr:row>3</xdr:row>
                <xdr:rowOff>9525</xdr:rowOff>
              </from>
              <to>
                <xdr:col>4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2" r:id="rId10" name="cmdSpecifyArg2"/>
      </mc:Fallback>
    </mc:AlternateContent>
    <mc:AlternateContent xmlns:mc="http://schemas.openxmlformats.org/markup-compatibility/2006">
      <mc:Choice Requires="x14">
        <control shapeId="58373" r:id="rId12" name="cmdSpecifyArg3">
          <controlPr defaultSize="0" autoLine="0" r:id="rId13">
            <anchor moveWithCells="1">
              <from>
                <xdr:col>4</xdr:col>
                <xdr:colOff>0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3" r:id="rId12" name="cmdSpecifyArg3"/>
      </mc:Fallback>
    </mc:AlternateContent>
    <mc:AlternateContent xmlns:mc="http://schemas.openxmlformats.org/markup-compatibility/2006">
      <mc:Choice Requires="x14">
        <control shapeId="58374" r:id="rId14" name="cmdSpecifyArg4">
          <controlPr defaultSize="0" autoLine="0" r:id="rId15">
            <anchor moveWithCells="1">
              <from>
                <xdr:col>5</xdr:col>
                <xdr:colOff>0</xdr:colOff>
                <xdr:row>3</xdr:row>
                <xdr:rowOff>9525</xdr:rowOff>
              </from>
              <to>
                <xdr:col>6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4" r:id="rId14" name="cmdSpecifyArg4"/>
      </mc:Fallback>
    </mc:AlternateContent>
    <mc:AlternateContent xmlns:mc="http://schemas.openxmlformats.org/markup-compatibility/2006">
      <mc:Choice Requires="x14">
        <control shapeId="58375" r:id="rId16" name="cmdSpecifyArg5">
          <controlPr defaultSize="0" autoLine="0" r:id="rId17">
            <anchor moveWithCells="1">
              <from>
                <xdr:col>6</xdr:col>
                <xdr:colOff>0</xdr:colOff>
                <xdr:row>3</xdr:row>
                <xdr:rowOff>9525</xdr:rowOff>
              </from>
              <to>
                <xdr:col>7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5" r:id="rId16" name="cmdSpecifyArg5"/>
      </mc:Fallback>
    </mc:AlternateContent>
    <mc:AlternateContent xmlns:mc="http://schemas.openxmlformats.org/markup-compatibility/2006">
      <mc:Choice Requires="x14">
        <control shapeId="58376" r:id="rId18" name="cmdSpecifyArg6">
          <controlPr defaultSize="0" autoLine="0" r:id="rId19">
            <anchor moveWithCells="1">
              <from>
                <xdr:col>7</xdr:col>
                <xdr:colOff>0</xdr:colOff>
                <xdr:row>3</xdr:row>
                <xdr:rowOff>9525</xdr:rowOff>
              </from>
              <to>
                <xdr:col>8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6" r:id="rId18" name="cmdSpecifyArg6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1"/>
  <dimension ref="A1:R7"/>
  <sheetViews>
    <sheetView workbookViewId="0"/>
    <sheetView workbookViewId="1"/>
  </sheetViews>
  <sheetFormatPr defaultColWidth="9.140625" defaultRowHeight="11.25" x14ac:dyDescent="0.2"/>
  <cols>
    <col min="1" max="1" width="14.85546875" style="12" customWidth="1"/>
    <col min="2" max="2" width="12" style="12" customWidth="1"/>
    <col min="3" max="3" width="9.140625" style="12"/>
    <col min="4" max="4" width="9.28515625" style="12" customWidth="1"/>
    <col min="5" max="8" width="9.140625" style="12"/>
    <col min="9" max="9" width="7.42578125" style="12" customWidth="1"/>
    <col min="10" max="16384" width="9.140625" style="12"/>
  </cols>
  <sheetData>
    <row r="1" spans="1:18" x14ac:dyDescent="0.2">
      <c r="A1" s="11" t="s">
        <v>108</v>
      </c>
    </row>
    <row r="3" spans="1:18" ht="15" customHeight="1" x14ac:dyDescent="0.2"/>
    <row r="7" spans="1:18" ht="22.5" customHeight="1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5" t="s">
        <v>22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59402" r:id="rId3" name="cmdPopulateDataYears">
          <controlPr defaultSize="0" autoLine="0" r:id="rId4">
            <anchor moveWithCells="1">
              <from>
                <xdr:col>0</xdr:col>
                <xdr:colOff>28575</xdr:colOff>
                <xdr:row>4</xdr:row>
                <xdr:rowOff>19050</xdr:rowOff>
              </from>
              <to>
                <xdr:col>0</xdr:col>
                <xdr:colOff>857250</xdr:colOff>
                <xdr:row>6</xdr:row>
                <xdr:rowOff>104775</xdr:rowOff>
              </to>
            </anchor>
          </controlPr>
        </control>
      </mc:Choice>
      <mc:Fallback>
        <control shapeId="59402" r:id="rId3" name="cmdPopulateDataYears"/>
      </mc:Fallback>
    </mc:AlternateContent>
    <mc:AlternateContent xmlns:mc="http://schemas.openxmlformats.org/markup-compatibility/2006">
      <mc:Choice Requires="x14">
        <control shapeId="59393" r:id="rId5" name="cmdCheckTSandTIDDataSheet">
          <controlPr defaultSize="0" autoLine="0" r:id="rId6">
            <anchor moveWithCells="1">
              <from>
                <xdr:col>0</xdr:col>
                <xdr:colOff>38100</xdr:colOff>
                <xdr:row>2</xdr:row>
                <xdr:rowOff>9525</xdr:rowOff>
              </from>
              <to>
                <xdr:col>0</xdr:col>
                <xdr:colOff>857250</xdr:colOff>
                <xdr:row>3</xdr:row>
                <xdr:rowOff>57150</xdr:rowOff>
              </to>
            </anchor>
          </controlPr>
        </control>
      </mc:Choice>
      <mc:Fallback>
        <control shapeId="59393" r:id="rId5" name="cmdCheckTSandTIDDataSheet"/>
      </mc:Fallback>
    </mc:AlternateContent>
    <mc:AlternateContent xmlns:mc="http://schemas.openxmlformats.org/markup-compatibility/2006">
      <mc:Choice Requires="x14">
        <control shapeId="59394" r:id="rId7" name="cmdSpecifyParameter">
          <controlPr defaultSize="0" autoLine="0" r:id="rId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9394" r:id="rId7" name="cmdSpecifyParameter"/>
      </mc:Fallback>
    </mc:AlternateContent>
    <mc:AlternateContent xmlns:mc="http://schemas.openxmlformats.org/markup-compatibility/2006">
      <mc:Choice Requires="x14">
        <control shapeId="59395" r:id="rId9" name="cmdSpecifyArg1">
          <controlPr defaultSize="0" autoLine="0" r:id="rId10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5" r:id="rId9" name="cmdSpecifyArg1"/>
      </mc:Fallback>
    </mc:AlternateContent>
    <mc:AlternateContent xmlns:mc="http://schemas.openxmlformats.org/markup-compatibility/2006">
      <mc:Choice Requires="x14">
        <control shapeId="59396" r:id="rId11" name="cmdSpecifyArg2">
          <controlPr defaultSize="0" autoLine="0" r:id="rId12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104775</xdr:rowOff>
              </to>
            </anchor>
          </controlPr>
        </control>
      </mc:Choice>
      <mc:Fallback>
        <control shapeId="59396" r:id="rId11" name="cmdSpecifyArg2"/>
      </mc:Fallback>
    </mc:AlternateContent>
    <mc:AlternateContent xmlns:mc="http://schemas.openxmlformats.org/markup-compatibility/2006">
      <mc:Choice Requires="x14">
        <control shapeId="59397" r:id="rId13" name="cmdSpecifyArg3">
          <controlPr defaultSize="0" autoLine="0" r:id="rId14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7" r:id="rId13" name="cmdSpecifyArg3"/>
      </mc:Fallback>
    </mc:AlternateContent>
    <mc:AlternateContent xmlns:mc="http://schemas.openxmlformats.org/markup-compatibility/2006">
      <mc:Choice Requires="x14">
        <control shapeId="59398" r:id="rId15" name="cmdSpecifyArg4">
          <controlPr defaultSize="0" autoLine="0" r:id="rId16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8" r:id="rId15" name="cmdSpecifyArg4"/>
      </mc:Fallback>
    </mc:AlternateContent>
    <mc:AlternateContent xmlns:mc="http://schemas.openxmlformats.org/markup-compatibility/2006">
      <mc:Choice Requires="x14">
        <control shapeId="59399" r:id="rId17" name="cmdSpecifyArg5">
          <controlPr defaultSize="0" autoLine="0" r:id="rId18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9" r:id="rId17" name="cmdSpecifyArg5"/>
      </mc:Fallback>
    </mc:AlternateContent>
    <mc:AlternateContent xmlns:mc="http://schemas.openxmlformats.org/markup-compatibility/2006">
      <mc:Choice Requires="x14">
        <control shapeId="59400" r:id="rId19" name="cmdSpecifyArg6">
          <controlPr defaultSize="0" autoLine="0" r:id="rId20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8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400" r:id="rId19" name="cmdSpecifyArg6"/>
      </mc:Fallback>
    </mc:AlternateContent>
    <mc:AlternateContent xmlns:mc="http://schemas.openxmlformats.org/markup-compatibility/2006">
      <mc:Choice Requires="x14">
        <control shapeId="59401" r:id="rId21" name="cmdSpecifyIEOptcode">
          <controlPr defaultSize="0" autoLine="0" r:id="rId22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8</xdr:col>
                <xdr:colOff>476250</xdr:colOff>
                <xdr:row>4</xdr:row>
                <xdr:rowOff>104775</xdr:rowOff>
              </to>
            </anchor>
          </controlPr>
        </control>
      </mc:Choice>
      <mc:Fallback>
        <control shapeId="59401" r:id="rId21" name="cmdSpecifyIEOptcode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2"/>
  <dimension ref="A1:S9"/>
  <sheetViews>
    <sheetView workbookViewId="0"/>
    <sheetView workbookViewId="1"/>
  </sheetViews>
  <sheetFormatPr defaultColWidth="9.140625" defaultRowHeight="11.25" x14ac:dyDescent="0.2"/>
  <cols>
    <col min="1" max="1" width="12.7109375" style="12" customWidth="1"/>
    <col min="2" max="2" width="11.5703125" style="12" customWidth="1"/>
    <col min="3" max="3" width="11.85546875" style="12" customWidth="1"/>
    <col min="4" max="4" width="9.42578125" style="12" customWidth="1"/>
    <col min="5" max="5" width="9.28515625" style="12" customWidth="1"/>
    <col min="6" max="9" width="9.140625" style="12"/>
    <col min="10" max="10" width="7.140625" style="12" customWidth="1"/>
    <col min="11" max="16384" width="9.140625" style="12"/>
  </cols>
  <sheetData>
    <row r="1" spans="1:19" x14ac:dyDescent="0.2">
      <c r="A1" s="11" t="s">
        <v>11</v>
      </c>
    </row>
    <row r="3" spans="1:19" ht="18.75" customHeight="1" x14ac:dyDescent="0.2"/>
    <row r="7" spans="1:19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9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x14ac:dyDescent="0.2">
      <c r="A9" s="11" t="s">
        <v>113</v>
      </c>
    </row>
  </sheetData>
  <phoneticPr fontId="1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60427" r:id="rId3" name="cmdPopulateDataYears">
          <controlPr defaultSize="0" autoLine="0" r:id="rId4">
            <anchor moveWithCells="1">
              <from>
                <xdr:col>0</xdr:col>
                <xdr:colOff>19050</xdr:colOff>
                <xdr:row>3</xdr:row>
                <xdr:rowOff>19050</xdr:rowOff>
              </from>
              <to>
                <xdr:col>1</xdr:col>
                <xdr:colOff>0</xdr:colOff>
                <xdr:row>5</xdr:row>
                <xdr:rowOff>104775</xdr:rowOff>
              </to>
            </anchor>
          </controlPr>
        </control>
      </mc:Choice>
      <mc:Fallback>
        <control shapeId="60427" r:id="rId3" name="cmdPopulateDataYears"/>
      </mc:Fallback>
    </mc:AlternateContent>
    <mc:AlternateContent xmlns:mc="http://schemas.openxmlformats.org/markup-compatibility/2006">
      <mc:Choice Requires="x14">
        <control shapeId="60418" r:id="rId5" name="cmdSpecifyParameter">
          <controlPr defaultSize="0" autoLine="0" r:id="rId6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18" r:id="rId5" name="cmdSpecifyParameter"/>
      </mc:Fallback>
    </mc:AlternateContent>
    <mc:AlternateContent xmlns:mc="http://schemas.openxmlformats.org/markup-compatibility/2006">
      <mc:Choice Requires="x14">
        <control shapeId="60419" r:id="rId7" name="cmdSpecifyArg1">
          <controlPr defaultSize="0" autoLine="0" r:id="rId8">
            <anchor moveWithCells="1">
              <from>
                <xdr:col>3</xdr:col>
                <xdr:colOff>19050</xdr:colOff>
                <xdr:row>3</xdr:row>
                <xdr:rowOff>0</xdr:rowOff>
              </from>
              <to>
                <xdr:col>4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19" r:id="rId7" name="cmdSpecifyArg1"/>
      </mc:Fallback>
    </mc:AlternateContent>
    <mc:AlternateContent xmlns:mc="http://schemas.openxmlformats.org/markup-compatibility/2006">
      <mc:Choice Requires="x14">
        <control shapeId="60420" r:id="rId9" name="cmdSpecifyArg2">
          <controlPr defaultSize="0" autoLine="0" r:id="rId10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20" r:id="rId9" name="cmdSpecifyArg2"/>
      </mc:Fallback>
    </mc:AlternateContent>
    <mc:AlternateContent xmlns:mc="http://schemas.openxmlformats.org/markup-compatibility/2006">
      <mc:Choice Requires="x14">
        <control shapeId="60421" r:id="rId11" name="cmdSpecifyArg3">
          <controlPr defaultSize="0" autoLine="0" r:id="rId12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1" r:id="rId11" name="cmdSpecifyArg3"/>
      </mc:Fallback>
    </mc:AlternateContent>
    <mc:AlternateContent xmlns:mc="http://schemas.openxmlformats.org/markup-compatibility/2006">
      <mc:Choice Requires="x14">
        <control shapeId="60422" r:id="rId13" name="cmdSpecifyArg4">
          <controlPr defaultSize="0" autoLine="0" r:id="rId14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2" r:id="rId13" name="cmdSpecifyArg4"/>
      </mc:Fallback>
    </mc:AlternateContent>
    <mc:AlternateContent xmlns:mc="http://schemas.openxmlformats.org/markup-compatibility/2006">
      <mc:Choice Requires="x14">
        <control shapeId="60423" r:id="rId15" name="cmdSpecifyArg5">
          <controlPr defaultSize="0" autoLine="0" r:id="rId16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3" r:id="rId15" name="cmdSpecifyArg5"/>
      </mc:Fallback>
    </mc:AlternateContent>
    <mc:AlternateContent xmlns:mc="http://schemas.openxmlformats.org/markup-compatibility/2006">
      <mc:Choice Requires="x14">
        <control shapeId="60424" r:id="rId17" name="cmdSpecifyArg6">
          <controlPr defaultSize="0" autoLine="0" r:id="rId18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9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24" r:id="rId17" name="cmdSpecifyArg6"/>
      </mc:Fallback>
    </mc:AlternateContent>
    <mc:AlternateContent xmlns:mc="http://schemas.openxmlformats.org/markup-compatibility/2006">
      <mc:Choice Requires="x14">
        <control shapeId="60425" r:id="rId19" name="cmdSpecifyIEOptcode">
          <controlPr defaultSize="0" autoLine="0" autoPict="0" r:id="rId20">
            <anchor moveWithCells="1">
              <from>
                <xdr:col>9</xdr:col>
                <xdr:colOff>19050</xdr:colOff>
                <xdr:row>3</xdr:row>
                <xdr:rowOff>0</xdr:rowOff>
              </from>
              <to>
                <xdr:col>10</xdr:col>
                <xdr:colOff>0</xdr:colOff>
                <xdr:row>4</xdr:row>
                <xdr:rowOff>85725</xdr:rowOff>
              </to>
            </anchor>
          </controlPr>
        </control>
      </mc:Choice>
      <mc:Fallback>
        <control shapeId="60425" r:id="rId19" name="cmdSpecifyIEOptcode"/>
      </mc:Fallback>
    </mc:AlternateContent>
    <mc:AlternateContent xmlns:mc="http://schemas.openxmlformats.org/markup-compatibility/2006">
      <mc:Choice Requires="x14">
        <control shapeId="60426" r:id="rId21" name="cmdCheckTSTradeSheet">
          <controlPr defaultSize="0" autoLine="0" r:id="rId22">
            <anchor moveWithCells="1">
              <from>
                <xdr:col>0</xdr:col>
                <xdr:colOff>19050</xdr:colOff>
                <xdr:row>2</xdr:row>
                <xdr:rowOff>0</xdr:rowOff>
              </from>
              <to>
                <xdr:col>1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60426" r:id="rId21" name="cmdCheckTSTradeSheet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3"/>
  <dimension ref="A1:J9"/>
  <sheetViews>
    <sheetView workbookViewId="0"/>
    <sheetView workbookViewId="1"/>
  </sheetViews>
  <sheetFormatPr defaultColWidth="9.140625" defaultRowHeight="11.25" x14ac:dyDescent="0.2"/>
  <cols>
    <col min="1" max="1" width="13.140625" style="12" customWidth="1"/>
    <col min="2" max="2" width="10.7109375" style="12" customWidth="1"/>
    <col min="3" max="3" width="11.85546875" style="12" customWidth="1"/>
    <col min="4" max="4" width="9.42578125" style="12" customWidth="1"/>
    <col min="5" max="5" width="9.28515625" style="12" customWidth="1"/>
    <col min="6" max="16384" width="9.140625" style="12"/>
  </cols>
  <sheetData>
    <row r="1" spans="1:10" x14ac:dyDescent="0.2">
      <c r="A1" s="11" t="s">
        <v>12</v>
      </c>
    </row>
    <row r="3" spans="1:10" ht="15.75" customHeight="1" x14ac:dyDescent="0.2"/>
    <row r="7" spans="1:10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21</v>
      </c>
    </row>
    <row r="9" spans="1:10" x14ac:dyDescent="0.2">
      <c r="A9" s="11" t="s">
        <v>112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2" r:id="rId4" name="cmdCheckTIDTrade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38100</xdr:rowOff>
              </to>
            </anchor>
          </controlPr>
        </control>
      </mc:Choice>
      <mc:Fallback>
        <control shapeId="61442" r:id="rId4" name="cmdCheckTIDTradeSheet"/>
      </mc:Fallback>
    </mc:AlternateContent>
    <mc:AlternateContent xmlns:mc="http://schemas.openxmlformats.org/markup-compatibility/2006">
      <mc:Choice Requires="x14">
        <control shapeId="61443" r:id="rId6" name="cmdSpecifyParameter">
          <controlPr defaultSize="0" autoLine="0" r:id="rId7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28575</xdr:colOff>
                <xdr:row>4</xdr:row>
                <xdr:rowOff>114300</xdr:rowOff>
              </to>
            </anchor>
          </controlPr>
        </control>
      </mc:Choice>
      <mc:Fallback>
        <control shapeId="61443" r:id="rId6" name="cmdSpecifyParameter"/>
      </mc:Fallback>
    </mc:AlternateContent>
    <mc:AlternateContent xmlns:mc="http://schemas.openxmlformats.org/markup-compatibility/2006">
      <mc:Choice Requires="x14">
        <control shapeId="61444" r:id="rId8" name="cmdSpecifyArg1">
          <controlPr defaultSize="0" autoLine="0" r:id="rId9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0</xdr:colOff>
                <xdr:row>4</xdr:row>
                <xdr:rowOff>114300</xdr:rowOff>
              </to>
            </anchor>
          </controlPr>
        </control>
      </mc:Choice>
      <mc:Fallback>
        <control shapeId="61444" r:id="rId8" name="cmdSpecifyArg1"/>
      </mc:Fallback>
    </mc:AlternateContent>
    <mc:AlternateContent xmlns:mc="http://schemas.openxmlformats.org/markup-compatibility/2006">
      <mc:Choice Requires="x14">
        <control shapeId="61445" r:id="rId10" name="cmdSpecifyArg2">
          <controlPr defaultSize="0" autoLine="0" r:id="rId11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1445" r:id="rId10" name="cmdSpecifyArg2"/>
      </mc:Fallback>
    </mc:AlternateContent>
    <mc:AlternateContent xmlns:mc="http://schemas.openxmlformats.org/markup-compatibility/2006">
      <mc:Choice Requires="x14">
        <control shapeId="61446" r:id="rId12" name="cmdSpecifyArg3">
          <controlPr defaultSize="0" autoLine="0" r:id="rId13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6" r:id="rId12" name="cmdSpecifyArg3"/>
      </mc:Fallback>
    </mc:AlternateContent>
    <mc:AlternateContent xmlns:mc="http://schemas.openxmlformats.org/markup-compatibility/2006">
      <mc:Choice Requires="x14">
        <control shapeId="61447" r:id="rId14" name="cmdSpecifyArg4">
          <controlPr defaultSize="0" autoLine="0" r:id="rId15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7" r:id="rId14" name="cmdSpecifyArg4"/>
      </mc:Fallback>
    </mc:AlternateContent>
    <mc:AlternateContent xmlns:mc="http://schemas.openxmlformats.org/markup-compatibility/2006">
      <mc:Choice Requires="x14">
        <control shapeId="61448" r:id="rId16" name="cmdSpecifyArg5">
          <controlPr defaultSize="0" autoLine="0" r:id="rId17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8" r:id="rId16" name="cmdSpecifyArg5"/>
      </mc:Fallback>
    </mc:AlternateContent>
    <mc:AlternateContent xmlns:mc="http://schemas.openxmlformats.org/markup-compatibility/2006">
      <mc:Choice Requires="x14">
        <control shapeId="61449" r:id="rId18" name="cmdSpecifyArg6">
          <controlPr defaultSize="0" autoLine="0" r:id="rId19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9" r:id="rId18" name="cmdSpecifyArg6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"/>
  <dimension ref="A1:S9"/>
  <sheetViews>
    <sheetView workbookViewId="0"/>
    <sheetView workbookViewId="1"/>
  </sheetViews>
  <sheetFormatPr defaultColWidth="9.140625" defaultRowHeight="13.5" customHeight="1" x14ac:dyDescent="0.2"/>
  <cols>
    <col min="1" max="1" width="12.5703125" style="12" customWidth="1"/>
    <col min="2" max="2" width="9.140625" style="12"/>
    <col min="3" max="3" width="12.28515625" style="12" customWidth="1"/>
    <col min="4" max="9" width="9.140625" style="12"/>
    <col min="10" max="10" width="7.42578125" style="12" customWidth="1"/>
    <col min="11" max="16384" width="9.140625" style="12"/>
  </cols>
  <sheetData>
    <row r="1" spans="1:19" ht="13.5" customHeight="1" x14ac:dyDescent="0.2">
      <c r="A1" s="11" t="s">
        <v>109</v>
      </c>
    </row>
    <row r="3" spans="1:19" ht="20.25" customHeight="1" x14ac:dyDescent="0.2"/>
    <row r="7" spans="1:19" ht="23.25" customHeight="1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5" t="s">
        <v>22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ht="13.5" customHeight="1" x14ac:dyDescent="0.2">
      <c r="A9" s="11" t="s">
        <v>111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5" r:id="rId4" name="cmdPopulateDataYears">
          <controlPr defaultSize="0" autoLine="0" r:id="rId5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62475" r:id="rId4" name="cmdPopulateDataYears"/>
      </mc:Fallback>
    </mc:AlternateContent>
    <mc:AlternateContent xmlns:mc="http://schemas.openxmlformats.org/markup-compatibility/2006">
      <mc:Choice Requires="x14">
        <control shapeId="62466" r:id="rId6" name="cmdCheckTSandTIDTradeSheet">
          <controlPr defaultSize="0" autoLine="0" r:id="rId7">
            <anchor moveWithCells="1">
              <from>
                <xdr:col>0</xdr:col>
                <xdr:colOff>9525</xdr:colOff>
                <xdr:row>2</xdr:row>
                <xdr:rowOff>19050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62466" r:id="rId6" name="cmdCheckTSandTIDTradeSheet"/>
      </mc:Fallback>
    </mc:AlternateContent>
    <mc:AlternateContent xmlns:mc="http://schemas.openxmlformats.org/markup-compatibility/2006">
      <mc:Choice Requires="x14">
        <control shapeId="62467" r:id="rId8" name="cmdSpecifyParameter">
          <controlPr defaultSize="0" autoLine="0" r:id="rId9">
            <anchor moveWithCells="1">
              <from>
                <xdr:col>2</xdr:col>
                <xdr:colOff>9525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67" r:id="rId8" name="cmdSpecifyParameter"/>
      </mc:Fallback>
    </mc:AlternateContent>
    <mc:AlternateContent xmlns:mc="http://schemas.openxmlformats.org/markup-compatibility/2006">
      <mc:Choice Requires="x14">
        <control shapeId="62468" r:id="rId10" name="cmdSpecifyArg1">
          <controlPr defaultSize="0" autoLine="0" r:id="rId11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8" r:id="rId10" name="cmdSpecifyArg1"/>
      </mc:Fallback>
    </mc:AlternateContent>
    <mc:AlternateContent xmlns:mc="http://schemas.openxmlformats.org/markup-compatibility/2006">
      <mc:Choice Requires="x14">
        <control shapeId="62469" r:id="rId12" name="cmdSpecifyArg2">
          <controlPr defaultSize="0" autoLine="0" r:id="rId13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9" r:id="rId12" name="cmdSpecifyArg2"/>
      </mc:Fallback>
    </mc:AlternateContent>
    <mc:AlternateContent xmlns:mc="http://schemas.openxmlformats.org/markup-compatibility/2006">
      <mc:Choice Requires="x14">
        <control shapeId="62470" r:id="rId14" name="cmdSpecifyArg3">
          <controlPr defaultSize="0" autoLine="0" r:id="rId15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0" r:id="rId14" name="cmdSpecifyArg3"/>
      </mc:Fallback>
    </mc:AlternateContent>
    <mc:AlternateContent xmlns:mc="http://schemas.openxmlformats.org/markup-compatibility/2006">
      <mc:Choice Requires="x14">
        <control shapeId="62471" r:id="rId16" name="cmdSpecifyArg4">
          <controlPr defaultSize="0" autoLine="0" r:id="rId17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1" r:id="rId16" name="cmdSpecifyArg4"/>
      </mc:Fallback>
    </mc:AlternateContent>
    <mc:AlternateContent xmlns:mc="http://schemas.openxmlformats.org/markup-compatibility/2006">
      <mc:Choice Requires="x14">
        <control shapeId="62472" r:id="rId18" name="cmdSpecifyArg5">
          <controlPr defaultSize="0" autoLine="0" r:id="rId19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2" r:id="rId18" name="cmdSpecifyArg5"/>
      </mc:Fallback>
    </mc:AlternateContent>
    <mc:AlternateContent xmlns:mc="http://schemas.openxmlformats.org/markup-compatibility/2006">
      <mc:Choice Requires="x14">
        <control shapeId="62473" r:id="rId20" name="cmdSpecifyArg6">
          <controlPr defaultSize="0" autoLine="0" r:id="rId21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3" r:id="rId20" name="cmdSpecifyArg6"/>
      </mc:Fallback>
    </mc:AlternateContent>
    <mc:AlternateContent xmlns:mc="http://schemas.openxmlformats.org/markup-compatibility/2006">
      <mc:Choice Requires="x14">
        <control shapeId="62474" r:id="rId22" name="cmdSpecifyIEOptcode">
          <controlPr defaultSize="0" autoLine="0" r:id="rId23">
            <anchor moveWithCells="1">
              <from>
                <xdr:col>9</xdr:col>
                <xdr:colOff>28575</xdr:colOff>
                <xdr:row>3</xdr:row>
                <xdr:rowOff>9525</xdr:rowOff>
              </from>
              <to>
                <xdr:col>10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4" r:id="rId22" name="cmdSpecifyIEOptcod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ANSv2-692-Home</vt:lpstr>
      <vt:lpstr>Index</vt:lpstr>
      <vt:lpstr>Processes</vt:lpstr>
      <vt:lpstr>Commodities</vt:lpstr>
      <vt:lpstr>ProcDataRetirement</vt:lpstr>
      <vt:lpstr>ProcDataFGD</vt:lpstr>
      <vt:lpstr>ProcDataAux</vt:lpstr>
      <vt:lpstr>ProcDataEndoRetireFX</vt:lpstr>
      <vt:lpstr>FGD</vt:lpstr>
      <vt:lpstr>retirement scenarios</vt:lpstr>
      <vt:lpstr>Deflator</vt:lpstr>
    </vt:vector>
  </TitlesOfParts>
  <Company>Noble-Soft Systems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Ken Noble</dc:creator>
  <cp:lastModifiedBy>Guy Cunliffe</cp:lastModifiedBy>
  <cp:lastPrinted>2005-06-23T04:07:43Z</cp:lastPrinted>
  <dcterms:created xsi:type="dcterms:W3CDTF">2005-05-01T12:39:10Z</dcterms:created>
  <dcterms:modified xsi:type="dcterms:W3CDTF">2023-03-21T11:00:10Z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713de5e5-8630-4467-b717-77e01c35d4d4</vt:lpwstr>
  </property>
  <property fmtid="{D5CDD505-2E9C-101B-9397-08002B2CF9AE}" pid="3" name="SaveCode">
    <vt:r8>568371057510375</vt:r8>
  </property>
</Properties>
</file>