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3.xml" ContentType="application/vnd.openxmlformats-officedocument.drawing+xml"/>
  <Override PartName="/xl/comments24.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4.xml" ContentType="application/vnd.openxmlformats-officedocument.drawing+xml"/>
  <Override PartName="/xl/comments25.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threadedComments/threadedComment9.xml" ContentType="application/vnd.ms-excel.threadedcomments+xml"/>
  <Override PartName="/xl/comments27.xml" ContentType="application/vnd.openxmlformats-officedocument.spreadsheetml.comments+xml"/>
  <Override PartName="/xl/threadedComments/threadedComment10.xml" ContentType="application/vnd.ms-excel.threadedcomments+xml"/>
  <Override PartName="/xl/comments28.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drawings/drawing27.xml" ContentType="application/vnd.openxmlformats-officedocument.drawing+xml"/>
  <Override PartName="/xl/comments35.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6.xml" ContentType="application/vnd.openxmlformats-officedocument.spreadsheetml.comments+xml"/>
  <Override PartName="/xl/comments37.xml" ContentType="application/vnd.openxmlformats-officedocument.spreadsheetml.comments+xml"/>
  <Override PartName="/xl/drawings/drawing28.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29.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3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98CE8072-E5BB-4F7A-97C8-7F737786DB31}" xr6:coauthVersionLast="46" xr6:coauthVersionMax="46" xr10:uidLastSave="{00000000-0000-0000-0000-000000000000}"/>
  <bookViews>
    <workbookView xWindow="-120" yWindow="-120" windowWidth="29040" windowHeight="15840" firstSheet="15" activeTab="17" xr2:uid="{A8F69BB2-4447-4BDA-A230-C2FC73200F46}"/>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ELT2019" sheetId="79" r:id="rId36"/>
    <sheet name="H2Storage" sheetId="85" r:id="rId37"/>
    <sheet name="H2Storage-Items" sheetId="86" r:id="rId38"/>
    <sheet name="H2Storage-TSData" sheetId="87" r:id="rId39"/>
    <sheet name="H2Storage-TIDData" sheetId="88" r:id="rId40"/>
    <sheet name="Hydrogen2012" sheetId="51"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TS_TTech!$B$1:$C$308</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6">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6">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6">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6">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HydrogenELT2019!$D$39</definedName>
    <definedName name="inchtocentimetre" localSheetId="27">[3]Distribution!$A$17</definedName>
    <definedName name="inchtocentimetre" localSheetId="36">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6">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6">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6">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6">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6">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6">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6">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6">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6">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6"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C44" i="85"/>
  <c r="C45" i="85"/>
  <c r="C46" i="85"/>
  <c r="C42" i="85"/>
  <c r="G54" i="79"/>
  <c r="H54" i="79"/>
  <c r="F54" i="79"/>
  <c r="M41" i="79"/>
  <c r="F41" i="79"/>
  <c r="H42" i="79"/>
  <c r="H41" i="79"/>
  <c r="G42" i="79"/>
  <c r="M42" i="79" s="1"/>
  <c r="J42" i="79" s="1"/>
  <c r="I42" i="79" s="1"/>
  <c r="G41" i="79"/>
  <c r="F42" i="79"/>
  <c r="H11" i="79"/>
  <c r="F57" i="79"/>
  <c r="F10" i="79"/>
  <c r="H58" i="79"/>
  <c r="G58" i="79"/>
  <c r="G11" i="79" s="1"/>
  <c r="F58" i="79"/>
  <c r="F11" i="79" s="1"/>
  <c r="H56" i="79"/>
  <c r="G56" i="79"/>
  <c r="F56" i="79"/>
  <c r="H55" i="79"/>
  <c r="H57" i="79" s="1"/>
  <c r="H10" i="79" s="1"/>
  <c r="I10" i="79" s="1"/>
  <c r="G55" i="79"/>
  <c r="G57" i="79" s="1"/>
  <c r="G10" i="79" s="1"/>
  <c r="F55" i="79"/>
  <c r="I11" i="79" l="1"/>
  <c r="J11" i="79" s="1"/>
  <c r="J10" i="79"/>
  <c r="J41" i="79"/>
  <c r="I41" i="79" s="1"/>
  <c r="I47" i="79" s="1"/>
  <c r="I49" i="79" s="1"/>
  <c r="I51" i="79" s="1"/>
  <c r="J47" i="79" l="1"/>
  <c r="J49" i="79" s="1"/>
  <c r="J51" i="79" s="1"/>
  <c r="D26" i="63"/>
  <c r="D25" i="63"/>
  <c r="D24" i="63"/>
  <c r="J6" i="79" l="1"/>
  <c r="J8" i="79" s="1"/>
  <c r="G14" i="79"/>
  <c r="G15" i="79"/>
  <c r="G16" i="79"/>
  <c r="G17" i="79" s="1"/>
  <c r="J40" i="79"/>
  <c r="I40" i="79"/>
  <c r="G40" i="79"/>
  <c r="H40" i="79"/>
  <c r="F40" i="79"/>
  <c r="J48" i="79"/>
  <c r="J50" i="79" s="1"/>
  <c r="J52" i="79" s="1"/>
  <c r="J7" i="79" s="1"/>
  <c r="D9" i="79"/>
  <c r="I48" i="79"/>
  <c r="I50" i="79" s="1"/>
  <c r="I52" i="79" s="1"/>
  <c r="I6" i="79" l="1"/>
  <c r="I7" i="79"/>
  <c r="H47" i="79" l="1"/>
  <c r="H49" i="79" s="1"/>
  <c r="H51" i="79" s="1"/>
  <c r="H6" i="79" s="1"/>
  <c r="I46" i="79"/>
  <c r="J46" i="79"/>
  <c r="G47" i="79"/>
  <c r="G49" i="79"/>
  <c r="G51" i="79" s="1"/>
  <c r="S4" i="92" a="1"/>
  <c r="S4" i="92" s="1"/>
  <c r="T4" i="92" a="1"/>
  <c r="T4" i="92" s="1"/>
  <c r="U4" i="92" a="1"/>
  <c r="U4" i="92" s="1"/>
  <c r="V4" i="92" a="1"/>
  <c r="V4" i="92" s="1"/>
  <c r="W4" i="92" a="1"/>
  <c r="W4" i="92" s="1"/>
  <c r="X4" i="92" a="1"/>
  <c r="X4" i="92" s="1"/>
  <c r="Y4" i="92" a="1"/>
  <c r="Y4" i="92" s="1"/>
  <c r="Z4" i="92" a="1"/>
  <c r="Z4" i="92" s="1"/>
  <c r="AA4" i="92" a="1"/>
  <c r="AA4" i="92" s="1"/>
  <c r="AC4" i="92" a="1"/>
  <c r="AC4" i="92" s="1"/>
  <c r="AD4" i="92" a="1"/>
  <c r="AD4" i="92" s="1"/>
  <c r="AE4" i="92" a="1"/>
  <c r="AE4" i="92" s="1"/>
  <c r="AF4" i="92" a="1"/>
  <c r="AF4" i="92" s="1"/>
  <c r="AH4" i="92" a="1"/>
  <c r="AH4" i="92" s="1"/>
  <c r="AI4" i="92" a="1"/>
  <c r="AI4" i="92" s="1"/>
  <c r="AJ4" i="92" a="1"/>
  <c r="AJ4" i="92" s="1"/>
  <c r="AK4" i="92" a="1"/>
  <c r="AK4" i="92" s="1"/>
  <c r="AM4" i="92" a="1"/>
  <c r="AM4" i="92" s="1"/>
  <c r="S5" i="92" a="1"/>
  <c r="S5" i="92" s="1"/>
  <c r="T5" i="92" a="1"/>
  <c r="T5" i="92" s="1"/>
  <c r="U5" i="92" a="1"/>
  <c r="U5" i="92" s="1"/>
  <c r="V5" i="92" a="1"/>
  <c r="V5" i="92" s="1"/>
  <c r="W5" i="92" a="1"/>
  <c r="W5" i="92" s="1"/>
  <c r="X5" i="92" a="1"/>
  <c r="X5" i="92" s="1"/>
  <c r="Y5" i="92" a="1"/>
  <c r="Y5" i="92" s="1"/>
  <c r="Z5" i="92" a="1"/>
  <c r="Z5" i="92" s="1"/>
  <c r="AA5" i="92" a="1"/>
  <c r="AA5" i="92" s="1"/>
  <c r="AC5" i="92" a="1"/>
  <c r="AC5" i="92" s="1"/>
  <c r="AD5" i="92" a="1"/>
  <c r="AD5" i="92" s="1"/>
  <c r="AE5" i="92" a="1"/>
  <c r="AE5" i="92" s="1"/>
  <c r="AF5" i="92" a="1"/>
  <c r="AF5" i="92" s="1"/>
  <c r="AH5" i="92" a="1"/>
  <c r="AH5" i="92" s="1"/>
  <c r="AI5" i="92" a="1"/>
  <c r="AI5" i="92" s="1"/>
  <c r="AJ5" i="92" a="1"/>
  <c r="AJ5" i="92" s="1"/>
  <c r="AK5" i="92" a="1"/>
  <c r="AK5" i="92" s="1"/>
  <c r="AM5" i="92" a="1"/>
  <c r="AM5" i="92" s="1"/>
  <c r="J4" i="92" a="1"/>
  <c r="J4" i="92" s="1"/>
  <c r="K4" i="92" a="1"/>
  <c r="K4" i="92" s="1"/>
  <c r="L4" i="92" a="1"/>
  <c r="L4" i="92" s="1"/>
  <c r="M4" i="92" a="1"/>
  <c r="M4" i="92" s="1"/>
  <c r="N4" i="92" a="1"/>
  <c r="N4" i="92" s="1"/>
  <c r="O4" i="92" a="1"/>
  <c r="O4" i="92" s="1"/>
  <c r="P4" i="92" a="1"/>
  <c r="P4" i="92" s="1"/>
  <c r="Q4" i="92" a="1"/>
  <c r="Q4" i="92" s="1"/>
  <c r="J5" i="92" a="1"/>
  <c r="J5" i="92" s="1"/>
  <c r="K5" i="92" a="1"/>
  <c r="K5" i="92" s="1"/>
  <c r="L5" i="92" a="1"/>
  <c r="L5" i="92" s="1"/>
  <c r="M5" i="92" a="1"/>
  <c r="M5" i="92" s="1"/>
  <c r="N5" i="92" a="1"/>
  <c r="N5" i="92" s="1"/>
  <c r="O5" i="92" a="1"/>
  <c r="O5" i="92" s="1"/>
  <c r="P5" i="92" a="1"/>
  <c r="P5" i="92" s="1"/>
  <c r="Q5" i="92" a="1"/>
  <c r="Q5" i="92" s="1"/>
  <c r="D9" i="92"/>
  <c r="D8" i="92"/>
  <c r="D7" i="92"/>
  <c r="D6" i="92"/>
  <c r="D7" i="93"/>
  <c r="D11" i="93" s="1"/>
  <c r="D6" i="93"/>
  <c r="D10" i="93" s="1"/>
  <c r="D5" i="93"/>
  <c r="D13" i="93" s="1"/>
  <c r="D4" i="93"/>
  <c r="D12"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35" i="94"/>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I310" i="28"/>
  <c r="H310" i="28"/>
  <c r="G310" i="28"/>
  <c r="F310" i="28"/>
  <c r="E310" i="28"/>
  <c r="D310" i="28"/>
  <c r="B310"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8" i="7"/>
  <c r="Q165" i="7"/>
  <c r="F17" i="79"/>
  <c r="Z3" i="92" l="1" a="1"/>
  <c r="Z3" i="92" s="1"/>
  <c r="R11" i="92" a="1"/>
  <c r="R11" i="92" s="1"/>
  <c r="J13" i="92" a="1"/>
  <c r="J13" i="92" s="1"/>
  <c r="Q12" i="92" a="1"/>
  <c r="Q12" i="92" s="1"/>
  <c r="N14" i="92" a="1"/>
  <c r="N14" i="92" s="1"/>
  <c r="W7" i="92" a="1"/>
  <c r="W7" i="92" s="1"/>
  <c r="Y8" i="92" a="1"/>
  <c r="Y8" i="92" s="1"/>
  <c r="S6" i="92" a="1"/>
  <c r="S6"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V7" i="92" a="1"/>
  <c r="V7" i="92" s="1"/>
  <c r="Q9" i="92" a="1"/>
  <c r="Q9" i="92" s="1"/>
  <c r="P8" i="92" a="1"/>
  <c r="P8" i="92" s="1"/>
  <c r="O8" i="92" a="1"/>
  <c r="O8" i="92" s="1"/>
  <c r="N8" i="92" a="1"/>
  <c r="N8" i="92" s="1"/>
  <c r="L8" i="92" a="1"/>
  <c r="L8" i="92" s="1"/>
  <c r="J6" i="92" a="1"/>
  <c r="J6" i="92" s="1"/>
  <c r="P9" i="92" a="1"/>
  <c r="P9" i="92" s="1"/>
  <c r="AJ9" i="92" a="1"/>
  <c r="AJ9" i="92" s="1"/>
  <c r="AA9" i="92" a="1"/>
  <c r="AA9" i="92" s="1"/>
  <c r="X8" i="92" a="1"/>
  <c r="X8" i="92" s="1"/>
  <c r="AM7" i="92" a="1"/>
  <c r="AM7" i="92" s="1"/>
  <c r="AD7" i="92" a="1"/>
  <c r="AD7" i="92" s="1"/>
  <c r="U7" i="92" a="1"/>
  <c r="U7" i="92" s="1"/>
  <c r="AJ6" i="92" a="1"/>
  <c r="AJ6" i="92" s="1"/>
  <c r="AA6" i="92" a="1"/>
  <c r="AA6" i="92" s="1"/>
  <c r="L7" i="92" a="1"/>
  <c r="L7" i="92" s="1"/>
  <c r="M8" i="92" a="1"/>
  <c r="M8" i="92" s="1"/>
  <c r="K7" i="92" a="1"/>
  <c r="K7" i="92" s="1"/>
  <c r="Z9" i="92" a="1"/>
  <c r="Z9" i="92" s="1"/>
  <c r="AF8" i="92" a="1"/>
  <c r="AF8" i="92" s="1"/>
  <c r="T7" i="92" a="1"/>
  <c r="T7" i="92" s="1"/>
  <c r="Z6" i="92" a="1"/>
  <c r="Z6" i="92" s="1"/>
  <c r="AI9" i="92" a="1"/>
  <c r="AI9" i="92" s="1"/>
  <c r="Y9" i="92" a="1"/>
  <c r="Y9" i="92" s="1"/>
  <c r="AE8" i="92" a="1"/>
  <c r="AE8" i="92" s="1"/>
  <c r="W8" i="92" a="1"/>
  <c r="W8" i="92" s="1"/>
  <c r="AK7" i="92" a="1"/>
  <c r="AK7" i="92" s="1"/>
  <c r="AC7" i="92" a="1"/>
  <c r="AC7" i="92" s="1"/>
  <c r="S7" i="92" a="1"/>
  <c r="S7" i="92" s="1"/>
  <c r="AI6" i="92" a="1"/>
  <c r="AI6" i="92" s="1"/>
  <c r="Y6" i="92" a="1"/>
  <c r="Y6" i="92" s="1"/>
  <c r="N9" i="92" a="1"/>
  <c r="N9" i="92" s="1"/>
  <c r="Q6" i="92" a="1"/>
  <c r="Q6" i="92" s="1"/>
  <c r="AH9" i="92" a="1"/>
  <c r="AH9" i="92" s="1"/>
  <c r="V8" i="92" a="1"/>
  <c r="V8" i="92" s="1"/>
  <c r="AH6" i="92" a="1"/>
  <c r="AH6" i="92" s="1"/>
  <c r="M9" i="92" a="1"/>
  <c r="M9" i="92" s="1"/>
  <c r="X9" i="92" a="1"/>
  <c r="X9" i="92" s="1"/>
  <c r="AM8" i="92" a="1"/>
  <c r="AM8" i="92" s="1"/>
  <c r="AD8" i="92" a="1"/>
  <c r="AD8" i="92" s="1"/>
  <c r="U8" i="92" a="1"/>
  <c r="U8" i="92" s="1"/>
  <c r="AJ7" i="92" a="1"/>
  <c r="AJ7" i="92" s="1"/>
  <c r="AA7" i="92" a="1"/>
  <c r="AA7" i="92" s="1"/>
  <c r="X6" i="92" a="1"/>
  <c r="X6" i="92" s="1"/>
  <c r="O9" i="92" a="1"/>
  <c r="O9" i="92" s="1"/>
  <c r="P6" i="92" a="1"/>
  <c r="P6" i="92" s="1"/>
  <c r="L9" i="92" a="1"/>
  <c r="L9" i="92" s="1"/>
  <c r="J8" i="92" a="1"/>
  <c r="J8" i="92" s="1"/>
  <c r="AF9" i="92" a="1"/>
  <c r="AF9" i="92" s="1"/>
  <c r="T8" i="92" a="1"/>
  <c r="T8" i="92" s="1"/>
  <c r="Z7" i="92" a="1"/>
  <c r="Z7" i="92" s="1"/>
  <c r="AF6" i="92" a="1"/>
  <c r="AF6" i="92" s="1"/>
  <c r="K9" i="92" a="1"/>
  <c r="K9" i="92" s="1"/>
  <c r="Q7" i="92" a="1"/>
  <c r="Q7" i="92" s="1"/>
  <c r="O6" i="92" a="1"/>
  <c r="O6" i="92" s="1"/>
  <c r="AE9" i="92" a="1"/>
  <c r="AE9" i="92" s="1"/>
  <c r="W9" i="92" a="1"/>
  <c r="W9" i="92" s="1"/>
  <c r="AK8" i="92" a="1"/>
  <c r="AK8" i="92" s="1"/>
  <c r="AC8" i="92" a="1"/>
  <c r="AC8" i="92" s="1"/>
  <c r="S8" i="92" a="1"/>
  <c r="S8" i="92" s="1"/>
  <c r="AI7" i="92" a="1"/>
  <c r="AI7" i="92" s="1"/>
  <c r="Y7" i="92" a="1"/>
  <c r="Y7" i="92" s="1"/>
  <c r="AE6" i="92" a="1"/>
  <c r="AE6" i="92" s="1"/>
  <c r="W6" i="92" a="1"/>
  <c r="W6" i="92" s="1"/>
  <c r="J9" i="92" a="1"/>
  <c r="J9" i="92" s="1"/>
  <c r="P7" i="92" a="1"/>
  <c r="P7" i="92" s="1"/>
  <c r="N6" i="92" a="1"/>
  <c r="N6" i="92" s="1"/>
  <c r="V9" i="92" a="1"/>
  <c r="V9" i="92" s="1"/>
  <c r="AH7" i="92" a="1"/>
  <c r="AH7" i="92" s="1"/>
  <c r="V6" i="92" a="1"/>
  <c r="V6" i="92" s="1"/>
  <c r="AM9" i="92" a="1"/>
  <c r="AM9" i="92" s="1"/>
  <c r="AD9" i="92" a="1"/>
  <c r="AD9" i="92" s="1"/>
  <c r="U9" i="92" a="1"/>
  <c r="U9" i="92" s="1"/>
  <c r="AJ8" i="92" a="1"/>
  <c r="AJ8" i="92" s="1"/>
  <c r="AA8" i="92" a="1"/>
  <c r="AA8" i="92" s="1"/>
  <c r="X7" i="92" a="1"/>
  <c r="X7" i="92" s="1"/>
  <c r="AM6" i="92" a="1"/>
  <c r="AM6" i="92" s="1"/>
  <c r="AD6" i="92" a="1"/>
  <c r="AD6" i="92" s="1"/>
  <c r="U6" i="92" a="1"/>
  <c r="U6" i="92" s="1"/>
  <c r="O7" i="92" a="1"/>
  <c r="O7" i="92" s="1"/>
  <c r="M6" i="92" a="1"/>
  <c r="M6" i="92" s="1"/>
  <c r="Q8" i="92" a="1"/>
  <c r="Q8" i="92" s="1"/>
  <c r="N7" i="92" a="1"/>
  <c r="N7" i="92" s="1"/>
  <c r="L6" i="92" a="1"/>
  <c r="L6" i="92" s="1"/>
  <c r="T9" i="92" a="1"/>
  <c r="T9" i="92" s="1"/>
  <c r="Z8" i="92" a="1"/>
  <c r="Z8" i="92" s="1"/>
  <c r="AF7" i="92" a="1"/>
  <c r="AF7" i="92" s="1"/>
  <c r="T6" i="92" a="1"/>
  <c r="T6" i="92" s="1"/>
  <c r="K6" i="92" a="1"/>
  <c r="K6" i="92" s="1"/>
  <c r="AK9" i="92" a="1"/>
  <c r="AK9" i="92" s="1"/>
  <c r="AC9" i="92" a="1"/>
  <c r="AC9" i="92" s="1"/>
  <c r="AI8" i="92" a="1"/>
  <c r="AI8" i="92" s="1"/>
  <c r="AE7" i="92" a="1"/>
  <c r="AE7" i="92" s="1"/>
  <c r="AK6" i="92" a="1"/>
  <c r="AK6" i="92" s="1"/>
  <c r="AC6" i="92" a="1"/>
  <c r="AC6" i="92" s="1"/>
  <c r="C84" i="94"/>
  <c r="C131" i="94"/>
  <c r="I27" i="94"/>
  <c r="I31" i="94" s="1"/>
  <c r="G13" i="94" s="1"/>
  <c r="H13" i="94" s="1"/>
  <c r="I13" i="94" s="1"/>
  <c r="J13" i="94" s="1"/>
  <c r="K13" i="94" s="1"/>
  <c r="L13" i="94" s="1"/>
  <c r="M13" i="94" s="1"/>
  <c r="AP6" i="92" s="1" a="1"/>
  <c r="AP6" i="92" s="1"/>
  <c r="J29" i="94"/>
  <c r="C72" i="94"/>
  <c r="D111" i="94"/>
  <c r="D112" i="94" s="1"/>
  <c r="D113" i="94" s="1"/>
  <c r="D28" i="94"/>
  <c r="C82" i="94"/>
  <c r="C96" i="94"/>
  <c r="C71" i="94"/>
  <c r="K340" i="29"/>
  <c r="L339" i="29"/>
  <c r="B345" i="29"/>
  <c r="D345" i="29"/>
  <c r="F345" i="29"/>
  <c r="E344" i="29"/>
  <c r="B344" i="29"/>
  <c r="G344" i="29" s="1"/>
  <c r="F344" i="29"/>
  <c r="D116" i="94" l="1"/>
  <c r="E116" i="94" s="1"/>
  <c r="AN6" i="92" a="1"/>
  <c r="AN6" i="92" s="1"/>
  <c r="AL6" i="92" a="1"/>
  <c r="AL6" i="92" s="1"/>
  <c r="R6" i="92" a="1"/>
  <c r="R6" i="92" s="1"/>
  <c r="AG6" i="92" a="1"/>
  <c r="AG6" i="92" s="1"/>
  <c r="AO6" i="92" a="1"/>
  <c r="AO6" i="92" s="1"/>
  <c r="AB6" i="92" a="1"/>
  <c r="AB6" i="92" s="1"/>
  <c r="I32" i="94"/>
  <c r="G14" i="94" s="1"/>
  <c r="R7" i="92" s="1" a="1"/>
  <c r="R7" i="92" s="1"/>
  <c r="D36" i="94"/>
  <c r="G5" i="94" s="1"/>
  <c r="R4" i="92" s="1" a="1"/>
  <c r="R4" i="92" s="1"/>
  <c r="D29" i="94"/>
  <c r="D27" i="94" s="1"/>
  <c r="C83" i="94"/>
  <c r="H339" i="29"/>
  <c r="D339" i="29"/>
  <c r="F339" i="29"/>
  <c r="B339" i="29"/>
  <c r="G339" i="29" s="1"/>
  <c r="L340" i="29"/>
  <c r="K341" i="29"/>
  <c r="H345" i="29"/>
  <c r="G345" i="29"/>
  <c r="E118" i="94" l="1"/>
  <c r="F116" i="94"/>
  <c r="F118" i="94" s="1"/>
  <c r="H5" i="94"/>
  <c r="AB4" i="92" s="1" a="1"/>
  <c r="AB4" i="92" s="1"/>
  <c r="H14"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I14" i="94" l="1"/>
  <c r="AB7" i="92" a="1"/>
  <c r="AB7" i="92" s="1"/>
  <c r="H11" i="94"/>
  <c r="H12" i="94"/>
  <c r="H10" i="94"/>
  <c r="AB5" i="92" s="1" a="1"/>
  <c r="AB5" i="92" s="1"/>
  <c r="I5" i="94"/>
  <c r="AG4" i="92" s="1" a="1"/>
  <c r="AG4" i="92" s="1"/>
  <c r="K343" i="29"/>
  <c r="H341" i="29"/>
  <c r="F341" i="29"/>
  <c r="E341" i="29"/>
  <c r="B341" i="29"/>
  <c r="G341" i="29" s="1"/>
  <c r="J14" i="94" l="1"/>
  <c r="AG7" i="92" a="1"/>
  <c r="AG7" i="92" s="1"/>
  <c r="I12" i="94"/>
  <c r="AB9" i="92" a="1"/>
  <c r="AB9" i="92" s="1"/>
  <c r="I11" i="94"/>
  <c r="AB8" i="92" a="1"/>
  <c r="AB8" i="92" s="1"/>
  <c r="I10" i="94"/>
  <c r="AG5" i="92" s="1" a="1"/>
  <c r="AG5" i="92" s="1"/>
  <c r="J5" i="94"/>
  <c r="AL4" i="92" s="1" a="1"/>
  <c r="AL4" i="92" s="1"/>
  <c r="K344" i="29"/>
  <c r="J11" i="94" l="1"/>
  <c r="AG8" i="92" a="1"/>
  <c r="AG8" i="92" s="1"/>
  <c r="J12" i="94"/>
  <c r="AG9" i="92" a="1"/>
  <c r="AG9" i="92" s="1"/>
  <c r="K14" i="94"/>
  <c r="AL7" i="92" a="1"/>
  <c r="AL7" i="92" s="1"/>
  <c r="K5" i="94"/>
  <c r="AN4" i="92" s="1" a="1"/>
  <c r="AN4" i="92" s="1"/>
  <c r="J10" i="94"/>
  <c r="AL5" i="92" s="1" a="1"/>
  <c r="AL5" i="92" s="1"/>
  <c r="K345" i="29"/>
  <c r="L14" i="94" l="1"/>
  <c r="AN7" i="92" a="1"/>
  <c r="AN7" i="92" s="1"/>
  <c r="K12" i="94"/>
  <c r="AL9" i="92" a="1"/>
  <c r="AL9" i="92" s="1"/>
  <c r="K11" i="94"/>
  <c r="AL8" i="92" a="1"/>
  <c r="AL8" i="92" s="1"/>
  <c r="K10" i="94"/>
  <c r="AN5" i="92" s="1" a="1"/>
  <c r="AN5" i="92" s="1"/>
  <c r="L5" i="94"/>
  <c r="AO4" i="92" s="1" a="1"/>
  <c r="AO4" i="92" s="1"/>
  <c r="G168" i="7"/>
  <c r="H168" i="7"/>
  <c r="D22" i="79"/>
  <c r="A168" i="7"/>
  <c r="R168" i="7"/>
  <c r="I168" i="7"/>
  <c r="I13" i="79"/>
  <c r="J13" i="79" s="1"/>
  <c r="I15" i="79"/>
  <c r="J15" i="79" s="1"/>
  <c r="I14" i="79"/>
  <c r="J9" i="79"/>
  <c r="I9" i="79"/>
  <c r="H15" i="79"/>
  <c r="F15" i="79"/>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B307" i="39"/>
  <c r="I307" i="39"/>
  <c r="I308" i="39" s="1"/>
  <c r="B308" i="39"/>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59" i="28"/>
  <c r="L11" i="94" l="1"/>
  <c r="AN8" i="92" a="1"/>
  <c r="AN8" i="92" s="1"/>
  <c r="L12" i="94"/>
  <c r="AN9" i="92" a="1"/>
  <c r="AN9" i="92" s="1"/>
  <c r="M14" i="94"/>
  <c r="AP7" i="92" s="1" a="1"/>
  <c r="AP7" i="92" s="1"/>
  <c r="AO7" i="92" a="1"/>
  <c r="AO7" i="92" s="1"/>
  <c r="X169" i="7"/>
  <c r="AB169" i="7"/>
  <c r="Y169" i="7"/>
  <c r="Z169" i="7"/>
  <c r="AC169" i="7"/>
  <c r="AA169" i="7"/>
  <c r="M5" i="94"/>
  <c r="AP4" i="92" s="1" a="1"/>
  <c r="AP4" i="92" s="1"/>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6" i="28"/>
  <c r="AV157" i="28" s="1"/>
  <c r="AV158" i="28" s="1"/>
  <c r="AV159" i="28" s="1"/>
  <c r="AV160" i="28" s="1"/>
  <c r="AV161" i="28" s="1"/>
  <c r="AV162" i="28" s="1"/>
  <c r="AV163" i="28" s="1"/>
  <c r="AV256" i="28"/>
  <c r="AV257"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59" i="28"/>
  <c r="AS160" i="28" s="1"/>
  <c r="AS161" i="28" s="1"/>
  <c r="AS163" i="28" s="1"/>
  <c r="AS164" i="28" s="1"/>
  <c r="AS165" i="28" s="1"/>
  <c r="AS166" i="28" s="1"/>
  <c r="AS167" i="28" s="1"/>
  <c r="N14" i="87" l="1" a="1"/>
  <c r="N14" i="87" s="1"/>
  <c r="N9" i="87" a="1"/>
  <c r="N9" i="87" s="1"/>
  <c r="N13" i="87" a="1"/>
  <c r="N13" i="87" s="1"/>
  <c r="N8" i="87" a="1"/>
  <c r="N8" i="87" s="1"/>
  <c r="N12" i="87" a="1"/>
  <c r="N12" i="87" s="1"/>
  <c r="M3" i="90" a="1"/>
  <c r="M3" i="90" s="1"/>
  <c r="N2" i="90"/>
  <c r="AS162" i="28"/>
  <c r="D12" i="85"/>
  <c r="D15" i="85" s="1"/>
  <c r="D13" i="85"/>
  <c r="D16" i="85" s="1"/>
  <c r="D11" i="85"/>
  <c r="D14" i="85" s="1"/>
  <c r="F11" i="85"/>
  <c r="F12" i="85" s="1"/>
  <c r="F13" i="85" s="1"/>
  <c r="C50" i="85"/>
  <c r="F14"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F15" i="85"/>
  <c r="G15" i="85" s="1"/>
  <c r="H15" i="85" s="1"/>
  <c r="I15" i="85" s="1"/>
  <c r="J15" i="85" s="1"/>
  <c r="F16" i="85"/>
  <c r="P14" i="87" l="1" a="1"/>
  <c r="P14" i="87" s="1"/>
  <c r="P9" i="87" a="1"/>
  <c r="P9" i="87" s="1"/>
  <c r="P13" i="87" a="1"/>
  <c r="P13" i="87" s="1"/>
  <c r="P8" i="87" a="1"/>
  <c r="P8" i="87" s="1"/>
  <c r="P12" i="87" a="1"/>
  <c r="P12" i="87" s="1"/>
  <c r="O3" i="90" a="1"/>
  <c r="O3" i="90" s="1"/>
  <c r="P2" i="90"/>
  <c r="H14" i="85"/>
  <c r="G16" i="85"/>
  <c r="F4" i="85"/>
  <c r="H11" i="85"/>
  <c r="G12" i="85"/>
  <c r="G13" i="85" s="1"/>
  <c r="F29" i="85"/>
  <c r="B29" i="85" s="1"/>
  <c r="E30" i="85"/>
  <c r="G3" i="85"/>
  <c r="H4" i="85"/>
  <c r="Q14" i="87" l="1" a="1"/>
  <c r="Q14" i="87" s="1"/>
  <c r="Q9" i="87" a="1"/>
  <c r="Q9" i="87" s="1"/>
  <c r="Q12" i="87" a="1"/>
  <c r="Q12" i="87" s="1"/>
  <c r="R9" i="87" a="1"/>
  <c r="R9" i="87" s="1"/>
  <c r="Q13" i="87" a="1"/>
  <c r="Q13" i="87" s="1"/>
  <c r="Q8" i="87" a="1"/>
  <c r="Q8" i="87" s="1"/>
  <c r="Q2" i="90"/>
  <c r="P3" i="90" a="1"/>
  <c r="P3" i="90" s="1"/>
  <c r="I14" i="85"/>
  <c r="H16" i="85"/>
  <c r="F30"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M92" i="6"/>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300" i="39" l="1"/>
  <c r="B301" i="39"/>
  <c r="B302" i="39"/>
  <c r="B303" i="39"/>
  <c r="B304" i="39"/>
  <c r="B305" i="39"/>
  <c r="B306" i="39"/>
  <c r="B300" i="38"/>
  <c r="B301" i="38"/>
  <c r="B302" i="38"/>
  <c r="B303" i="38"/>
  <c r="B304" i="38"/>
  <c r="B305" i="38"/>
  <c r="B306" i="38"/>
  <c r="B307" i="38"/>
  <c r="B308" i="38"/>
  <c r="B309" i="38"/>
  <c r="B78" i="34"/>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J45" i="83" s="1"/>
  <c r="M17" i="83"/>
  <c r="M44" i="83" s="1"/>
  <c r="L17" i="83"/>
  <c r="K17" i="83"/>
  <c r="J17" i="83"/>
  <c r="J44" i="83" s="1"/>
  <c r="M16" i="83"/>
  <c r="L16" i="83"/>
  <c r="K16" i="83"/>
  <c r="J16" i="83"/>
  <c r="M15" i="83"/>
  <c r="L15" i="83"/>
  <c r="K15" i="83"/>
  <c r="K42" i="83" s="1"/>
  <c r="J15" i="83"/>
  <c r="M14" i="83"/>
  <c r="M86" i="83" s="1"/>
  <c r="L14" i="83"/>
  <c r="K14" i="83"/>
  <c r="J14" i="83"/>
  <c r="J86" i="83" s="1"/>
  <c r="M88" i="83" l="1"/>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3"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J14" i="79"/>
  <c r="I12" i="79"/>
  <c r="J12" i="79" s="1"/>
  <c r="F14" i="79"/>
  <c r="F168" i="7"/>
  <c r="G165" i="7" l="1"/>
  <c r="F165" i="7"/>
  <c r="F46" i="79"/>
  <c r="G46" i="79"/>
  <c r="H46" i="79"/>
  <c r="D45" i="79"/>
  <c r="H48" i="79" l="1"/>
  <c r="H50" i="79" s="1"/>
  <c r="H52" i="79" s="1"/>
  <c r="G48" i="79"/>
  <c r="G50" i="79" s="1"/>
  <c r="G52" i="79" s="1"/>
  <c r="F47" i="79"/>
  <c r="F49" i="79" s="1"/>
  <c r="F51" i="79" s="1"/>
  <c r="F6" i="79" s="1"/>
  <c r="G6" i="79" s="1"/>
  <c r="G8" i="79" s="1"/>
  <c r="F48" i="79"/>
  <c r="F50" i="79" s="1"/>
  <c r="I8" i="79"/>
  <c r="K194" i="26"/>
  <c r="D181" i="26"/>
  <c r="F8" i="79" l="1"/>
  <c r="F52" i="79"/>
  <c r="H7" i="79"/>
  <c r="H9" i="79" s="1"/>
  <c r="H8" i="79"/>
  <c r="H73" i="21"/>
  <c r="H75" i="21" s="1"/>
  <c r="F7" i="79" l="1"/>
  <c r="G7" i="79" s="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7" i="28"/>
  <c r="B281" i="28"/>
  <c r="B265" i="28"/>
  <c r="B249" i="28"/>
  <c r="B204" i="28"/>
  <c r="B203" i="28"/>
  <c r="B202" i="28"/>
  <c r="B201" i="28"/>
  <c r="B200" i="28"/>
  <c r="B199" i="28"/>
  <c r="B169" i="28"/>
  <c r="B149" i="28"/>
  <c r="B129" i="28"/>
  <c r="B106" i="28"/>
  <c r="B85" i="28"/>
  <c r="B66" i="28"/>
  <c r="B46"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5" i="28"/>
  <c r="D124" i="28"/>
  <c r="D123" i="28"/>
  <c r="D103" i="28"/>
  <c r="D40" i="72" s="1"/>
  <c r="D62" i="72" s="1"/>
  <c r="D102" i="28"/>
  <c r="D41" i="72" s="1"/>
  <c r="B84" i="28"/>
  <c r="AS207" i="28"/>
  <c r="AS208" i="28"/>
  <c r="AS215" i="28" s="1"/>
  <c r="AS209" i="28"/>
  <c r="AS216" i="28" s="1"/>
  <c r="B216" i="28" s="1"/>
  <c r="AS210" i="28"/>
  <c r="AS217" i="28" s="1"/>
  <c r="AS224" i="28" s="1"/>
  <c r="AS211" i="28"/>
  <c r="AS218" i="28" s="1"/>
  <c r="AS206" i="28"/>
  <c r="AS213"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B296" i="39"/>
  <c r="B297" i="39"/>
  <c r="B298" i="39"/>
  <c r="B299" i="39"/>
  <c r="B297" i="38"/>
  <c r="B298" i="38"/>
  <c r="B299" i="38"/>
  <c r="B296" i="38"/>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5" i="28"/>
  <c r="AV288" i="28"/>
  <c r="AV289" i="28" s="1"/>
  <c r="AV290"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0"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B294" i="39"/>
  <c r="B295" i="39"/>
  <c r="B294" i="38"/>
  <c r="B295" i="3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5" i="28" s="1"/>
  <c r="L230" i="29"/>
  <c r="S175" i="7"/>
  <c r="C233" i="28"/>
  <c r="AV176" i="28"/>
  <c r="AV177" i="28" s="1"/>
  <c r="AV178" i="28" s="1"/>
  <c r="AV179" i="28" s="1"/>
  <c r="AV180" i="28" s="1"/>
  <c r="AV181" i="28" s="1"/>
  <c r="AV182" i="28" s="1"/>
  <c r="AV183"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49" i="28"/>
  <c r="AR250"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0"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69"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4" i="28"/>
  <c r="AV75" i="28" s="1"/>
  <c r="AV76" i="28" s="1"/>
  <c r="AV77" i="28" s="1"/>
  <c r="AV78" i="28" s="1"/>
  <c r="AV79" i="28" s="1"/>
  <c r="AV80"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5"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2" i="28"/>
  <c r="AV273" i="28" s="1"/>
  <c r="AV274" i="28" s="1"/>
  <c r="AV275" i="28" s="1"/>
  <c r="AV276" i="28" s="1"/>
  <c r="L301" i="29"/>
  <c r="B301" i="29" s="1"/>
  <c r="L308" i="29"/>
  <c r="B308" i="29" s="1"/>
  <c r="B307" i="29"/>
  <c r="O305" i="29"/>
  <c r="O306" i="29" s="1"/>
  <c r="O307" i="29" s="1"/>
  <c r="B300" i="29"/>
  <c r="O298" i="29"/>
  <c r="O299" i="29" s="1"/>
  <c r="O300" i="29" s="1"/>
  <c r="O301" i="29" s="1"/>
  <c r="L298" i="29"/>
  <c r="B298" i="29" s="1"/>
  <c r="B297" i="29"/>
  <c r="T3" i="51"/>
  <c r="T4" i="51" s="1"/>
  <c r="L292" i="29"/>
  <c r="L293" i="29" s="1"/>
  <c r="B291" i="29"/>
  <c r="O289" i="29"/>
  <c r="O290" i="29" s="1"/>
  <c r="O291" i="29" s="1"/>
  <c r="O292" i="29" s="1"/>
  <c r="L285" i="29"/>
  <c r="B285" i="29" s="1"/>
  <c r="B284" i="29"/>
  <c r="O282" i="29"/>
  <c r="O283" i="29" s="1"/>
  <c r="O284" i="29" s="1"/>
  <c r="O285" i="29" s="1"/>
  <c r="L282" i="29"/>
  <c r="L283" i="29" s="1"/>
  <c r="B283" i="29" s="1"/>
  <c r="B281" i="29"/>
  <c r="AV258" i="28"/>
  <c r="AV259" i="28" s="1"/>
  <c r="AV260"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I294" i="39" s="1"/>
  <c r="I295" i="39" s="1"/>
  <c r="I296" i="39" s="1"/>
  <c r="I297" i="39" s="1"/>
  <c r="I298" i="39" s="1"/>
  <c r="I299" i="39" s="1"/>
  <c r="I300" i="39" s="1"/>
  <c r="I301" i="39" s="1"/>
  <c r="I302" i="39" s="1"/>
  <c r="I303" i="39" s="1"/>
  <c r="I304" i="39" s="1"/>
  <c r="I305" i="39" s="1"/>
  <c r="I306"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6"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D16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2" i="28"/>
  <c r="AR203" i="28" s="1"/>
  <c r="AR204"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6" i="28"/>
  <c r="B20" i="24"/>
  <c r="D20" i="24"/>
  <c r="B21" i="24"/>
  <c r="D21" i="24"/>
  <c r="D19" i="24"/>
  <c r="B19" i="24"/>
  <c r="D17" i="16"/>
  <c r="AV136" i="28"/>
  <c r="AV137" i="28" s="1"/>
  <c r="AV138" i="28" s="1"/>
  <c r="AV139" i="28" s="1"/>
  <c r="AV140" i="28" s="1"/>
  <c r="AV141" i="28" s="1"/>
  <c r="AV142"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3" i="28"/>
  <c r="AV114" i="28" s="1"/>
  <c r="AV115" i="28" s="1"/>
  <c r="AV116" i="28" s="1"/>
  <c r="AV117" i="28" s="1"/>
  <c r="AV118" i="28" s="1"/>
  <c r="AV119" i="28" s="1"/>
  <c r="AV120" i="28" s="1"/>
  <c r="AV121" i="28" s="1"/>
  <c r="AV122" i="28" s="1"/>
  <c r="AR107" i="28"/>
  <c r="AS107" i="28" s="1"/>
  <c r="AV92" i="28"/>
  <c r="AV93" i="28" s="1"/>
  <c r="AV94" i="28" s="1"/>
  <c r="AV95" i="28" s="1"/>
  <c r="AV96" i="28" s="1"/>
  <c r="AV97" i="28" s="1"/>
  <c r="AV98" i="28" s="1"/>
  <c r="AV99" i="28" s="1"/>
  <c r="AV100" i="28" s="1"/>
  <c r="AV101" i="28" s="1"/>
  <c r="AR86" i="28"/>
  <c r="AR87" i="28" s="1"/>
  <c r="AR67" i="28"/>
  <c r="AS67" i="28" s="1"/>
  <c r="B67" i="28" s="1"/>
  <c r="AV53" i="28"/>
  <c r="AV54" i="28" s="1"/>
  <c r="AV55" i="28" s="1"/>
  <c r="AV56" i="28" s="1"/>
  <c r="AV57" i="28" s="1"/>
  <c r="AV58" i="28" s="1"/>
  <c r="AV59" i="28" s="1"/>
  <c r="AV60" i="28" s="1"/>
  <c r="AV61" i="28" s="1"/>
  <c r="AR47" i="28"/>
  <c r="AR48"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F25" i="63" l="1"/>
  <c r="F24" i="63"/>
  <c r="F26" i="63"/>
  <c r="D304" i="28"/>
  <c r="AY304" i="28" s="1"/>
  <c r="D318" i="28"/>
  <c r="D40" i="7"/>
  <c r="D168" i="7"/>
  <c r="D184" i="28"/>
  <c r="D191" i="28" s="1"/>
  <c r="D194" i="28" s="1"/>
  <c r="D225" i="29" s="1"/>
  <c r="D232" i="29" s="1"/>
  <c r="D319"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T5" i="5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6" i="28"/>
  <c r="B86"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6" i="28"/>
  <c r="B209" i="28"/>
  <c r="B210"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8" i="28"/>
  <c r="AR89" i="28"/>
  <c r="AR90" i="28" s="1"/>
  <c r="AR91" i="28" s="1"/>
  <c r="AR92"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1"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0" i="28"/>
  <c r="B220" i="28" s="1"/>
  <c r="B213" i="28"/>
  <c r="AL2" i="75"/>
  <c r="AM1" i="75"/>
  <c r="E15" i="15"/>
  <c r="E14" i="15"/>
  <c r="D208"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0" i="28"/>
  <c r="AR51" i="28" s="1"/>
  <c r="AR49" i="28"/>
  <c r="AR108" i="28"/>
  <c r="AR68" i="28"/>
  <c r="AS68" i="28" s="1"/>
  <c r="AR69" i="28"/>
  <c r="AR70" i="28" s="1"/>
  <c r="AR71" i="28" s="1"/>
  <c r="AR72" i="28" s="1"/>
  <c r="AR73" i="28" s="1"/>
  <c r="AS47" i="28"/>
  <c r="AS48" i="28" s="1"/>
  <c r="D224" i="28"/>
  <c r="D216" i="28"/>
  <c r="E9" i="28"/>
  <c r="E224" i="28" s="1"/>
  <c r="D203" i="28"/>
  <c r="D189" i="28"/>
  <c r="AA139" i="7"/>
  <c r="AC139" i="7" s="1"/>
  <c r="AC166" i="7" s="1"/>
  <c r="Z166" i="7"/>
  <c r="E42" i="7"/>
  <c r="E74" i="7"/>
  <c r="D229" i="29"/>
  <c r="Y166" i="7"/>
  <c r="D193" i="29"/>
  <c r="D305" i="28"/>
  <c r="AY305" i="28" s="1"/>
  <c r="E66" i="7"/>
  <c r="D164" i="28"/>
  <c r="D260"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1" i="28"/>
  <c r="AR253" i="28" s="1"/>
  <c r="AS250" i="28"/>
  <c r="B250" i="28" s="1"/>
  <c r="C12" i="24"/>
  <c r="D252" i="26"/>
  <c r="N9" i="26"/>
  <c r="E97" i="7"/>
  <c r="E163" i="7"/>
  <c r="C25" i="24"/>
  <c r="D67" i="42"/>
  <c r="H252" i="26"/>
  <c r="N121" i="26"/>
  <c r="C14" i="24"/>
  <c r="C24" i="24"/>
  <c r="C67" i="42"/>
  <c r="Q128" i="7" s="1"/>
  <c r="Q125" i="7" s="1"/>
  <c r="AZ34" i="7"/>
  <c r="C22" i="23"/>
  <c r="D22" i="23" s="1"/>
  <c r="F16" i="24"/>
  <c r="E16" i="24"/>
  <c r="C18" i="23"/>
  <c r="D18" i="23" s="1"/>
  <c r="C192" i="28"/>
  <c r="C193" i="28" s="1"/>
  <c r="C194" i="28" s="1"/>
  <c r="C230" i="29"/>
  <c r="C20" i="24"/>
  <c r="C232" i="29"/>
  <c r="C231" i="29"/>
  <c r="C228" i="29"/>
  <c r="C227" i="29"/>
  <c r="C229" i="29"/>
  <c r="N203" i="26"/>
  <c r="J210" i="26" s="1"/>
  <c r="C11" i="24"/>
  <c r="G252" i="26"/>
  <c r="C28" i="24"/>
  <c r="F67" i="42"/>
  <c r="C241" i="29"/>
  <c r="C201" i="28"/>
  <c r="E23" i="24"/>
  <c r="F23" i="24"/>
  <c r="C242" i="29"/>
  <c r="C202" i="28"/>
  <c r="C243" i="29"/>
  <c r="C240" i="29"/>
  <c r="C200" i="28"/>
  <c r="C203" i="28"/>
  <c r="C239" i="29"/>
  <c r="C199"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49" i="28"/>
  <c r="D85" i="28"/>
  <c r="D202" i="28"/>
  <c r="D66" i="28"/>
  <c r="D200" i="28"/>
  <c r="D46" i="28"/>
  <c r="D210" i="28"/>
  <c r="D281" i="28"/>
  <c r="D204" i="28"/>
  <c r="D209" i="28"/>
  <c r="D249" i="28"/>
  <c r="D213" i="28"/>
  <c r="D129" i="28"/>
  <c r="D106" i="28"/>
  <c r="D211" i="28"/>
  <c r="D67" i="28"/>
  <c r="D297" i="28"/>
  <c r="D196" i="28"/>
  <c r="D265" i="28"/>
  <c r="D206" i="28"/>
  <c r="D192" i="28"/>
  <c r="D199" i="28"/>
  <c r="D201" i="28"/>
  <c r="D218" i="28"/>
  <c r="B218" i="28"/>
  <c r="AS225" i="28"/>
  <c r="B217" i="28"/>
  <c r="D217" i="28"/>
  <c r="AS223" i="28"/>
  <c r="B215" i="28"/>
  <c r="AS222" i="28"/>
  <c r="D215" i="28"/>
  <c r="B208" i="28"/>
  <c r="D207" i="28"/>
  <c r="B207" i="28"/>
  <c r="AS214" i="28"/>
  <c r="B224" i="28"/>
  <c r="AS231" i="28"/>
  <c r="D107" i="28"/>
  <c r="B107" i="28"/>
  <c r="C204" i="28"/>
  <c r="AR206"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1" i="28"/>
  <c r="AY291" i="28" s="1"/>
  <c r="D259" i="28"/>
  <c r="D42" i="28"/>
  <c r="D275" i="28"/>
  <c r="D163" i="28"/>
  <c r="D81" i="28"/>
  <c r="D62" i="28"/>
  <c r="D183" i="28"/>
  <c r="D190" i="28" s="1"/>
  <c r="D193" i="28" s="1"/>
  <c r="D224" i="29" s="1"/>
  <c r="D231" i="29" s="1"/>
  <c r="D143" i="28"/>
  <c r="E47" i="7"/>
  <c r="E112" i="7"/>
  <c r="E123" i="7"/>
  <c r="AV7" i="16"/>
  <c r="M61" i="16" s="1"/>
  <c r="D294" i="29"/>
  <c r="D43" i="29"/>
  <c r="D324" i="29"/>
  <c r="D217" i="29"/>
  <c r="D68" i="29"/>
  <c r="D309" i="29"/>
  <c r="D82" i="28"/>
  <c r="D43" i="28"/>
  <c r="D63" i="28"/>
  <c r="D144" i="28"/>
  <c r="D276" i="28"/>
  <c r="D292" i="28"/>
  <c r="AY292"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C250" i="28" l="1"/>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0"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5" i="28"/>
  <c r="E46" i="28"/>
  <c r="AC21" i="55"/>
  <c r="D49" i="20"/>
  <c r="AT17" i="45"/>
  <c r="Q12" i="54"/>
  <c r="CI44" i="16"/>
  <c r="V14" i="21"/>
  <c r="B5" i="20" s="1"/>
  <c r="E107"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8" i="28"/>
  <c r="AY17" i="45"/>
  <c r="Y28" i="45"/>
  <c r="H30" i="1"/>
  <c r="K47" i="1" s="1"/>
  <c r="V20" i="21"/>
  <c r="X20" i="21" s="1"/>
  <c r="Z20" i="21" s="1"/>
  <c r="B56" i="20" s="1"/>
  <c r="D86" i="28"/>
  <c r="V28" i="51"/>
  <c r="E199" i="28"/>
  <c r="AS87" i="28"/>
  <c r="F87" i="28" s="1"/>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69" i="28"/>
  <c r="D220" i="28"/>
  <c r="E26" i="24"/>
  <c r="AS29" i="28"/>
  <c r="AB29" i="45"/>
  <c r="AV30" i="45"/>
  <c r="A15" i="10"/>
  <c r="E15" i="10" s="1"/>
  <c r="A21" i="29"/>
  <c r="E211" i="28"/>
  <c r="Z28" i="45"/>
  <c r="Z38" i="45" s="1"/>
  <c r="E141" i="29"/>
  <c r="A20" i="29"/>
  <c r="B20" i="29" s="1"/>
  <c r="V38" i="51"/>
  <c r="S81" i="51"/>
  <c r="A13" i="9"/>
  <c r="C13" i="9" s="1"/>
  <c r="E149" i="28"/>
  <c r="X154" i="7"/>
  <c r="A29" i="29"/>
  <c r="B29" i="29" s="1"/>
  <c r="E11" i="20"/>
  <c r="S74" i="51"/>
  <c r="A28" i="28"/>
  <c r="E204" i="28"/>
  <c r="AB139" i="7"/>
  <c r="AB166" i="7" s="1"/>
  <c r="V28" i="45"/>
  <c r="E294" i="29"/>
  <c r="D9" i="21"/>
  <c r="D10" i="21" s="1"/>
  <c r="G9" i="21"/>
  <c r="G10" i="21" s="1"/>
  <c r="O10" i="21" s="1"/>
  <c r="O11" i="21" s="1"/>
  <c r="A25" i="29"/>
  <c r="E297" i="28"/>
  <c r="AR15" i="65"/>
  <c r="AS15" i="65" s="1"/>
  <c r="BP24" i="16"/>
  <c r="A15" i="8"/>
  <c r="B15" i="8" s="1"/>
  <c r="E202" i="28"/>
  <c r="E218" i="28"/>
  <c r="H139" i="59"/>
  <c r="C257" i="29"/>
  <c r="A28" i="29"/>
  <c r="E249" i="28"/>
  <c r="E209" i="28"/>
  <c r="D88" i="55"/>
  <c r="R57" i="61"/>
  <c r="A23" i="29"/>
  <c r="AF4" i="55"/>
  <c r="AF5" i="55" s="1"/>
  <c r="H53" i="20"/>
  <c r="H34" i="20"/>
  <c r="I34" i="20" s="1"/>
  <c r="V33" i="51"/>
  <c r="E85" i="28"/>
  <c r="X29" i="45"/>
  <c r="BB30" i="45"/>
  <c r="E111" i="29"/>
  <c r="E10" i="20"/>
  <c r="AI7" i="28"/>
  <c r="AS227" i="28"/>
  <c r="AS234"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7" i="28"/>
  <c r="F9" i="28"/>
  <c r="F220" i="28" s="1"/>
  <c r="E216" i="28"/>
  <c r="AC30" i="45"/>
  <c r="AW27" i="45"/>
  <c r="AF27" i="45"/>
  <c r="N22" i="21"/>
  <c r="AF17" i="45"/>
  <c r="N62" i="26"/>
  <c r="AH30" i="45"/>
  <c r="U29" i="45"/>
  <c r="S80" i="51"/>
  <c r="R70" i="51"/>
  <c r="E67" i="28"/>
  <c r="E281" i="28"/>
  <c r="AQ30" i="45"/>
  <c r="BP34" i="16"/>
  <c r="Z27" i="45"/>
  <c r="BP22" i="16"/>
  <c r="O19" i="66"/>
  <c r="O20" i="66" s="1"/>
  <c r="O21" i="66" s="1"/>
  <c r="O22" i="66" s="1"/>
  <c r="O23" i="66" s="1"/>
  <c r="O24" i="66" s="1"/>
  <c r="AJ5" i="55"/>
  <c r="AK4" i="55"/>
  <c r="B178" i="29"/>
  <c r="L179" i="29"/>
  <c r="S69" i="51"/>
  <c r="E206" i="28"/>
  <c r="E213" i="28"/>
  <c r="E217"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8"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8" i="28"/>
  <c r="D68" i="28"/>
  <c r="B48" i="28"/>
  <c r="D48" i="28"/>
  <c r="E48" i="28"/>
  <c r="C72" i="28"/>
  <c r="AR111" i="28"/>
  <c r="AR112" i="28" s="1"/>
  <c r="AR113" i="28" s="1"/>
  <c r="AR114" i="28" s="1"/>
  <c r="AR115" i="28" s="1"/>
  <c r="AR116" i="28" s="1"/>
  <c r="C116" i="28" s="1"/>
  <c r="AR109" i="28"/>
  <c r="C109" i="28" s="1"/>
  <c r="AR110" i="28"/>
  <c r="C110" i="28" s="1"/>
  <c r="C90" i="28"/>
  <c r="AS108" i="28"/>
  <c r="E108" i="28" s="1"/>
  <c r="E129" i="28"/>
  <c r="E200" i="28"/>
  <c r="E66" i="28"/>
  <c r="E106" i="28"/>
  <c r="E207" i="28"/>
  <c r="E220" i="28"/>
  <c r="E203" i="28"/>
  <c r="E86" i="28"/>
  <c r="AS69" i="28"/>
  <c r="F69" i="28" s="1"/>
  <c r="AS49" i="28"/>
  <c r="F49" i="28" s="1"/>
  <c r="F218" i="28"/>
  <c r="D47" i="28"/>
  <c r="B47" i="28"/>
  <c r="AR31" i="28"/>
  <c r="A30" i="28"/>
  <c r="AS30" i="28"/>
  <c r="AS251" i="28"/>
  <c r="AR252" i="28"/>
  <c r="C252" i="28" s="1"/>
  <c r="AB154" i="7"/>
  <c r="C70" i="28"/>
  <c r="Z154" i="7"/>
  <c r="C251" i="28"/>
  <c r="D250" i="28"/>
  <c r="C88" i="28"/>
  <c r="C91" i="28"/>
  <c r="E250" i="28"/>
  <c r="Y154" i="7"/>
  <c r="Q143" i="7"/>
  <c r="M143" i="7"/>
  <c r="C27" i="24"/>
  <c r="F27" i="24" s="1"/>
  <c r="C224" i="29"/>
  <c r="C220" i="29"/>
  <c r="C223" i="29"/>
  <c r="C189" i="28"/>
  <c r="C190" i="28" s="1"/>
  <c r="C191" i="28" s="1"/>
  <c r="C221" i="29"/>
  <c r="C19" i="24"/>
  <c r="C222" i="29"/>
  <c r="C225" i="29"/>
  <c r="AC154" i="7"/>
  <c r="J153" i="7"/>
  <c r="AA154" i="7"/>
  <c r="B4" i="7"/>
  <c r="O153" i="7"/>
  <c r="X156" i="7" s="1"/>
  <c r="Y156" i="7" s="1"/>
  <c r="Z156" i="7" s="1"/>
  <c r="AA156" i="7" s="1"/>
  <c r="AB156" i="7" s="1"/>
  <c r="C288" i="29"/>
  <c r="F20" i="24"/>
  <c r="E20" i="24"/>
  <c r="F143" i="7"/>
  <c r="C249" i="28"/>
  <c r="C106" i="28"/>
  <c r="C122" i="29"/>
  <c r="E122" i="29" s="1"/>
  <c r="C108" i="28"/>
  <c r="C125" i="29"/>
  <c r="E125" i="29" s="1"/>
  <c r="C124" i="29"/>
  <c r="C130" i="29"/>
  <c r="C126" i="29"/>
  <c r="E126" i="29" s="1"/>
  <c r="F14" i="24"/>
  <c r="C20" i="23"/>
  <c r="D20" i="23" s="1"/>
  <c r="C132" i="29"/>
  <c r="N132" i="29" s="1"/>
  <c r="C123" i="29"/>
  <c r="C131" i="29"/>
  <c r="E14" i="24"/>
  <c r="C120" i="29"/>
  <c r="E120" i="29" s="1"/>
  <c r="C127" i="29"/>
  <c r="C129" i="29"/>
  <c r="C16" i="23"/>
  <c r="D16" i="23" s="1"/>
  <c r="C107" i="28"/>
  <c r="C121" i="29"/>
  <c r="E121" i="29" s="1"/>
  <c r="C128" i="29"/>
  <c r="C13" i="23"/>
  <c r="D13" i="23" s="1"/>
  <c r="C70" i="29"/>
  <c r="E70" i="29" s="1"/>
  <c r="F11" i="24"/>
  <c r="C69" i="28"/>
  <c r="C71" i="29"/>
  <c r="E71" i="29" s="1"/>
  <c r="C9" i="23"/>
  <c r="D9" i="23" s="1"/>
  <c r="C66" i="28"/>
  <c r="C67" i="28"/>
  <c r="C71" i="28"/>
  <c r="C83"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7" i="28"/>
  <c r="C86" i="28"/>
  <c r="C103" i="29"/>
  <c r="C89" i="28"/>
  <c r="C96" i="29"/>
  <c r="E96" i="29" s="1"/>
  <c r="C100" i="29"/>
  <c r="E100" i="29" s="1"/>
  <c r="E12" i="24"/>
  <c r="C99" i="29"/>
  <c r="C85"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6" i="28"/>
  <c r="AR207" i="28"/>
  <c r="F224" i="28"/>
  <c r="D223" i="28"/>
  <c r="E223" i="28"/>
  <c r="B223" i="28"/>
  <c r="AS230" i="28"/>
  <c r="F223" i="28"/>
  <c r="F217" i="28"/>
  <c r="F208" i="28"/>
  <c r="C92" i="28"/>
  <c r="AR93" i="28"/>
  <c r="E225" i="28"/>
  <c r="AS232" i="28"/>
  <c r="D225" i="28"/>
  <c r="F225" i="28"/>
  <c r="F250" i="28"/>
  <c r="D231" i="28"/>
  <c r="B231" i="28"/>
  <c r="AS238" i="28"/>
  <c r="E231" i="28"/>
  <c r="F231" i="28"/>
  <c r="B222" i="28"/>
  <c r="F222" i="28"/>
  <c r="AS229" i="28"/>
  <c r="D222" i="28"/>
  <c r="C73" i="28"/>
  <c r="AR74" i="28"/>
  <c r="F297" i="28"/>
  <c r="F193" i="28"/>
  <c r="F129" i="28"/>
  <c r="F192" i="28"/>
  <c r="F149" i="28"/>
  <c r="F191" i="28"/>
  <c r="F46" i="28"/>
  <c r="F203" i="28"/>
  <c r="F200" i="28"/>
  <c r="F66" i="28"/>
  <c r="F209" i="28"/>
  <c r="F67" i="28"/>
  <c r="F190" i="28"/>
  <c r="F201" i="28"/>
  <c r="F281" i="28"/>
  <c r="F47" i="28"/>
  <c r="F202" i="28"/>
  <c r="F249" i="28"/>
  <c r="F206" i="28"/>
  <c r="F48" i="28"/>
  <c r="F194" i="28"/>
  <c r="F169" i="28"/>
  <c r="F196" i="28"/>
  <c r="F85" i="28"/>
  <c r="F213" i="28"/>
  <c r="F86" i="28"/>
  <c r="F204" i="28"/>
  <c r="F107" i="28"/>
  <c r="F265" i="28"/>
  <c r="F199" i="28"/>
  <c r="F106" i="28"/>
  <c r="F216" i="28"/>
  <c r="F211" i="28"/>
  <c r="G9" i="28"/>
  <c r="G214" i="28" s="1"/>
  <c r="F210" i="28"/>
  <c r="F215" i="28"/>
  <c r="F189" i="28"/>
  <c r="AR52" i="28"/>
  <c r="C52" i="28" s="1"/>
  <c r="D214" i="28"/>
  <c r="E214" i="28"/>
  <c r="F214" i="28"/>
  <c r="B214" i="28"/>
  <c r="AS221" i="28"/>
  <c r="F68" i="28"/>
  <c r="F207"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0" i="28"/>
  <c r="C47" i="29"/>
  <c r="C45" i="29"/>
  <c r="C54" i="29"/>
  <c r="C48" i="29"/>
  <c r="C47" i="28"/>
  <c r="F10" i="24"/>
  <c r="C12" i="23"/>
  <c r="D12" i="23" s="1"/>
  <c r="C49" i="29"/>
  <c r="C53" i="29"/>
  <c r="C46" i="28"/>
  <c r="C8" i="23"/>
  <c r="D8" i="23" s="1"/>
  <c r="C49" i="28"/>
  <c r="C58" i="29"/>
  <c r="N58" i="29" s="1"/>
  <c r="C59" i="29"/>
  <c r="N59" i="29" s="1"/>
  <c r="C50" i="29"/>
  <c r="C48" i="28"/>
  <c r="C51" i="29"/>
  <c r="C56" i="29"/>
  <c r="N56" i="29" s="1"/>
  <c r="C51"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6"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4" i="28"/>
  <c r="C253"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C15" i="8" l="1"/>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7"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0" i="28"/>
  <c r="J250" i="28" s="1"/>
  <c r="AU251"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7" i="28"/>
  <c r="AE4" i="55"/>
  <c r="AE5" i="55" s="1"/>
  <c r="K15" i="21"/>
  <c r="AO34" i="45"/>
  <c r="K24" i="21"/>
  <c r="U18" i="22"/>
  <c r="F227" i="28"/>
  <c r="K11" i="21"/>
  <c r="K18" i="21"/>
  <c r="B30" i="29"/>
  <c r="C30" i="29"/>
  <c r="N30" i="29" s="1"/>
  <c r="H17" i="21"/>
  <c r="B87" i="28"/>
  <c r="AS88" i="28"/>
  <c r="AS89" i="28" s="1"/>
  <c r="F89" i="28" s="1"/>
  <c r="H22" i="21"/>
  <c r="E87" i="28"/>
  <c r="AS34" i="45"/>
  <c r="Y9" i="54"/>
  <c r="Y10" i="54" s="1"/>
  <c r="H24" i="21"/>
  <c r="AD28" i="55"/>
  <c r="AC27" i="55"/>
  <c r="BP36" i="16"/>
  <c r="AW40" i="45"/>
  <c r="AG37" i="45"/>
  <c r="L142" i="29"/>
  <c r="F142" i="29" s="1"/>
  <c r="B141" i="29"/>
  <c r="D87" i="28"/>
  <c r="K13" i="66"/>
  <c r="S12" i="66"/>
  <c r="L12" i="66"/>
  <c r="V38" i="45"/>
  <c r="O30" i="26"/>
  <c r="O28" i="26"/>
  <c r="M34" i="26"/>
  <c r="N54" i="26" s="1"/>
  <c r="AD39" i="45"/>
  <c r="AS109" i="28"/>
  <c r="D109"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7" i="28"/>
  <c r="C114" i="28"/>
  <c r="AU114" i="28" s="1"/>
  <c r="B108" i="28"/>
  <c r="D108" i="28"/>
  <c r="F108"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2" i="28"/>
  <c r="AS253" i="28" s="1"/>
  <c r="G253"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7" i="28"/>
  <c r="AR118" i="28" s="1"/>
  <c r="AR32" i="28"/>
  <c r="AS31" i="28"/>
  <c r="A31" i="28"/>
  <c r="C111" i="28"/>
  <c r="AU111" i="28" s="1"/>
  <c r="G251" i="28"/>
  <c r="C112" i="28"/>
  <c r="AU112" i="28" s="1"/>
  <c r="D89" i="28"/>
  <c r="B251" i="28"/>
  <c r="E251" i="28"/>
  <c r="G69" i="28"/>
  <c r="D251" i="28"/>
  <c r="G218" i="28"/>
  <c r="D69" i="28"/>
  <c r="AS70" i="28"/>
  <c r="B49" i="28"/>
  <c r="D49" i="28"/>
  <c r="AS50" i="28"/>
  <c r="E49" i="28"/>
  <c r="E69" i="28"/>
  <c r="F251" i="28"/>
  <c r="B69" i="28"/>
  <c r="C113" i="28"/>
  <c r="AU113" i="28" s="1"/>
  <c r="C115" i="28"/>
  <c r="AU115"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7" i="28"/>
  <c r="AU207" i="28" s="1"/>
  <c r="AR208" i="28"/>
  <c r="B234" i="28"/>
  <c r="E234" i="28"/>
  <c r="AS241" i="28"/>
  <c r="F234" i="28"/>
  <c r="D234" i="28"/>
  <c r="G234" i="28"/>
  <c r="B229" i="28"/>
  <c r="AS236" i="28"/>
  <c r="D229" i="28"/>
  <c r="F229" i="28"/>
  <c r="G217" i="28"/>
  <c r="AR53" i="28"/>
  <c r="E238" i="28"/>
  <c r="B238" i="28"/>
  <c r="G238" i="28" s="1"/>
  <c r="AS245" i="28"/>
  <c r="F238" i="28"/>
  <c r="D238" i="28"/>
  <c r="G227" i="28"/>
  <c r="G108" i="28"/>
  <c r="G231" i="28"/>
  <c r="G224" i="28"/>
  <c r="D221" i="28"/>
  <c r="F221" i="28"/>
  <c r="B221" i="28"/>
  <c r="AS228" i="28"/>
  <c r="G221" i="28"/>
  <c r="E221" i="28"/>
  <c r="G106" i="28"/>
  <c r="G47" i="28"/>
  <c r="G46" i="28"/>
  <c r="G209" i="28"/>
  <c r="G149" i="28"/>
  <c r="G48" i="28"/>
  <c r="G281" i="28"/>
  <c r="G129" i="28"/>
  <c r="G49" i="28"/>
  <c r="G249" i="28"/>
  <c r="G225" i="28"/>
  <c r="G210" i="28"/>
  <c r="G169" i="28"/>
  <c r="G206" i="28"/>
  <c r="G211" i="28"/>
  <c r="G297" i="28"/>
  <c r="H9" i="28"/>
  <c r="G265" i="28"/>
  <c r="G200" i="28"/>
  <c r="G86" i="28"/>
  <c r="G85" i="28"/>
  <c r="G66" i="28"/>
  <c r="G207" i="28"/>
  <c r="G213" i="28"/>
  <c r="G87" i="28"/>
  <c r="G204" i="28"/>
  <c r="G199" i="28"/>
  <c r="G67" i="28"/>
  <c r="G202" i="28"/>
  <c r="G27" i="28"/>
  <c r="G30" i="28"/>
  <c r="G216" i="28"/>
  <c r="G68" i="28"/>
  <c r="G220" i="28"/>
  <c r="G26" i="28"/>
  <c r="G107" i="28"/>
  <c r="G250" i="28"/>
  <c r="G29" i="28"/>
  <c r="G203" i="28"/>
  <c r="AS237" i="28"/>
  <c r="F230" i="28"/>
  <c r="E230" i="28"/>
  <c r="B230" i="28"/>
  <c r="G230" i="28" s="1"/>
  <c r="D230" i="28"/>
  <c r="D232" i="28"/>
  <c r="F232" i="28"/>
  <c r="E232" i="28"/>
  <c r="B232" i="28"/>
  <c r="G232" i="28" s="1"/>
  <c r="AS239" i="28"/>
  <c r="AR94" i="28"/>
  <c r="C93" i="28"/>
  <c r="AU93" i="28" s="1"/>
  <c r="AR75" i="28"/>
  <c r="C74" i="28"/>
  <c r="AU74" i="28" s="1"/>
  <c r="G223"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4" i="28"/>
  <c r="AU254" i="28" s="1"/>
  <c r="AR255" i="28"/>
  <c r="AR256" i="28" s="1"/>
  <c r="AU52" i="28"/>
  <c r="E21" i="24"/>
  <c r="F21" i="24"/>
  <c r="H78" i="55"/>
  <c r="I77" i="55"/>
  <c r="AT10" i="16"/>
  <c r="K60" i="16" s="1"/>
  <c r="AV9" i="16"/>
  <c r="K291" i="29"/>
  <c r="C290" i="29"/>
  <c r="N55" i="29"/>
  <c r="E55" i="29"/>
  <c r="AU51"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0" i="28"/>
  <c r="L290" i="29"/>
  <c r="AU67" i="28"/>
  <c r="F289" i="29"/>
  <c r="AU50" i="28"/>
  <c r="F288" i="29"/>
  <c r="AU116" i="28"/>
  <c r="B289" i="29"/>
  <c r="B288" i="29"/>
  <c r="AU110" i="28"/>
  <c r="AU29" i="28"/>
  <c r="E288" i="29"/>
  <c r="AU253" i="28"/>
  <c r="AU108" i="28"/>
  <c r="J108" i="28" s="1"/>
  <c r="C34" i="24"/>
  <c r="C328" i="29" s="1"/>
  <c r="E328" i="29" s="1"/>
  <c r="AU252" i="28"/>
  <c r="E32" i="24"/>
  <c r="F32" i="24"/>
  <c r="C31" i="23"/>
  <c r="D31" i="23" s="1"/>
  <c r="E33" i="24"/>
  <c r="C32" i="23"/>
  <c r="D32" i="23" s="1"/>
  <c r="F33" i="24"/>
  <c r="N337" i="29"/>
  <c r="E337" i="29"/>
  <c r="F252" i="28"/>
  <c r="AU49" i="28"/>
  <c r="AU109" i="28"/>
  <c r="AU71" i="28"/>
  <c r="AU249" i="28"/>
  <c r="C26" i="23"/>
  <c r="D26" i="23" s="1"/>
  <c r="C297" i="29"/>
  <c r="E297" i="29" s="1"/>
  <c r="C298" i="29"/>
  <c r="E298" i="29" s="1"/>
  <c r="C312" i="29"/>
  <c r="E312" i="29" s="1"/>
  <c r="C27" i="23"/>
  <c r="D27" i="23" s="1"/>
  <c r="AU107" i="28"/>
  <c r="AU85" i="28"/>
  <c r="AU48" i="28"/>
  <c r="AU206" i="28"/>
  <c r="AU68" i="28"/>
  <c r="AU69" i="28"/>
  <c r="AU87" i="28"/>
  <c r="AU83" i="28"/>
  <c r="AU106" i="28"/>
  <c r="AU90" i="28"/>
  <c r="AU86" i="28"/>
  <c r="AU73" i="28"/>
  <c r="AU46" i="28"/>
  <c r="AU47" i="28"/>
  <c r="AU72" i="28"/>
  <c r="AU88" i="28"/>
  <c r="B172" i="7"/>
  <c r="AU200" i="28"/>
  <c r="J200" i="28" s="1"/>
  <c r="AU199" i="28"/>
  <c r="AU92" i="28"/>
  <c r="AU66" i="28"/>
  <c r="AU91" i="28"/>
  <c r="AU89" i="28"/>
  <c r="N25" i="29"/>
  <c r="D25" i="29" s="1"/>
  <c r="J251" i="28"/>
  <c r="C256" i="28"/>
  <c r="AU256" i="28" s="1"/>
  <c r="AR257" i="28"/>
  <c r="C257" i="28" s="1"/>
  <c r="AU257" i="28" s="1"/>
  <c r="X137" i="7"/>
  <c r="G76" i="6"/>
  <c r="G97" i="6" s="1"/>
  <c r="H58" i="6"/>
  <c r="H76" i="6" s="1"/>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8" i="28"/>
  <c r="B88" i="28"/>
  <c r="G89" i="28"/>
  <c r="C169" i="29"/>
  <c r="N169" i="29" s="1"/>
  <c r="D88" i="28"/>
  <c r="K26" i="19"/>
  <c r="L27" i="19"/>
  <c r="E88" i="28"/>
  <c r="AS90" i="28"/>
  <c r="G90" i="28" s="1"/>
  <c r="V35" i="45"/>
  <c r="G169" i="29"/>
  <c r="G89" i="29"/>
  <c r="E89" i="28"/>
  <c r="B89" i="28"/>
  <c r="F88"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2" i="28"/>
  <c r="D252" i="28"/>
  <c r="AS254" i="28"/>
  <c r="J254" i="28" s="1"/>
  <c r="G252" i="28"/>
  <c r="AS110" i="28"/>
  <c r="G110" i="28" s="1"/>
  <c r="B253" i="28"/>
  <c r="B109" i="28"/>
  <c r="L13" i="66"/>
  <c r="K14" i="66"/>
  <c r="S13" i="66"/>
  <c r="D253" i="28"/>
  <c r="H109" i="28"/>
  <c r="G109" i="28"/>
  <c r="E253" i="28"/>
  <c r="E109" i="28"/>
  <c r="G24" i="29"/>
  <c r="F253" i="28"/>
  <c r="F109"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2"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0" i="28"/>
  <c r="F70" i="28"/>
  <c r="B70" i="28"/>
  <c r="AS71" i="28"/>
  <c r="H71" i="28" s="1"/>
  <c r="D70" i="28"/>
  <c r="B31" i="28"/>
  <c r="C31" i="28"/>
  <c r="AU31" i="28" s="1"/>
  <c r="J31" i="28" s="1"/>
  <c r="D31" i="28"/>
  <c r="AR33" i="28"/>
  <c r="AS32" i="28"/>
  <c r="AS33" i="28" s="1"/>
  <c r="AS34" i="28" s="1"/>
  <c r="A32" i="28"/>
  <c r="C117" i="28"/>
  <c r="AU117" i="28" s="1"/>
  <c r="G70" i="28"/>
  <c r="AS91" i="28"/>
  <c r="H91" i="28" s="1"/>
  <c r="E90" i="28"/>
  <c r="F90" i="28"/>
  <c r="B90" i="28"/>
  <c r="D90" i="28"/>
  <c r="G31" i="28"/>
  <c r="G50" i="28"/>
  <c r="E50" i="28"/>
  <c r="AS51" i="28"/>
  <c r="H51" i="28" s="1"/>
  <c r="F50" i="28"/>
  <c r="D50" i="28"/>
  <c r="B50" i="28"/>
  <c r="K37" i="7"/>
  <c r="AV16" i="28"/>
  <c r="J207" i="28"/>
  <c r="H252" i="28"/>
  <c r="C118" i="28"/>
  <c r="AR119" i="28"/>
  <c r="H234" i="28"/>
  <c r="H221" i="28"/>
  <c r="AR54" i="28"/>
  <c r="C53" i="28"/>
  <c r="AU53" i="28" s="1"/>
  <c r="H230" i="28"/>
  <c r="AR76" i="28"/>
  <c r="C75" i="28"/>
  <c r="AU75" i="28" s="1"/>
  <c r="H253" i="28"/>
  <c r="C94" i="28"/>
  <c r="AU94" i="28" s="1"/>
  <c r="AR95" i="28"/>
  <c r="D236" i="28"/>
  <c r="B236" i="28"/>
  <c r="AS243" i="28"/>
  <c r="F236" i="28"/>
  <c r="H236" i="28"/>
  <c r="D241" i="28"/>
  <c r="F241" i="28"/>
  <c r="B241" i="28"/>
  <c r="H241" i="28"/>
  <c r="E241" i="28"/>
  <c r="G241" i="28"/>
  <c r="H238" i="28"/>
  <c r="H232" i="28"/>
  <c r="E239" i="28"/>
  <c r="D239" i="28"/>
  <c r="H239" i="28"/>
  <c r="F239" i="28"/>
  <c r="AS246" i="28"/>
  <c r="B239" i="28"/>
  <c r="G239" i="28" s="1"/>
  <c r="C208" i="28"/>
  <c r="AR209" i="28"/>
  <c r="H202" i="28"/>
  <c r="H46" i="28"/>
  <c r="H206" i="28"/>
  <c r="H204" i="28"/>
  <c r="H203" i="28"/>
  <c r="H87" i="28"/>
  <c r="H31" i="72" s="1"/>
  <c r="H189" i="28"/>
  <c r="H297" i="28"/>
  <c r="H199" i="28"/>
  <c r="H48" i="28"/>
  <c r="H10" i="72" s="1"/>
  <c r="H190" i="28"/>
  <c r="H265" i="28"/>
  <c r="H249" i="28"/>
  <c r="H192" i="28"/>
  <c r="H85" i="28"/>
  <c r="H86" i="28"/>
  <c r="H30" i="72" s="1"/>
  <c r="H193" i="28"/>
  <c r="H201" i="28"/>
  <c r="H88" i="28"/>
  <c r="H196" i="28"/>
  <c r="H149" i="28"/>
  <c r="H210" i="28"/>
  <c r="H67" i="28"/>
  <c r="H191" i="28"/>
  <c r="H89" i="28"/>
  <c r="H281" i="28"/>
  <c r="H209" i="28"/>
  <c r="I9" i="28"/>
  <c r="H66" i="28"/>
  <c r="H213" i="28"/>
  <c r="H106" i="28"/>
  <c r="H129" i="28"/>
  <c r="H194" i="28"/>
  <c r="H218" i="28"/>
  <c r="H211" i="28"/>
  <c r="H207" i="28"/>
  <c r="H215" i="28"/>
  <c r="H49" i="28"/>
  <c r="H200" i="28"/>
  <c r="H47" i="28"/>
  <c r="H9" i="72" s="1"/>
  <c r="H169" i="28"/>
  <c r="H68" i="28"/>
  <c r="H107" i="28"/>
  <c r="H220" i="28"/>
  <c r="H250" i="28"/>
  <c r="H27" i="28"/>
  <c r="H30" i="28"/>
  <c r="H29" i="28"/>
  <c r="H224" i="28"/>
  <c r="H208" i="28"/>
  <c r="H216" i="28"/>
  <c r="H26" i="28"/>
  <c r="H217" i="28"/>
  <c r="H31" i="28"/>
  <c r="H214" i="28"/>
  <c r="H223" i="28"/>
  <c r="H28" i="28"/>
  <c r="H227" i="28"/>
  <c r="H90" i="28"/>
  <c r="H50" i="28"/>
  <c r="H225" i="28"/>
  <c r="H231" i="28"/>
  <c r="H251" i="28"/>
  <c r="H108" i="28"/>
  <c r="H70" i="28"/>
  <c r="H222" i="28"/>
  <c r="H69" i="28"/>
  <c r="H229" i="28"/>
  <c r="AS244" i="28"/>
  <c r="D237" i="28"/>
  <c r="H237" i="28"/>
  <c r="B237" i="28"/>
  <c r="G237" i="28" s="1"/>
  <c r="E237" i="28"/>
  <c r="F237" i="28"/>
  <c r="D245" i="28"/>
  <c r="F245" i="28"/>
  <c r="H245" i="28"/>
  <c r="B245" i="28"/>
  <c r="G245" i="28" s="1"/>
  <c r="E245" i="28"/>
  <c r="G228" i="28"/>
  <c r="B228" i="28"/>
  <c r="AS235" i="28"/>
  <c r="D228" i="28"/>
  <c r="F228" i="28"/>
  <c r="H228" i="28"/>
  <c r="E228"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5" i="28"/>
  <c r="AU255"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M13" i="9" l="1"/>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0" i="28"/>
  <c r="AS255" i="28"/>
  <c r="AS256" i="28" s="1"/>
  <c r="B256" i="28" s="1"/>
  <c r="G254" i="28"/>
  <c r="C28" i="23"/>
  <c r="D28" i="23" s="1"/>
  <c r="J199" i="28"/>
  <c r="AU201" i="28"/>
  <c r="N297" i="29"/>
  <c r="N239" i="29"/>
  <c r="N257" i="29"/>
  <c r="N281" i="29"/>
  <c r="N251" i="29"/>
  <c r="N245" i="29"/>
  <c r="N312" i="29"/>
  <c r="J206" i="28"/>
  <c r="AU208" i="28"/>
  <c r="N263" i="29"/>
  <c r="D254" i="28"/>
  <c r="H254" i="28"/>
  <c r="E254" i="28"/>
  <c r="F254" i="28"/>
  <c r="B254" i="28"/>
  <c r="D255" i="28"/>
  <c r="I256" i="28"/>
  <c r="H256" i="28"/>
  <c r="E48" i="76"/>
  <c r="E50" i="76" s="1"/>
  <c r="E49" i="76" s="1"/>
  <c r="F45" i="76"/>
  <c r="H44" i="76"/>
  <c r="G52" i="76"/>
  <c r="G54" i="76" s="1"/>
  <c r="G53" i="76" s="1"/>
  <c r="R85" i="26"/>
  <c r="AC14" i="21"/>
  <c r="AD14" i="21" s="1"/>
  <c r="B49" i="20"/>
  <c r="B31" i="20"/>
  <c r="B110" i="28"/>
  <c r="H169" i="29"/>
  <c r="H89" i="29"/>
  <c r="D110" i="28"/>
  <c r="E110" i="28"/>
  <c r="J26" i="19"/>
  <c r="K27" i="19"/>
  <c r="AS111" i="28"/>
  <c r="F110" i="28"/>
  <c r="I110"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1"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8" i="28"/>
  <c r="G71" i="28"/>
  <c r="E71" i="28"/>
  <c r="AS72" i="28"/>
  <c r="F71" i="28"/>
  <c r="B71" i="28"/>
  <c r="D71" i="28"/>
  <c r="AR34" i="28"/>
  <c r="A33" i="28"/>
  <c r="I33" i="28" s="1"/>
  <c r="E51" i="28"/>
  <c r="F51" i="28"/>
  <c r="D51" i="28"/>
  <c r="B51" i="28"/>
  <c r="G51" i="28"/>
  <c r="AS52" i="28"/>
  <c r="I52" i="28" s="1"/>
  <c r="B32" i="28"/>
  <c r="G32" i="28"/>
  <c r="C32" i="28"/>
  <c r="AU32" i="28" s="1"/>
  <c r="D32" i="28" s="1"/>
  <c r="F32" i="28"/>
  <c r="F91" i="28"/>
  <c r="AS92" i="28"/>
  <c r="I92" i="28" s="1"/>
  <c r="B91" i="28"/>
  <c r="D91" i="28"/>
  <c r="G91" i="28"/>
  <c r="E91" i="28"/>
  <c r="AV17" i="28"/>
  <c r="J257" i="28" s="1"/>
  <c r="L37" i="7"/>
  <c r="I237" i="28"/>
  <c r="B235" i="28"/>
  <c r="E235" i="28"/>
  <c r="F235" i="28"/>
  <c r="AS242" i="28"/>
  <c r="G235" i="28"/>
  <c r="I235" i="28"/>
  <c r="D235" i="28"/>
  <c r="H235" i="28"/>
  <c r="I202" i="28"/>
  <c r="I203" i="28"/>
  <c r="I89" i="28"/>
  <c r="I169" i="28"/>
  <c r="I47" i="28"/>
  <c r="I9" i="72" s="1"/>
  <c r="I281" i="28"/>
  <c r="I88" i="28"/>
  <c r="I200" i="28"/>
  <c r="I211" i="28"/>
  <c r="I86" i="28"/>
  <c r="I30" i="72" s="1"/>
  <c r="I49" i="28"/>
  <c r="I106" i="28"/>
  <c r="I66" i="28"/>
  <c r="I46" i="28"/>
  <c r="I210" i="28"/>
  <c r="J9" i="28"/>
  <c r="I204" i="28"/>
  <c r="I129" i="28"/>
  <c r="I213" i="28"/>
  <c r="I201" i="28"/>
  <c r="I225" i="28"/>
  <c r="I206" i="28"/>
  <c r="I297" i="28"/>
  <c r="I265" i="28"/>
  <c r="I209" i="28"/>
  <c r="I149" i="28"/>
  <c r="I67" i="28"/>
  <c r="I199" i="28"/>
  <c r="I87" i="28"/>
  <c r="I31" i="72" s="1"/>
  <c r="I249" i="28"/>
  <c r="I48" i="28"/>
  <c r="I10" i="72" s="1"/>
  <c r="I85" i="28"/>
  <c r="I208" i="28"/>
  <c r="I207" i="28"/>
  <c r="I218" i="28"/>
  <c r="I215" i="28"/>
  <c r="I250" i="28"/>
  <c r="I30" i="28"/>
  <c r="I29" i="28"/>
  <c r="I68" i="28"/>
  <c r="I224" i="28"/>
  <c r="I220" i="28"/>
  <c r="I31" i="28"/>
  <c r="I26" i="28"/>
  <c r="I217" i="28"/>
  <c r="I216" i="28"/>
  <c r="I27" i="28"/>
  <c r="I107" i="28"/>
  <c r="I28" i="28"/>
  <c r="I32" i="28"/>
  <c r="I91" i="28"/>
  <c r="I70" i="28"/>
  <c r="I50" i="28"/>
  <c r="I227" i="28"/>
  <c r="I69" i="28"/>
  <c r="I90" i="28"/>
  <c r="I222" i="28"/>
  <c r="I108" i="28"/>
  <c r="I231" i="28"/>
  <c r="I214" i="28"/>
  <c r="I251" i="28"/>
  <c r="I223" i="28"/>
  <c r="I109" i="28"/>
  <c r="I238" i="28"/>
  <c r="I252" i="28"/>
  <c r="I71" i="28"/>
  <c r="I221" i="28"/>
  <c r="I230" i="28"/>
  <c r="I51" i="28"/>
  <c r="I234" i="28"/>
  <c r="I229" i="28"/>
  <c r="I253" i="28"/>
  <c r="I232" i="28"/>
  <c r="I254" i="28"/>
  <c r="J255" i="28"/>
  <c r="B244" i="28"/>
  <c r="G244" i="28" s="1"/>
  <c r="F244" i="28"/>
  <c r="E244" i="28"/>
  <c r="I244" i="28"/>
  <c r="H244" i="28"/>
  <c r="D244" i="28"/>
  <c r="I241" i="28"/>
  <c r="AR120" i="28"/>
  <c r="C119" i="28"/>
  <c r="AU119" i="28" s="1"/>
  <c r="AR96" i="28"/>
  <c r="C95" i="28"/>
  <c r="AU95" i="28" s="1"/>
  <c r="AU118" i="28"/>
  <c r="I243" i="28"/>
  <c r="D243" i="28"/>
  <c r="B243" i="28"/>
  <c r="H243" i="28"/>
  <c r="F243" i="28"/>
  <c r="AS112" i="28"/>
  <c r="H111" i="28"/>
  <c r="G111" i="28"/>
  <c r="B111" i="28"/>
  <c r="I111" i="28"/>
  <c r="D111" i="28"/>
  <c r="E111" i="28"/>
  <c r="F111" i="28"/>
  <c r="C209" i="28"/>
  <c r="AR210" i="28"/>
  <c r="I245" i="28"/>
  <c r="B246" i="28"/>
  <c r="G246" i="28" s="1"/>
  <c r="H246" i="28"/>
  <c r="E246" i="28"/>
  <c r="F246" i="28"/>
  <c r="I246" i="28"/>
  <c r="D246" i="28"/>
  <c r="I239" i="28"/>
  <c r="C76" i="28"/>
  <c r="AU76" i="28" s="1"/>
  <c r="AR77" i="28"/>
  <c r="AR55" i="28"/>
  <c r="C54" i="28"/>
  <c r="AU54" i="28" s="1"/>
  <c r="I236"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8" i="28" s="1"/>
  <c r="J67" i="28"/>
  <c r="L71" i="16"/>
  <c r="B255" i="28"/>
  <c r="G255" i="28"/>
  <c r="F255" i="28"/>
  <c r="I255" i="28"/>
  <c r="H255" i="28"/>
  <c r="E255" i="28"/>
  <c r="I70" i="7"/>
  <c r="H80" i="7"/>
  <c r="AP11" i="16"/>
  <c r="L77" i="16"/>
  <c r="L78" i="16"/>
  <c r="N272" i="29"/>
  <c r="D271" i="29"/>
  <c r="C329" i="29"/>
  <c r="K330" i="29"/>
  <c r="L329" i="29"/>
  <c r="I49" i="7"/>
  <c r="R88" i="26" s="1"/>
  <c r="J47" i="28"/>
  <c r="J9" i="72" s="1"/>
  <c r="C302" i="29"/>
  <c r="L302" i="29"/>
  <c r="K303" i="29"/>
  <c r="C292" i="29"/>
  <c r="K293" i="29"/>
  <c r="L79" i="16"/>
  <c r="AV11" i="16"/>
  <c r="L74" i="16"/>
  <c r="L68" i="16"/>
  <c r="K317" i="29"/>
  <c r="C315" i="29"/>
  <c r="E315" i="29" s="1"/>
  <c r="K316" i="29"/>
  <c r="C316" i="29" s="1"/>
  <c r="E316" i="29" s="1"/>
  <c r="H12" i="37"/>
  <c r="AK19" i="9" l="1"/>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6" i="28"/>
  <c r="D256" i="28"/>
  <c r="G256" i="28"/>
  <c r="F256" i="28"/>
  <c r="E256" i="28"/>
  <c r="N252" i="29"/>
  <c r="N253" i="29" s="1"/>
  <c r="E251" i="29"/>
  <c r="N282" i="29"/>
  <c r="D281" i="29"/>
  <c r="N258" i="29"/>
  <c r="N259" i="29" s="1"/>
  <c r="E257" i="29"/>
  <c r="E239" i="29"/>
  <c r="N240" i="29"/>
  <c r="N241" i="29" s="1"/>
  <c r="N298" i="29"/>
  <c r="D297" i="29"/>
  <c r="J201" i="28"/>
  <c r="AU202" i="28"/>
  <c r="E263" i="29"/>
  <c r="N264" i="29"/>
  <c r="N265" i="29" s="1"/>
  <c r="E327" i="29"/>
  <c r="N327" i="29"/>
  <c r="AU209" i="28"/>
  <c r="AU210" i="28" s="1"/>
  <c r="J210" i="28" s="1"/>
  <c r="J208" i="28"/>
  <c r="D312" i="29"/>
  <c r="N313" i="29"/>
  <c r="E245" i="29"/>
  <c r="N246" i="29"/>
  <c r="N247" i="29" s="1"/>
  <c r="B257" i="28"/>
  <c r="H257" i="28"/>
  <c r="F257" i="28"/>
  <c r="I257" i="28"/>
  <c r="G257" i="28"/>
  <c r="E257" i="28"/>
  <c r="D257"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8" i="28"/>
  <c r="O48" i="28" s="1"/>
  <c r="AB48"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8" i="28"/>
  <c r="S68" i="28" s="1"/>
  <c r="T68" i="28" s="1"/>
  <c r="U68" i="28" s="1"/>
  <c r="AS53" i="28"/>
  <c r="E52" i="28"/>
  <c r="B52" i="28"/>
  <c r="D52" i="28"/>
  <c r="H52" i="28"/>
  <c r="F52" i="28"/>
  <c r="G52" i="28"/>
  <c r="D72" i="28"/>
  <c r="B72" i="28"/>
  <c r="H72" i="28"/>
  <c r="AS74" i="28"/>
  <c r="G72" i="28"/>
  <c r="E72" i="28"/>
  <c r="AS73" i="28"/>
  <c r="F72" i="28"/>
  <c r="I72" i="28"/>
  <c r="AR35" i="28"/>
  <c r="A34" i="28"/>
  <c r="AS93" i="28"/>
  <c r="D92" i="28"/>
  <c r="G92" i="28"/>
  <c r="B92" i="28"/>
  <c r="E92" i="28"/>
  <c r="F92" i="28"/>
  <c r="H92" i="28"/>
  <c r="E32" i="28"/>
  <c r="B33" i="28"/>
  <c r="G33" i="28"/>
  <c r="F33" i="28"/>
  <c r="C33" i="28"/>
  <c r="AU33" i="28" s="1"/>
  <c r="H33" i="28"/>
  <c r="E329" i="29"/>
  <c r="M18" i="29"/>
  <c r="M37" i="7"/>
  <c r="B242" i="28"/>
  <c r="D242" i="28"/>
  <c r="H242" i="28"/>
  <c r="F242" i="28"/>
  <c r="E242" i="28"/>
  <c r="G242" i="28"/>
  <c r="I242" i="28"/>
  <c r="G112" i="28"/>
  <c r="B112" i="28"/>
  <c r="H112" i="28"/>
  <c r="I112" i="28"/>
  <c r="F112" i="28"/>
  <c r="AS113" i="28"/>
  <c r="E112" i="28"/>
  <c r="D112" i="28"/>
  <c r="AR123" i="28"/>
  <c r="C120" i="28"/>
  <c r="AU120" i="28" s="1"/>
  <c r="AR121" i="28"/>
  <c r="AR211" i="28"/>
  <c r="C210" i="28"/>
  <c r="AR56" i="28"/>
  <c r="C55" i="28"/>
  <c r="AU55" i="28" s="1"/>
  <c r="C96" i="28"/>
  <c r="AU96" i="28" s="1"/>
  <c r="AR97" i="28"/>
  <c r="AR78" i="28"/>
  <c r="C77" i="28"/>
  <c r="AU77"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8" i="28"/>
  <c r="K72" i="16"/>
  <c r="AV12" i="16"/>
  <c r="K304" i="29"/>
  <c r="C303" i="29"/>
  <c r="L303" i="29"/>
  <c r="K67" i="16"/>
  <c r="K62" i="16"/>
  <c r="I12" i="37"/>
  <c r="C12" i="37" s="1"/>
  <c r="A12" i="37" s="1"/>
  <c r="D12" i="37" s="1"/>
  <c r="AU203" i="28" l="1"/>
  <c r="AU204" i="28" s="1"/>
  <c r="J202" i="28"/>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1" i="28"/>
  <c r="N248" i="29"/>
  <c r="D247" i="29"/>
  <c r="N299" i="29"/>
  <c r="D298" i="29"/>
  <c r="N314" i="29"/>
  <c r="D313" i="29"/>
  <c r="D241" i="29"/>
  <c r="N242" i="29"/>
  <c r="N260" i="29"/>
  <c r="D259" i="29"/>
  <c r="D327" i="29"/>
  <c r="N328" i="29"/>
  <c r="D282" i="29"/>
  <c r="N283" i="29"/>
  <c r="N266" i="29"/>
  <c r="D265" i="29"/>
  <c r="D253" i="29"/>
  <c r="N254" i="29"/>
  <c r="AC48" i="28"/>
  <c r="AN48" i="28" s="1"/>
  <c r="AP48"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8"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3" i="28"/>
  <c r="G93" i="28"/>
  <c r="D93" i="28"/>
  <c r="B93" i="28"/>
  <c r="F93" i="28"/>
  <c r="AS94" i="28"/>
  <c r="E93" i="28"/>
  <c r="I93" i="28"/>
  <c r="G34" i="28"/>
  <c r="F34" i="28"/>
  <c r="C34" i="28"/>
  <c r="B34" i="28"/>
  <c r="H34" i="28"/>
  <c r="I34" i="28"/>
  <c r="E73" i="28"/>
  <c r="D73" i="28"/>
  <c r="B73" i="28"/>
  <c r="I73" i="28"/>
  <c r="H73" i="28"/>
  <c r="F73" i="28"/>
  <c r="G73" i="28"/>
  <c r="D33" i="28"/>
  <c r="E33" i="28"/>
  <c r="I74" i="28"/>
  <c r="E74" i="28"/>
  <c r="F74" i="28"/>
  <c r="D74" i="28"/>
  <c r="AS75" i="28"/>
  <c r="H74" i="28"/>
  <c r="G74" i="28"/>
  <c r="B74" i="28"/>
  <c r="G53" i="28"/>
  <c r="H53" i="28"/>
  <c r="F53" i="28"/>
  <c r="I53" i="28"/>
  <c r="B53" i="28"/>
  <c r="E53" i="28"/>
  <c r="D53" i="28"/>
  <c r="AS54" i="28"/>
  <c r="N37" i="7"/>
  <c r="O37" i="7" s="1"/>
  <c r="AT21" i="28"/>
  <c r="H18" i="10"/>
  <c r="AR122" i="28"/>
  <c r="C122" i="28" s="1"/>
  <c r="AU122" i="28" s="1"/>
  <c r="C121" i="28"/>
  <c r="AU121" i="28" s="1"/>
  <c r="AR57" i="28"/>
  <c r="C56" i="28"/>
  <c r="AU56" i="28" s="1"/>
  <c r="C211" i="28"/>
  <c r="AR213" i="28"/>
  <c r="G113" i="28"/>
  <c r="F113" i="28"/>
  <c r="I113" i="28"/>
  <c r="B113" i="28"/>
  <c r="AS114" i="28"/>
  <c r="H113" i="28"/>
  <c r="E113" i="28"/>
  <c r="D113" i="28"/>
  <c r="AR79" i="28"/>
  <c r="C78" i="28"/>
  <c r="AR124" i="28"/>
  <c r="C123" i="28"/>
  <c r="AR98" i="28"/>
  <c r="C97"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59" i="28"/>
  <c r="C258"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3"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3"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4" i="28"/>
  <c r="B94" i="28"/>
  <c r="I94" i="28"/>
  <c r="H94" i="28"/>
  <c r="G94" i="28"/>
  <c r="E94" i="28"/>
  <c r="AS95" i="28"/>
  <c r="D94" i="28"/>
  <c r="D75" i="28"/>
  <c r="I75" i="28"/>
  <c r="E75" i="28"/>
  <c r="AS76" i="28"/>
  <c r="F75" i="28"/>
  <c r="H75" i="28"/>
  <c r="G75" i="28"/>
  <c r="B75" i="28"/>
  <c r="B54" i="28"/>
  <c r="AS55" i="28"/>
  <c r="D54" i="28"/>
  <c r="I54" i="28"/>
  <c r="G54" i="28"/>
  <c r="F54" i="28"/>
  <c r="E54" i="28"/>
  <c r="H54" i="28"/>
  <c r="E34" i="28"/>
  <c r="AU34" i="28"/>
  <c r="F35" i="28"/>
  <c r="B35" i="28"/>
  <c r="C35" i="28"/>
  <c r="AU35" i="28" s="1"/>
  <c r="D35" i="28" s="1"/>
  <c r="G35" i="28"/>
  <c r="H35" i="28"/>
  <c r="I35" i="28"/>
  <c r="AS42" i="28"/>
  <c r="AS41" i="28"/>
  <c r="A36" i="28"/>
  <c r="AR37" i="28"/>
  <c r="J209" i="28"/>
  <c r="AT13" i="28"/>
  <c r="P37" i="7"/>
  <c r="AR99" i="28"/>
  <c r="C98" i="28"/>
  <c r="C124" i="28"/>
  <c r="AR125" i="28"/>
  <c r="AR58" i="28"/>
  <c r="C57" i="28"/>
  <c r="AU57" i="28" s="1"/>
  <c r="I114" i="28"/>
  <c r="AS115" i="28"/>
  <c r="G114" i="28"/>
  <c r="F114" i="28"/>
  <c r="B114" i="28"/>
  <c r="H114" i="28"/>
  <c r="E114" i="28"/>
  <c r="D114" i="28"/>
  <c r="AR214" i="28"/>
  <c r="C213" i="28"/>
  <c r="AU213" i="28" s="1"/>
  <c r="AU78" i="28"/>
  <c r="AR80" i="28"/>
  <c r="C79" i="28"/>
  <c r="AU97"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8" i="28"/>
  <c r="AU258" i="28"/>
  <c r="J258" i="28" s="1"/>
  <c r="AR260" i="28"/>
  <c r="C259" i="28"/>
  <c r="E259" i="28" s="1"/>
  <c r="C332" i="29"/>
  <c r="K333" i="29"/>
  <c r="M15" i="36"/>
  <c r="A14" i="36"/>
  <c r="E10" i="34"/>
  <c r="I11" i="34"/>
  <c r="J11" i="34" s="1"/>
  <c r="A10" i="34"/>
  <c r="I258" i="28"/>
  <c r="H258" i="28"/>
  <c r="B258" i="28"/>
  <c r="G258" i="28"/>
  <c r="F258"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4"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5" i="28"/>
  <c r="AS96" i="28"/>
  <c r="G95" i="28"/>
  <c r="B95" i="28"/>
  <c r="E95" i="28"/>
  <c r="F95" i="28"/>
  <c r="H95" i="28"/>
  <c r="D95" i="28"/>
  <c r="AS43" i="28"/>
  <c r="F42" i="28"/>
  <c r="B42" i="28"/>
  <c r="G42" i="28"/>
  <c r="H42" i="28"/>
  <c r="I42" i="28"/>
  <c r="I55" i="28"/>
  <c r="AS56" i="28"/>
  <c r="H55" i="28"/>
  <c r="G55" i="28"/>
  <c r="F55" i="28"/>
  <c r="B55" i="28"/>
  <c r="E55" i="28"/>
  <c r="D55" i="28"/>
  <c r="B76" i="28"/>
  <c r="I76" i="28"/>
  <c r="F76" i="28"/>
  <c r="AS77" i="28"/>
  <c r="H76" i="28"/>
  <c r="D76" i="28"/>
  <c r="G76" i="28"/>
  <c r="E76" i="28"/>
  <c r="Q37" i="7"/>
  <c r="AT10" i="28"/>
  <c r="J252" i="28"/>
  <c r="C80" i="28"/>
  <c r="AU80" i="28" s="1"/>
  <c r="AR81" i="28"/>
  <c r="AU215" i="28"/>
  <c r="J213" i="28"/>
  <c r="AR215" i="28"/>
  <c r="C214" i="28"/>
  <c r="AU214" i="28" s="1"/>
  <c r="J214" i="28" s="1"/>
  <c r="H115" i="28"/>
  <c r="G115" i="28"/>
  <c r="I115" i="28"/>
  <c r="F115" i="28"/>
  <c r="B115" i="28"/>
  <c r="E115" i="28"/>
  <c r="AS116" i="28"/>
  <c r="D115" i="28"/>
  <c r="AR59" i="28"/>
  <c r="C58" i="28"/>
  <c r="AU58" i="28" s="1"/>
  <c r="C125" i="28"/>
  <c r="AU125" i="28" s="1"/>
  <c r="AR126" i="28"/>
  <c r="AU79" i="28"/>
  <c r="AU98" i="28"/>
  <c r="C99" i="28"/>
  <c r="AU99" i="28" s="1"/>
  <c r="AR100" i="28"/>
  <c r="AR102" i="28"/>
  <c r="D22" i="9"/>
  <c r="G22" i="9"/>
  <c r="E19" i="10"/>
  <c r="E22" i="9"/>
  <c r="H19" i="10"/>
  <c r="A24" i="9"/>
  <c r="AR25" i="9"/>
  <c r="AS25" i="9" s="1"/>
  <c r="F20" i="10"/>
  <c r="I20" i="10"/>
  <c r="L20" i="10"/>
  <c r="H22" i="9"/>
  <c r="C23" i="9"/>
  <c r="B23" i="9"/>
  <c r="G19" i="10"/>
  <c r="I22" i="9"/>
  <c r="AS16" i="35"/>
  <c r="K334" i="29"/>
  <c r="C333" i="29"/>
  <c r="D258" i="28"/>
  <c r="L306" i="29"/>
  <c r="B305" i="29"/>
  <c r="G305" i="29" s="1"/>
  <c r="F305" i="29"/>
  <c r="H305" i="29"/>
  <c r="E305" i="29"/>
  <c r="AT13" i="38"/>
  <c r="E13" i="38" s="1"/>
  <c r="AU259" i="28"/>
  <c r="AR261" i="28"/>
  <c r="C260" i="28"/>
  <c r="F319" i="29"/>
  <c r="L320" i="29"/>
  <c r="E319" i="29"/>
  <c r="B319" i="29"/>
  <c r="G319" i="29" s="1"/>
  <c r="H319" i="29"/>
  <c r="B259" i="28"/>
  <c r="AS260" i="28"/>
  <c r="AS261" i="28" s="1"/>
  <c r="G259" i="28"/>
  <c r="F259" i="28"/>
  <c r="I259" i="28"/>
  <c r="H259"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0" i="28"/>
  <c r="E260"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6" i="28"/>
  <c r="AS57" i="28"/>
  <c r="F56" i="28"/>
  <c r="E56" i="28"/>
  <c r="D56" i="28"/>
  <c r="H56" i="28"/>
  <c r="B56" i="28"/>
  <c r="I56" i="28"/>
  <c r="H96" i="28"/>
  <c r="F96" i="28"/>
  <c r="G96" i="28"/>
  <c r="AS97" i="28"/>
  <c r="E96" i="28"/>
  <c r="D96" i="28"/>
  <c r="B96" i="28"/>
  <c r="I96" i="28"/>
  <c r="D77" i="28"/>
  <c r="B77" i="28"/>
  <c r="G77" i="28"/>
  <c r="H77" i="28"/>
  <c r="AS78" i="28"/>
  <c r="E77" i="28"/>
  <c r="F77" i="28"/>
  <c r="I77" i="28"/>
  <c r="I37" i="28"/>
  <c r="G37" i="28"/>
  <c r="H37" i="28"/>
  <c r="C37" i="28"/>
  <c r="AU37" i="28" s="1"/>
  <c r="D37" i="28" s="1"/>
  <c r="F37" i="28"/>
  <c r="B37" i="28"/>
  <c r="H43" i="28"/>
  <c r="G43" i="28"/>
  <c r="B43" i="28"/>
  <c r="AS44" i="28"/>
  <c r="F43" i="28"/>
  <c r="I43" i="28"/>
  <c r="A38" i="28"/>
  <c r="AR39" i="28"/>
  <c r="J249" i="28"/>
  <c r="AT23" i="28"/>
  <c r="R37" i="7"/>
  <c r="AR60" i="28"/>
  <c r="C59" i="28"/>
  <c r="AU59" i="28" s="1"/>
  <c r="C126" i="28"/>
  <c r="AU126" i="28" s="1"/>
  <c r="AR127" i="28"/>
  <c r="B116" i="28"/>
  <c r="I116" i="28"/>
  <c r="AS117" i="28"/>
  <c r="G116" i="28"/>
  <c r="F116" i="28"/>
  <c r="H116" i="28"/>
  <c r="E116" i="28"/>
  <c r="D116" i="28"/>
  <c r="C102" i="28"/>
  <c r="AR103" i="28"/>
  <c r="AR101" i="28"/>
  <c r="C101" i="28" s="1"/>
  <c r="AU101" i="28" s="1"/>
  <c r="C100" i="28"/>
  <c r="AU100" i="28" s="1"/>
  <c r="C215" i="28"/>
  <c r="AR216" i="28"/>
  <c r="AU216" i="28"/>
  <c r="J215" i="28"/>
  <c r="C81" i="28"/>
  <c r="AR82" i="28"/>
  <c r="C82"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0" i="28"/>
  <c r="B260" i="28"/>
  <c r="I260" i="28"/>
  <c r="H260" i="28"/>
  <c r="F260" i="28"/>
  <c r="C13" i="38"/>
  <c r="C11" i="39" s="1"/>
  <c r="E14" i="36"/>
  <c r="I14" i="36"/>
  <c r="AV14" i="38"/>
  <c r="L14" i="39"/>
  <c r="M14" i="39" s="1"/>
  <c r="C14" i="39" s="1"/>
  <c r="C334" i="29"/>
  <c r="C335" i="29" s="1"/>
  <c r="K335" i="29"/>
  <c r="C261" i="28"/>
  <c r="AU261" i="28" s="1"/>
  <c r="AR263" i="28"/>
  <c r="AR262" i="28"/>
  <c r="C262" i="28" s="1"/>
  <c r="AU262"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2" i="28"/>
  <c r="AU82" i="28"/>
  <c r="AU81"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F44" i="28"/>
  <c r="B44" i="28"/>
  <c r="E44" i="28"/>
  <c r="H44" i="28"/>
  <c r="D44" i="28"/>
  <c r="I44" i="28"/>
  <c r="G44" i="28"/>
  <c r="I57" i="28"/>
  <c r="H57" i="28"/>
  <c r="B57" i="28"/>
  <c r="G57" i="28"/>
  <c r="D57" i="28"/>
  <c r="F57" i="28"/>
  <c r="AS58" i="28"/>
  <c r="E57" i="28"/>
  <c r="G97" i="28"/>
  <c r="H97" i="28"/>
  <c r="E97" i="28"/>
  <c r="B97" i="28"/>
  <c r="F97" i="28"/>
  <c r="AS98" i="28"/>
  <c r="I97" i="28"/>
  <c r="D97" i="28"/>
  <c r="I38" i="28"/>
  <c r="G38" i="28"/>
  <c r="C38" i="28"/>
  <c r="AU38" i="28" s="1"/>
  <c r="H38" i="28"/>
  <c r="B38" i="28"/>
  <c r="F38" i="28"/>
  <c r="E78" i="28"/>
  <c r="H78" i="28"/>
  <c r="I78" i="28"/>
  <c r="AS79" i="28"/>
  <c r="F78" i="28"/>
  <c r="G78" i="28"/>
  <c r="D78" i="28"/>
  <c r="B78" i="28"/>
  <c r="S37" i="7"/>
  <c r="AT14" i="28"/>
  <c r="J204" i="28"/>
  <c r="J211" i="28"/>
  <c r="AS118" i="28"/>
  <c r="H117" i="28"/>
  <c r="B117" i="28"/>
  <c r="G117" i="28"/>
  <c r="I117" i="28"/>
  <c r="F117" i="28"/>
  <c r="E117" i="28"/>
  <c r="D117" i="28"/>
  <c r="J216" i="28"/>
  <c r="AU217" i="28"/>
  <c r="C103" i="28"/>
  <c r="AR104" i="28"/>
  <c r="C104" i="28" s="1"/>
  <c r="AU104" i="28" s="1"/>
  <c r="AR217" i="28"/>
  <c r="C216" i="28"/>
  <c r="AR129" i="28"/>
  <c r="C127" i="28"/>
  <c r="AU127" i="28" s="1"/>
  <c r="AR62" i="28"/>
  <c r="AR61" i="28"/>
  <c r="C61" i="28" s="1"/>
  <c r="AU61" i="28" s="1"/>
  <c r="C60" i="28"/>
  <c r="AU60" i="28" s="1"/>
  <c r="C25" i="9"/>
  <c r="B25" i="9"/>
  <c r="F25" i="9" s="1"/>
  <c r="D20" i="10"/>
  <c r="I24" i="9"/>
  <c r="H20" i="10"/>
  <c r="E24" i="9"/>
  <c r="G20" i="10"/>
  <c r="H24" i="9"/>
  <c r="D24" i="9"/>
  <c r="I21" i="10"/>
  <c r="F21" i="10"/>
  <c r="L21" i="10"/>
  <c r="AR27" i="9"/>
  <c r="AS27" i="9" s="1"/>
  <c r="A26" i="9"/>
  <c r="G24" i="9"/>
  <c r="AT14" i="38"/>
  <c r="C14" i="38" s="1"/>
  <c r="D261" i="28"/>
  <c r="AS262" i="28"/>
  <c r="J262" i="28" s="1"/>
  <c r="E261" i="28"/>
  <c r="G261" i="28"/>
  <c r="I261" i="28"/>
  <c r="H261" i="28"/>
  <c r="B261" i="28"/>
  <c r="F261" i="28"/>
  <c r="AR265" i="28"/>
  <c r="C263" i="28"/>
  <c r="AU263"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1"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3"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8" i="28"/>
  <c r="AS99" i="28"/>
  <c r="H98" i="28"/>
  <c r="G98" i="28"/>
  <c r="I98" i="28"/>
  <c r="E98" i="28"/>
  <c r="F98" i="28"/>
  <c r="D98" i="28"/>
  <c r="H58" i="28"/>
  <c r="G58" i="28"/>
  <c r="B58" i="28"/>
  <c r="I58" i="28"/>
  <c r="F58" i="28"/>
  <c r="D58" i="28"/>
  <c r="AS59" i="28"/>
  <c r="E58" i="28"/>
  <c r="E79" i="28"/>
  <c r="D79" i="28"/>
  <c r="G79" i="28"/>
  <c r="F79" i="28"/>
  <c r="H79" i="28"/>
  <c r="AS80" i="28"/>
  <c r="I79" i="28"/>
  <c r="B79" i="28"/>
  <c r="AR42" i="28"/>
  <c r="AR41" i="28"/>
  <c r="A41" i="28" s="1"/>
  <c r="A40" i="28"/>
  <c r="H39" i="28"/>
  <c r="F39" i="28"/>
  <c r="G39" i="28"/>
  <c r="I39" i="28"/>
  <c r="B39" i="28"/>
  <c r="C39" i="28"/>
  <c r="AU39" i="28" s="1"/>
  <c r="D39" i="28" s="1"/>
  <c r="J50" i="28"/>
  <c r="J253" i="28"/>
  <c r="J89" i="28"/>
  <c r="J70" i="28"/>
  <c r="J30" i="28"/>
  <c r="T37" i="7"/>
  <c r="AT18" i="28"/>
  <c r="AR63" i="28"/>
  <c r="C62" i="28"/>
  <c r="C217" i="28"/>
  <c r="AR218" i="28"/>
  <c r="AR130" i="28"/>
  <c r="C129" i="28"/>
  <c r="AU129" i="28" s="1"/>
  <c r="F118" i="28"/>
  <c r="I118" i="28"/>
  <c r="AS119" i="28"/>
  <c r="H118" i="28"/>
  <c r="B118" i="28"/>
  <c r="G118" i="28"/>
  <c r="E118" i="28"/>
  <c r="D118" i="28"/>
  <c r="J217" i="28"/>
  <c r="AU218" i="28"/>
  <c r="J218"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5" i="28"/>
  <c r="AU265" i="28" s="1"/>
  <c r="J265" i="28" s="1"/>
  <c r="AR266" i="28"/>
  <c r="K324" i="29"/>
  <c r="C323" i="29"/>
  <c r="E14" i="38"/>
  <c r="L16" i="39"/>
  <c r="M16" i="39" s="1"/>
  <c r="C16" i="39" s="1"/>
  <c r="O16" i="39"/>
  <c r="G262" i="28"/>
  <c r="F262" i="28"/>
  <c r="E262" i="28"/>
  <c r="I262" i="28"/>
  <c r="D262" i="28"/>
  <c r="B262" i="28"/>
  <c r="AS263" i="28"/>
  <c r="H262" i="28"/>
  <c r="C15" i="36"/>
  <c r="H15" i="37"/>
  <c r="AD3" i="19" l="1"/>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2"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59" i="28"/>
  <c r="F59" i="28"/>
  <c r="E59" i="28"/>
  <c r="I59" i="28"/>
  <c r="G59" i="28"/>
  <c r="D59" i="28"/>
  <c r="H59" i="28"/>
  <c r="AS60" i="28"/>
  <c r="AS102" i="28"/>
  <c r="E102" i="28" s="1"/>
  <c r="B99" i="28"/>
  <c r="AS100" i="28"/>
  <c r="H99" i="28"/>
  <c r="I99" i="28"/>
  <c r="F99" i="28"/>
  <c r="G99" i="28"/>
  <c r="D99" i="28"/>
  <c r="E99" i="28"/>
  <c r="F40" i="28"/>
  <c r="I40" i="28"/>
  <c r="C40" i="28"/>
  <c r="AU40" i="28" s="1"/>
  <c r="D40" i="28" s="1"/>
  <c r="H40" i="28"/>
  <c r="B40" i="28"/>
  <c r="G40" i="28"/>
  <c r="C42" i="28"/>
  <c r="E42" i="28" s="1"/>
  <c r="AR43" i="28"/>
  <c r="D80" i="28"/>
  <c r="I80" i="28"/>
  <c r="H80" i="28"/>
  <c r="F80" i="28"/>
  <c r="B80" i="28"/>
  <c r="E80" i="28"/>
  <c r="G80" i="28"/>
  <c r="AS81" i="28"/>
  <c r="J259" i="28"/>
  <c r="U37" i="7"/>
  <c r="AT19" i="28"/>
  <c r="AR220" i="28"/>
  <c r="C218" i="28"/>
  <c r="AR64" i="28"/>
  <c r="C64" i="28" s="1"/>
  <c r="AU64" i="28" s="1"/>
  <c r="C63" i="28"/>
  <c r="AS120" i="28"/>
  <c r="H119" i="28"/>
  <c r="G119" i="28"/>
  <c r="B119" i="28"/>
  <c r="I119" i="28"/>
  <c r="F119" i="28"/>
  <c r="E119" i="28"/>
  <c r="D119" i="28"/>
  <c r="AS130" i="28"/>
  <c r="AR131" i="28"/>
  <c r="C130" i="28"/>
  <c r="AU130" i="28" s="1"/>
  <c r="E26" i="9"/>
  <c r="H26" i="9"/>
  <c r="F26" i="9"/>
  <c r="G26" i="9"/>
  <c r="I26" i="9"/>
  <c r="B27" i="9"/>
  <c r="G27" i="9" s="1"/>
  <c r="C27" i="9"/>
  <c r="L22" i="10"/>
  <c r="I22" i="10"/>
  <c r="F22" i="10"/>
  <c r="A28" i="9"/>
  <c r="AR29" i="9"/>
  <c r="AS29" i="9" s="1"/>
  <c r="E21" i="10"/>
  <c r="H21" i="10"/>
  <c r="G21" i="10"/>
  <c r="D21" i="10"/>
  <c r="B263" i="28"/>
  <c r="I263" i="28"/>
  <c r="E263" i="28"/>
  <c r="D263" i="28"/>
  <c r="H263" i="28"/>
  <c r="G263" i="28"/>
  <c r="F263" i="28"/>
  <c r="O17" i="39"/>
  <c r="L17" i="39"/>
  <c r="M17" i="39" s="1"/>
  <c r="C17" i="39" s="1"/>
  <c r="E11" i="34"/>
  <c r="A11" i="34"/>
  <c r="I12" i="34"/>
  <c r="K325" i="29"/>
  <c r="C324" i="29"/>
  <c r="C325" i="29" s="1"/>
  <c r="AR267" i="28"/>
  <c r="C266" i="28"/>
  <c r="AU266" i="28" s="1"/>
  <c r="AS266" i="28"/>
  <c r="AV15" i="38"/>
  <c r="AS15" i="38"/>
  <c r="A15" i="36"/>
  <c r="M16" i="36"/>
  <c r="A10" i="27"/>
  <c r="D10" i="27" s="1"/>
  <c r="I11" i="27"/>
  <c r="J11" i="27" s="1"/>
  <c r="J263"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1" i="28"/>
  <c r="E81" i="28"/>
  <c r="L10" i="27"/>
  <c r="F10" i="27" s="1"/>
  <c r="L11" i="34"/>
  <c r="F11" i="34" s="1"/>
  <c r="D291" i="29"/>
  <c r="N292" i="29"/>
  <c r="AU63"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1" i="28"/>
  <c r="H81" i="28"/>
  <c r="G81" i="28"/>
  <c r="B81" i="28"/>
  <c r="AS82" i="28"/>
  <c r="E82" i="28" s="1"/>
  <c r="F81" i="28"/>
  <c r="I100" i="28"/>
  <c r="AS101" i="28"/>
  <c r="B100" i="28"/>
  <c r="H100" i="28"/>
  <c r="G100" i="28"/>
  <c r="D100" i="28"/>
  <c r="F100" i="28"/>
  <c r="E100" i="28"/>
  <c r="F102" i="28"/>
  <c r="I102" i="28"/>
  <c r="G102" i="28"/>
  <c r="B102" i="28"/>
  <c r="H102" i="28"/>
  <c r="AS103" i="28"/>
  <c r="E103" i="28" s="1"/>
  <c r="AS61" i="28"/>
  <c r="E60" i="28"/>
  <c r="AS62" i="28"/>
  <c r="E62" i="28" s="1"/>
  <c r="H60" i="28"/>
  <c r="G60" i="28"/>
  <c r="B60" i="28"/>
  <c r="I60" i="28"/>
  <c r="F60" i="28"/>
  <c r="D60" i="28"/>
  <c r="J130" i="28"/>
  <c r="C43" i="28"/>
  <c r="E43" i="28" s="1"/>
  <c r="AR44" i="28"/>
  <c r="C44" i="28" s="1"/>
  <c r="AU44" i="28" s="1"/>
  <c r="J260"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6" i="28"/>
  <c r="AR133" i="28"/>
  <c r="AS131" i="28"/>
  <c r="AR132" i="28"/>
  <c r="C131" i="28"/>
  <c r="AU131" i="28" s="1"/>
  <c r="I120" i="28"/>
  <c r="AS123" i="28"/>
  <c r="E123" i="28" s="1"/>
  <c r="H120" i="28"/>
  <c r="AS121" i="28"/>
  <c r="G120" i="28"/>
  <c r="F120" i="28"/>
  <c r="B120" i="28"/>
  <c r="E120" i="28"/>
  <c r="D120" i="28"/>
  <c r="F130" i="28"/>
  <c r="E130" i="28"/>
  <c r="H130" i="28"/>
  <c r="G130" i="28"/>
  <c r="D130" i="28"/>
  <c r="B130" i="28"/>
  <c r="I130" i="28"/>
  <c r="C220" i="28"/>
  <c r="AU220" i="28" s="1"/>
  <c r="AR221" i="28"/>
  <c r="F27" i="9"/>
  <c r="B28" i="9"/>
  <c r="G28" i="9" s="1"/>
  <c r="C28" i="9"/>
  <c r="A29" i="9"/>
  <c r="AR30" i="9"/>
  <c r="AS30" i="9" s="1"/>
  <c r="C22" i="10"/>
  <c r="B22" i="10" s="1"/>
  <c r="K23" i="10"/>
  <c r="H27" i="9"/>
  <c r="E27" i="9"/>
  <c r="I27" i="9"/>
  <c r="D27" i="9"/>
  <c r="AS17" i="35"/>
  <c r="C17" i="35" s="1"/>
  <c r="AT18" i="35" s="1"/>
  <c r="E266" i="28"/>
  <c r="D266" i="28"/>
  <c r="I266" i="28"/>
  <c r="F266" i="28"/>
  <c r="B266" i="28"/>
  <c r="H266" i="28"/>
  <c r="G266" i="28"/>
  <c r="B16" i="35"/>
  <c r="C11" i="27"/>
  <c r="O18" i="39"/>
  <c r="L18" i="39"/>
  <c r="M18" i="39" s="1"/>
  <c r="C18" i="39" s="1"/>
  <c r="J12" i="34"/>
  <c r="C12" i="34" s="1"/>
  <c r="D11" i="34"/>
  <c r="B11" i="34"/>
  <c r="K16" i="36"/>
  <c r="AR269" i="28"/>
  <c r="AS267" i="28"/>
  <c r="AR268" i="28"/>
  <c r="C267" i="28"/>
  <c r="AU267"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1"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2" i="28"/>
  <c r="G82" i="28"/>
  <c r="I82" i="28"/>
  <c r="H82" i="28"/>
  <c r="AS83" i="28"/>
  <c r="B82" i="28"/>
  <c r="AU43" i="28"/>
  <c r="I103" i="28"/>
  <c r="F103" i="28"/>
  <c r="H103" i="28"/>
  <c r="B103" i="28"/>
  <c r="AS104" i="28"/>
  <c r="G103" i="28"/>
  <c r="G61" i="28"/>
  <c r="H61" i="28"/>
  <c r="B61" i="28"/>
  <c r="F61" i="28"/>
  <c r="D61" i="28"/>
  <c r="I61" i="28"/>
  <c r="E61" i="28"/>
  <c r="B62" i="28"/>
  <c r="I62" i="28"/>
  <c r="F62" i="28"/>
  <c r="AS63" i="28"/>
  <c r="E63" i="28" s="1"/>
  <c r="H62" i="28"/>
  <c r="G62" i="28"/>
  <c r="D101" i="28"/>
  <c r="B101" i="28"/>
  <c r="F101" i="28"/>
  <c r="H101" i="28"/>
  <c r="E101" i="28"/>
  <c r="G101" i="28"/>
  <c r="I101" i="28"/>
  <c r="J82" i="28"/>
  <c r="AR222" i="28"/>
  <c r="C221" i="28"/>
  <c r="AU221" i="28" s="1"/>
  <c r="J221" i="28" s="1"/>
  <c r="J267" i="28"/>
  <c r="AU222" i="28"/>
  <c r="J220" i="28"/>
  <c r="AS124" i="28"/>
  <c r="E124" i="28" s="1"/>
  <c r="B123" i="28"/>
  <c r="H123" i="28"/>
  <c r="G123" i="28"/>
  <c r="I123" i="28"/>
  <c r="F123" i="28"/>
  <c r="AS132" i="28"/>
  <c r="AS133" i="28" s="1"/>
  <c r="E133" i="28" s="1"/>
  <c r="C132" i="28"/>
  <c r="AU132" i="28" s="1"/>
  <c r="G131" i="28"/>
  <c r="I131" i="28"/>
  <c r="F131" i="28"/>
  <c r="E131" i="28"/>
  <c r="B131" i="28"/>
  <c r="D131" i="28"/>
  <c r="H131" i="28"/>
  <c r="AR134" i="28"/>
  <c r="C133" i="28"/>
  <c r="AU133" i="28" s="1"/>
  <c r="H121" i="28"/>
  <c r="AS122" i="28"/>
  <c r="G121" i="28"/>
  <c r="F121" i="28"/>
  <c r="I121" i="28"/>
  <c r="B121" i="28"/>
  <c r="E121" i="28"/>
  <c r="D121" i="28"/>
  <c r="H28" i="9"/>
  <c r="F28" i="9"/>
  <c r="D28" i="9"/>
  <c r="E22" i="10"/>
  <c r="G22" i="10"/>
  <c r="E28" i="9"/>
  <c r="I28" i="9"/>
  <c r="D22" i="10"/>
  <c r="AR31" i="9"/>
  <c r="AS31" i="9" s="1"/>
  <c r="A30" i="9"/>
  <c r="B29" i="9"/>
  <c r="E29" i="9" s="1"/>
  <c r="C29" i="9"/>
  <c r="F23" i="10"/>
  <c r="L23" i="10"/>
  <c r="I23" i="10"/>
  <c r="H16" i="35"/>
  <c r="F16" i="35"/>
  <c r="E16" i="35"/>
  <c r="G16" i="35"/>
  <c r="D16" i="35"/>
  <c r="E15" i="38"/>
  <c r="AS16" i="38" s="1"/>
  <c r="AT16" i="38" s="1"/>
  <c r="C16" i="38" s="1"/>
  <c r="AR18" i="35"/>
  <c r="D15" i="36"/>
  <c r="AR270" i="28"/>
  <c r="C269" i="28"/>
  <c r="AU269" i="28" s="1"/>
  <c r="L16" i="36"/>
  <c r="C16" i="36" s="1"/>
  <c r="A16" i="36" s="1"/>
  <c r="O19" i="39"/>
  <c r="L19" i="39"/>
  <c r="M19" i="39" s="1"/>
  <c r="C19" i="39" s="1"/>
  <c r="I13" i="34"/>
  <c r="E12" i="34"/>
  <c r="A12" i="34"/>
  <c r="C268" i="28"/>
  <c r="AU268" i="28" s="1"/>
  <c r="AS268" i="28"/>
  <c r="A11" i="27"/>
  <c r="D11" i="27" s="1"/>
  <c r="E15" i="36"/>
  <c r="G267" i="28"/>
  <c r="F267" i="28"/>
  <c r="D267" i="28"/>
  <c r="H267" i="28"/>
  <c r="I267" i="28"/>
  <c r="B267" i="28"/>
  <c r="E267" i="28"/>
  <c r="A17" i="35"/>
  <c r="H16" i="37"/>
  <c r="AG29" i="9" l="1"/>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3" i="28"/>
  <c r="AL83" i="28"/>
  <c r="AI83" i="28"/>
  <c r="D83" i="28"/>
  <c r="AO83" i="28"/>
  <c r="B83" i="28"/>
  <c r="AK83" i="28"/>
  <c r="H83" i="28"/>
  <c r="AP83" i="28"/>
  <c r="AN83" i="28"/>
  <c r="F83" i="28"/>
  <c r="E83" i="28"/>
  <c r="I83" i="28"/>
  <c r="AM83" i="28"/>
  <c r="AJ83" i="28"/>
  <c r="H63" i="28"/>
  <c r="I63" i="28"/>
  <c r="F63" i="28"/>
  <c r="B63" i="28"/>
  <c r="G63" i="28"/>
  <c r="AS64" i="28"/>
  <c r="F104" i="28"/>
  <c r="I104" i="28"/>
  <c r="G104" i="28"/>
  <c r="H104" i="28"/>
  <c r="B104" i="28"/>
  <c r="D104" i="28"/>
  <c r="E104" i="28"/>
  <c r="J268" i="28"/>
  <c r="J133" i="28"/>
  <c r="F124" i="28"/>
  <c r="B124" i="28"/>
  <c r="I124" i="28"/>
  <c r="G124" i="28"/>
  <c r="H124" i="28"/>
  <c r="AS125" i="28"/>
  <c r="D133" i="28"/>
  <c r="I133" i="28"/>
  <c r="H133" i="28"/>
  <c r="G133" i="28"/>
  <c r="B133" i="28"/>
  <c r="F133" i="28"/>
  <c r="AS134" i="28"/>
  <c r="AR135" i="28"/>
  <c r="C134" i="28"/>
  <c r="AU134" i="28" s="1"/>
  <c r="I132" i="28"/>
  <c r="F132" i="28"/>
  <c r="E132" i="28"/>
  <c r="D132" i="28"/>
  <c r="H132" i="28"/>
  <c r="G132" i="28"/>
  <c r="B132" i="28"/>
  <c r="J222" i="28"/>
  <c r="AU223" i="28"/>
  <c r="I122" i="28"/>
  <c r="H122" i="28"/>
  <c r="G122" i="28"/>
  <c r="B122" i="28"/>
  <c r="F122" i="28"/>
  <c r="E122" i="28"/>
  <c r="D122" i="28"/>
  <c r="C222" i="28"/>
  <c r="AR223" i="28"/>
  <c r="I29" i="9"/>
  <c r="AR32" i="9"/>
  <c r="AS32" i="9" s="1"/>
  <c r="A31" i="9"/>
  <c r="G29" i="9"/>
  <c r="F29" i="9"/>
  <c r="C23" i="10"/>
  <c r="B23" i="10" s="1"/>
  <c r="K24" i="10"/>
  <c r="H29" i="9"/>
  <c r="C30" i="9"/>
  <c r="G30" i="9"/>
  <c r="F30" i="9"/>
  <c r="D30" i="9"/>
  <c r="E30" i="9"/>
  <c r="H30" i="9"/>
  <c r="B30" i="9"/>
  <c r="D29" i="9"/>
  <c r="N19" i="39"/>
  <c r="D19" i="39" s="1"/>
  <c r="A19" i="39" s="1"/>
  <c r="E16" i="38"/>
  <c r="AV16" i="38"/>
  <c r="J13" i="34"/>
  <c r="C13" i="34" s="1"/>
  <c r="O20" i="39"/>
  <c r="L20" i="39"/>
  <c r="M20" i="39" s="1"/>
  <c r="C20" i="39" s="1"/>
  <c r="C270" i="28"/>
  <c r="AU270" i="28" s="1"/>
  <c r="AR271" i="28"/>
  <c r="G268" i="28"/>
  <c r="F268" i="28"/>
  <c r="E268" i="28"/>
  <c r="I268" i="28"/>
  <c r="B268" i="28"/>
  <c r="H268" i="28"/>
  <c r="D268" i="28"/>
  <c r="AS269" i="28"/>
  <c r="J269" i="28" s="1"/>
  <c r="D12" i="34"/>
  <c r="B12" i="34"/>
  <c r="M17" i="36"/>
  <c r="B17" i="35"/>
  <c r="H16" i="36"/>
  <c r="B16" i="36"/>
  <c r="I16" i="36" s="1"/>
  <c r="G16" i="36"/>
  <c r="F16" i="36"/>
  <c r="AS18" i="35"/>
  <c r="C18" i="35" s="1"/>
  <c r="I16" i="37"/>
  <c r="C16" i="37" s="1"/>
  <c r="A16" i="37" s="1"/>
  <c r="D16" i="37" s="1"/>
  <c r="J17" i="35"/>
  <c r="AK30" i="9" l="1"/>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4" i="28"/>
  <c r="I64" i="28"/>
  <c r="H64" i="28"/>
  <c r="D64" i="28"/>
  <c r="B64" i="28"/>
  <c r="G64" i="28"/>
  <c r="F64" i="28"/>
  <c r="D125" i="28"/>
  <c r="F125" i="28"/>
  <c r="E125" i="28"/>
  <c r="I125" i="28"/>
  <c r="H125" i="28"/>
  <c r="G125" i="28"/>
  <c r="AS126" i="28"/>
  <c r="B125" i="28"/>
  <c r="AR136" i="28"/>
  <c r="AS135" i="28"/>
  <c r="C135" i="28"/>
  <c r="AU135" i="28" s="1"/>
  <c r="H134" i="28"/>
  <c r="G134" i="28"/>
  <c r="D134" i="28"/>
  <c r="I134" i="28"/>
  <c r="B134" i="28"/>
  <c r="E134" i="28"/>
  <c r="F134" i="28"/>
  <c r="AU224" i="28"/>
  <c r="J223" i="28"/>
  <c r="C223" i="28"/>
  <c r="AR224" i="28"/>
  <c r="I30" i="9"/>
  <c r="AR33" i="9"/>
  <c r="AS33" i="9" s="1"/>
  <c r="A32" i="9"/>
  <c r="C31" i="9"/>
  <c r="B31" i="9"/>
  <c r="E31" i="9" s="1"/>
  <c r="L24" i="10"/>
  <c r="I24" i="10"/>
  <c r="F24" i="10"/>
  <c r="AS17" i="38"/>
  <c r="AT17" i="38" s="1"/>
  <c r="C17" i="38" s="1"/>
  <c r="AV17" i="38"/>
  <c r="D16" i="36"/>
  <c r="E16" i="36"/>
  <c r="AT19" i="35"/>
  <c r="AR19" i="35" s="1"/>
  <c r="N20" i="39"/>
  <c r="D20" i="39" s="1"/>
  <c r="A20" i="39" s="1"/>
  <c r="I17" i="35"/>
  <c r="G17" i="35"/>
  <c r="E17" i="35"/>
  <c r="F17" i="35"/>
  <c r="L21" i="39"/>
  <c r="M21" i="39" s="1"/>
  <c r="C21" i="39" s="1"/>
  <c r="AS270" i="28"/>
  <c r="J270" i="28" s="1"/>
  <c r="K17" i="36"/>
  <c r="O21" i="39"/>
  <c r="H17" i="35"/>
  <c r="AR272" i="28"/>
  <c r="C271" i="28"/>
  <c r="AU271" i="28" s="1"/>
  <c r="H269" i="28"/>
  <c r="G269" i="28"/>
  <c r="F269" i="28"/>
  <c r="B269" i="28"/>
  <c r="D269" i="28"/>
  <c r="E269" i="28"/>
  <c r="I269" i="28"/>
  <c r="I14" i="34"/>
  <c r="J14" i="34" s="1"/>
  <c r="A13" i="34"/>
  <c r="E13" i="34"/>
  <c r="A18" i="35"/>
  <c r="H17" i="37"/>
  <c r="AO31" i="9" l="1"/>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5"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5" i="28"/>
  <c r="I135" i="28"/>
  <c r="G135" i="28"/>
  <c r="AS136" i="28"/>
  <c r="AS137" i="28" s="1"/>
  <c r="H135" i="28"/>
  <c r="F135" i="28"/>
  <c r="E135" i="28"/>
  <c r="AU225" i="28"/>
  <c r="J224" i="28"/>
  <c r="I126" i="28"/>
  <c r="F126" i="28"/>
  <c r="E126" i="28"/>
  <c r="AS127" i="28"/>
  <c r="H126" i="28"/>
  <c r="B126" i="28"/>
  <c r="G126" i="28"/>
  <c r="D126" i="28"/>
  <c r="C224" i="28"/>
  <c r="AR225" i="28"/>
  <c r="AR137" i="28"/>
  <c r="C136" i="28"/>
  <c r="AU136" i="28" s="1"/>
  <c r="AS271" i="28"/>
  <c r="J271" i="28" s="1"/>
  <c r="G31" i="9"/>
  <c r="F31" i="9"/>
  <c r="I31" i="9"/>
  <c r="K25" i="10"/>
  <c r="C24" i="10"/>
  <c r="B24" i="10" s="1"/>
  <c r="B32" i="9"/>
  <c r="G32" i="9" s="1"/>
  <c r="C32" i="9"/>
  <c r="D31" i="9"/>
  <c r="AR34" i="9"/>
  <c r="AS34" i="9" s="1"/>
  <c r="A33" i="9"/>
  <c r="H31" i="9"/>
  <c r="E17" i="38"/>
  <c r="AS19" i="35"/>
  <c r="C19" i="35" s="1"/>
  <c r="L17" i="36"/>
  <c r="C17" i="36" s="1"/>
  <c r="A17" i="36" s="1"/>
  <c r="B18" i="35"/>
  <c r="B13" i="34"/>
  <c r="D13" i="34"/>
  <c r="G270" i="28"/>
  <c r="H270" i="28"/>
  <c r="D270" i="28"/>
  <c r="I270" i="28"/>
  <c r="B270" i="28"/>
  <c r="E270" i="28"/>
  <c r="F270" i="28"/>
  <c r="AR273" i="28"/>
  <c r="C272" i="28"/>
  <c r="AU272" i="28" s="1"/>
  <c r="C14" i="34"/>
  <c r="N21" i="39"/>
  <c r="D21" i="39" s="1"/>
  <c r="A21" i="39" s="1"/>
  <c r="L22" i="39"/>
  <c r="O22" i="39"/>
  <c r="I17" i="37"/>
  <c r="J18" i="35"/>
  <c r="AG32" i="9" l="1"/>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1" i="28"/>
  <c r="E24" i="10"/>
  <c r="I271" i="28"/>
  <c r="S28" i="66"/>
  <c r="K29" i="66"/>
  <c r="L28" i="66"/>
  <c r="G271" i="28"/>
  <c r="AS272" i="28"/>
  <c r="I272"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1" i="28"/>
  <c r="F187" i="29"/>
  <c r="E187" i="29"/>
  <c r="L188" i="29"/>
  <c r="D187" i="29"/>
  <c r="H187" i="29"/>
  <c r="B187" i="29"/>
  <c r="G187" i="29" s="1"/>
  <c r="E271" i="28"/>
  <c r="C188" i="29"/>
  <c r="N188" i="29" s="1"/>
  <c r="K189" i="29"/>
  <c r="B271" i="28"/>
  <c r="F271" i="28"/>
  <c r="BO11" i="16"/>
  <c r="CH12" i="16"/>
  <c r="CJ12" i="16"/>
  <c r="CI12" i="16"/>
  <c r="AL62" i="66"/>
  <c r="BB46" i="63"/>
  <c r="F46" i="63" s="1"/>
  <c r="BA46" i="63"/>
  <c r="D45" i="63"/>
  <c r="H136" i="28"/>
  <c r="G136" i="28"/>
  <c r="I136" i="28"/>
  <c r="F136" i="28"/>
  <c r="B136" i="28"/>
  <c r="E136" i="28"/>
  <c r="D136" i="28"/>
  <c r="C225" i="28"/>
  <c r="AR227" i="28"/>
  <c r="I127" i="28"/>
  <c r="H127" i="28"/>
  <c r="G127" i="28"/>
  <c r="F127" i="28"/>
  <c r="E127" i="28"/>
  <c r="D127" i="28"/>
  <c r="B127" i="28"/>
  <c r="J127" i="28"/>
  <c r="AR138" i="28"/>
  <c r="C137" i="28"/>
  <c r="AU137" i="28" s="1"/>
  <c r="D32" i="9"/>
  <c r="E32" i="9"/>
  <c r="F32" i="9"/>
  <c r="H32" i="9"/>
  <c r="AS18" i="38"/>
  <c r="AT18" i="38" s="1"/>
  <c r="E18" i="38" s="1"/>
  <c r="D24" i="10"/>
  <c r="G24" i="10"/>
  <c r="H24" i="10"/>
  <c r="AR35" i="9"/>
  <c r="AS35" i="9" s="1"/>
  <c r="A34" i="9"/>
  <c r="I32" i="9"/>
  <c r="F25" i="10"/>
  <c r="I25" i="10"/>
  <c r="L25" i="10"/>
  <c r="B33" i="9"/>
  <c r="F33" i="9" s="1"/>
  <c r="C33" i="9"/>
  <c r="AV18" i="38"/>
  <c r="F18" i="35"/>
  <c r="M18" i="36"/>
  <c r="K18" i="36" s="1"/>
  <c r="A14" i="34"/>
  <c r="E14" i="34"/>
  <c r="H17" i="36"/>
  <c r="G17" i="36"/>
  <c r="F17" i="36"/>
  <c r="B17" i="36"/>
  <c r="I17" i="36" s="1"/>
  <c r="AT20" i="35"/>
  <c r="I18" i="35"/>
  <c r="C273" i="28"/>
  <c r="AU273" i="28" s="1"/>
  <c r="AR274" i="28"/>
  <c r="H18" i="35"/>
  <c r="A19" i="35"/>
  <c r="D18" i="35"/>
  <c r="E18" i="35"/>
  <c r="C17" i="37"/>
  <c r="A17" i="37" s="1"/>
  <c r="D17" i="37" s="1"/>
  <c r="M22" i="39"/>
  <c r="C22" i="39" s="1"/>
  <c r="AK33" i="9" l="1"/>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2" i="28"/>
  <c r="J272" i="28"/>
  <c r="G272" i="28"/>
  <c r="W44" i="76"/>
  <c r="V52" i="76"/>
  <c r="V54" i="76" s="1"/>
  <c r="V53" i="76" s="1"/>
  <c r="U45" i="76"/>
  <c r="T48" i="76"/>
  <c r="T50" i="76" s="1"/>
  <c r="T49" i="76" s="1"/>
  <c r="B272" i="28"/>
  <c r="L29" i="66"/>
  <c r="T29" i="66" s="1"/>
  <c r="S29" i="66"/>
  <c r="K30" i="66"/>
  <c r="V29" i="66"/>
  <c r="U29" i="66"/>
  <c r="D272" i="28"/>
  <c r="H272" i="28"/>
  <c r="D188" i="29"/>
  <c r="F272"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3" i="28"/>
  <c r="F137" i="28"/>
  <c r="I137" i="28"/>
  <c r="H137" i="28"/>
  <c r="B137" i="28"/>
  <c r="G137" i="28"/>
  <c r="E137" i="28"/>
  <c r="D137" i="28"/>
  <c r="AR139" i="28"/>
  <c r="C138" i="28"/>
  <c r="AU138" i="28" s="1"/>
  <c r="AR228" i="28"/>
  <c r="C227" i="28"/>
  <c r="AU227" i="28" s="1"/>
  <c r="H33" i="9"/>
  <c r="D33" i="9"/>
  <c r="E33" i="9"/>
  <c r="C25" i="10"/>
  <c r="B25" i="10" s="1"/>
  <c r="K26" i="10"/>
  <c r="AR36" i="9"/>
  <c r="AS36" i="9" s="1"/>
  <c r="A35" i="9"/>
  <c r="A25" i="10"/>
  <c r="G33" i="9"/>
  <c r="I33" i="9"/>
  <c r="B34" i="9"/>
  <c r="D34" i="9" s="1"/>
  <c r="C34" i="9"/>
  <c r="AV19" i="38"/>
  <c r="AS19" i="38"/>
  <c r="AT19" i="38" s="1"/>
  <c r="C19" i="38" s="1"/>
  <c r="C18" i="38"/>
  <c r="A15" i="27"/>
  <c r="D15" i="27" s="1"/>
  <c r="B19" i="35"/>
  <c r="C274" i="28"/>
  <c r="AR275" i="28"/>
  <c r="I16" i="27"/>
  <c r="J16" i="27" s="1"/>
  <c r="AR20" i="35"/>
  <c r="L18" i="36"/>
  <c r="C18" i="36" s="1"/>
  <c r="A18" i="36" s="1"/>
  <c r="I273" i="28"/>
  <c r="H273" i="28"/>
  <c r="G273" i="28"/>
  <c r="F273" i="28"/>
  <c r="B273" i="28"/>
  <c r="E273" i="28"/>
  <c r="D273" i="28"/>
  <c r="E17" i="36"/>
  <c r="B14" i="34"/>
  <c r="D14" i="34"/>
  <c r="D17" i="36"/>
  <c r="N22" i="39"/>
  <c r="D22" i="39" s="1"/>
  <c r="A22" i="39" s="1"/>
  <c r="O23" i="39"/>
  <c r="L23" i="39"/>
  <c r="H18" i="37"/>
  <c r="J19" i="35"/>
  <c r="AO34" i="9" l="1"/>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D18" i="38" s="1"/>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X30" i="66"/>
  <c r="Y30" i="66"/>
  <c r="AQ61" i="66"/>
  <c r="N17" i="39"/>
  <c r="D17" i="39" s="1"/>
  <c r="A17" i="39" s="1"/>
  <c r="AU17" i="38"/>
  <c r="N14" i="39"/>
  <c r="D14" i="39" s="1"/>
  <c r="A14" i="39" s="1"/>
  <c r="AU14" i="38"/>
  <c r="AP60" i="66"/>
  <c r="AU12" i="38"/>
  <c r="N12" i="39"/>
  <c r="D12" i="39" s="1"/>
  <c r="A12" i="39" s="1"/>
  <c r="AL64" i="66"/>
  <c r="AQ63" i="66"/>
  <c r="AP63" i="66"/>
  <c r="AU13" i="38"/>
  <c r="N13" i="39"/>
  <c r="D13" i="39" s="1"/>
  <c r="A13" i="39" s="1"/>
  <c r="N16" i="39"/>
  <c r="D16" i="39" s="1"/>
  <c r="A16" i="39" s="1"/>
  <c r="AU16" i="38"/>
  <c r="D47" i="63"/>
  <c r="BA48" i="63"/>
  <c r="BB48" i="63"/>
  <c r="F48" i="63" s="1"/>
  <c r="AR140" i="28"/>
  <c r="C139" i="28"/>
  <c r="AU139" i="28" s="1"/>
  <c r="AU229" i="28"/>
  <c r="J227" i="28"/>
  <c r="AR229" i="28"/>
  <c r="C228" i="28"/>
  <c r="AU228" i="28" s="1"/>
  <c r="J228" i="28" s="1"/>
  <c r="H138" i="28"/>
  <c r="G138" i="28"/>
  <c r="I138" i="28"/>
  <c r="F138" i="28"/>
  <c r="B138" i="28"/>
  <c r="E138" i="28"/>
  <c r="D138"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5" i="28"/>
  <c r="E275" i="28" s="1"/>
  <c r="AR276" i="28"/>
  <c r="AS20" i="35"/>
  <c r="C20" i="35" s="1"/>
  <c r="E274" i="28"/>
  <c r="AU274" i="28"/>
  <c r="G19" i="35"/>
  <c r="H274" i="28"/>
  <c r="I274" i="28"/>
  <c r="B274" i="28"/>
  <c r="F274" i="28"/>
  <c r="AS275" i="28"/>
  <c r="G274" i="28"/>
  <c r="C16" i="27"/>
  <c r="H19" i="35"/>
  <c r="E19" i="38"/>
  <c r="I18" i="37"/>
  <c r="M23" i="39"/>
  <c r="C23" i="39" s="1"/>
  <c r="AG35" i="9" l="1"/>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J18" i="38"/>
  <c r="A18" i="38"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J17" i="38"/>
  <c r="A17" i="38" s="1"/>
  <c r="D48" i="63"/>
  <c r="BB49" i="63"/>
  <c r="F49" i="63" s="1"/>
  <c r="BA49" i="63"/>
  <c r="D12" i="38"/>
  <c r="D10" i="39" s="1"/>
  <c r="J12" i="38"/>
  <c r="A12" i="38" s="1"/>
  <c r="A10" i="39" s="1"/>
  <c r="D13" i="38"/>
  <c r="D11" i="39" s="1"/>
  <c r="J13" i="38"/>
  <c r="A13" i="38" s="1"/>
  <c r="A11" i="39" s="1"/>
  <c r="X31" i="66"/>
  <c r="Y31" i="66"/>
  <c r="D14" i="38"/>
  <c r="J14" i="38"/>
  <c r="A14" i="38" s="1"/>
  <c r="X29" i="66"/>
  <c r="Y29" i="66"/>
  <c r="W29" i="66"/>
  <c r="AQ60" i="66"/>
  <c r="D15" i="38"/>
  <c r="J15" i="38"/>
  <c r="A15" i="38" s="1"/>
  <c r="D16" i="38"/>
  <c r="J16" i="38"/>
  <c r="A16" i="38" s="1"/>
  <c r="AL65" i="66"/>
  <c r="AQ64" i="66"/>
  <c r="AP64" i="66"/>
  <c r="I17" i="27"/>
  <c r="J17" i="27" s="1"/>
  <c r="H139" i="28"/>
  <c r="I139" i="28"/>
  <c r="G139" i="28"/>
  <c r="F139" i="28"/>
  <c r="B139" i="28"/>
  <c r="E139" i="28"/>
  <c r="D139" i="28"/>
  <c r="AR230" i="28"/>
  <c r="C229" i="28"/>
  <c r="AU230" i="28"/>
  <c r="J229" i="28"/>
  <c r="AR141" i="28"/>
  <c r="C140" i="28"/>
  <c r="AU140" i="28" s="1"/>
  <c r="E35" i="9"/>
  <c r="F35" i="9"/>
  <c r="D35" i="9"/>
  <c r="C26" i="10"/>
  <c r="B26" i="10" s="1"/>
  <c r="E26" i="10" s="1"/>
  <c r="K27" i="10"/>
  <c r="H35" i="9"/>
  <c r="AR38" i="9"/>
  <c r="AS38" i="9" s="1"/>
  <c r="A37" i="9"/>
  <c r="I35" i="9"/>
  <c r="C36" i="9"/>
  <c r="B36" i="9"/>
  <c r="D36" i="9" s="1"/>
  <c r="E18" i="36"/>
  <c r="D18" i="36"/>
  <c r="A20" i="35"/>
  <c r="A16" i="27"/>
  <c r="D16" i="27" s="1"/>
  <c r="J274" i="28"/>
  <c r="AU275" i="28"/>
  <c r="J275" i="28" s="1"/>
  <c r="H275" i="28"/>
  <c r="G275" i="28"/>
  <c r="F275" i="28"/>
  <c r="B275" i="28"/>
  <c r="I275" i="28"/>
  <c r="AS276" i="28"/>
  <c r="AR277" i="28"/>
  <c r="C276" i="28"/>
  <c r="L19" i="36"/>
  <c r="C19" i="36" s="1"/>
  <c r="A19" i="36" s="1"/>
  <c r="AU19" i="38"/>
  <c r="D19" i="38" s="1"/>
  <c r="AV20" i="38"/>
  <c r="AS20" i="38"/>
  <c r="D274" i="28"/>
  <c r="AT21" i="35"/>
  <c r="N23" i="39"/>
  <c r="D23" i="39" s="1"/>
  <c r="A23" i="39" s="1"/>
  <c r="L24" i="39"/>
  <c r="O24" i="39"/>
  <c r="C18" i="37"/>
  <c r="A18" i="37" s="1"/>
  <c r="D18" i="37" s="1"/>
  <c r="AK36" i="9" l="1"/>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6" i="28"/>
  <c r="J276" i="28" s="1"/>
  <c r="E276"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0" i="28"/>
  <c r="AR231" i="28"/>
  <c r="I140" i="28"/>
  <c r="H140" i="28"/>
  <c r="G140" i="28"/>
  <c r="F140" i="28"/>
  <c r="B140" i="28"/>
  <c r="E140" i="28"/>
  <c r="D140" i="28"/>
  <c r="AU231" i="28"/>
  <c r="J230" i="28"/>
  <c r="AR142" i="28"/>
  <c r="C142" i="28" s="1"/>
  <c r="AU142" i="28" s="1"/>
  <c r="AR143" i="28"/>
  <c r="C141" i="28"/>
  <c r="AU141" i="28" s="1"/>
  <c r="H36" i="9"/>
  <c r="D26" i="10"/>
  <c r="F36" i="9"/>
  <c r="H26" i="10"/>
  <c r="E36" i="9"/>
  <c r="G26" i="10"/>
  <c r="G36" i="9"/>
  <c r="I36" i="9"/>
  <c r="F27" i="10"/>
  <c r="I27" i="10"/>
  <c r="L27" i="10"/>
  <c r="B37" i="9"/>
  <c r="B113" i="9" s="1"/>
  <c r="C37" i="9"/>
  <c r="A38" i="9"/>
  <c r="AR39" i="9"/>
  <c r="AS39" i="9" s="1"/>
  <c r="J19" i="38"/>
  <c r="A19" i="38" s="1"/>
  <c r="M20" i="36"/>
  <c r="K20" i="36" s="1"/>
  <c r="AT20" i="38"/>
  <c r="C20" i="38" s="1"/>
  <c r="AS277" i="28"/>
  <c r="G276" i="28"/>
  <c r="F276" i="28"/>
  <c r="I276" i="28"/>
  <c r="H276" i="28"/>
  <c r="B276" i="28"/>
  <c r="B19" i="36"/>
  <c r="I19" i="36" s="1"/>
  <c r="F19" i="36"/>
  <c r="H19" i="36"/>
  <c r="G19" i="36"/>
  <c r="B20" i="35"/>
  <c r="AR21" i="35"/>
  <c r="AS21" i="35" s="1"/>
  <c r="C21" i="35" s="1"/>
  <c r="AR278" i="28"/>
  <c r="C278" i="28" s="1"/>
  <c r="AU278" i="28" s="1"/>
  <c r="AR279" i="28"/>
  <c r="C277" i="28"/>
  <c r="AU277"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7" i="28"/>
  <c r="G141" i="28"/>
  <c r="F141" i="28"/>
  <c r="B141" i="28"/>
  <c r="AS143" i="28"/>
  <c r="I141" i="28"/>
  <c r="H141" i="28"/>
  <c r="E141" i="28"/>
  <c r="D141" i="28"/>
  <c r="J231" i="28"/>
  <c r="AU232" i="28"/>
  <c r="J232" i="28" s="1"/>
  <c r="AR144" i="28"/>
  <c r="C143" i="28"/>
  <c r="E143" i="28" s="1"/>
  <c r="AR232" i="28"/>
  <c r="C231" i="28"/>
  <c r="G37" i="9"/>
  <c r="E37" i="9"/>
  <c r="F37" i="9"/>
  <c r="A39" i="9"/>
  <c r="AR40" i="9"/>
  <c r="AS40" i="9" s="1"/>
  <c r="B38" i="9"/>
  <c r="B114" i="9" s="1"/>
  <c r="C38" i="9"/>
  <c r="A27" i="10"/>
  <c r="H37" i="9"/>
  <c r="K28" i="10"/>
  <c r="C27" i="10"/>
  <c r="B27" i="10" s="1"/>
  <c r="I37" i="9"/>
  <c r="C113" i="9"/>
  <c r="D37" i="9"/>
  <c r="D19" i="36"/>
  <c r="G20" i="35"/>
  <c r="F20" i="35"/>
  <c r="AC83" i="28"/>
  <c r="H20" i="35"/>
  <c r="D277" i="28"/>
  <c r="B277" i="28"/>
  <c r="E277" i="28"/>
  <c r="I277" i="28"/>
  <c r="H277" i="28"/>
  <c r="AS278" i="28"/>
  <c r="J278" i="28" s="1"/>
  <c r="G277" i="28"/>
  <c r="F277" i="28"/>
  <c r="E20" i="38"/>
  <c r="AT22" i="35"/>
  <c r="A21" i="35"/>
  <c r="L20" i="36"/>
  <c r="C20" i="36" s="1"/>
  <c r="A20" i="36" s="1"/>
  <c r="C279" i="28"/>
  <c r="AU279" i="28" s="1"/>
  <c r="AR281" i="28"/>
  <c r="E20" i="35"/>
  <c r="I20" i="35"/>
  <c r="E19" i="36"/>
  <c r="N24" i="39"/>
  <c r="D24" i="39" s="1"/>
  <c r="A24" i="39" s="1"/>
  <c r="L25" i="39"/>
  <c r="O25" i="39"/>
  <c r="I19" i="37"/>
  <c r="C19" i="37" s="1"/>
  <c r="A19" i="37" s="1"/>
  <c r="D19" i="37" s="1"/>
  <c r="AG38" i="9" l="1"/>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3" i="28"/>
  <c r="J143"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5" i="28"/>
  <c r="C144" i="28"/>
  <c r="F142" i="28"/>
  <c r="B142" i="28"/>
  <c r="G142" i="28"/>
  <c r="I142" i="28"/>
  <c r="H142" i="28"/>
  <c r="E142" i="28"/>
  <c r="D142" i="28"/>
  <c r="H143" i="28"/>
  <c r="F143" i="28"/>
  <c r="B143" i="28"/>
  <c r="G143" i="28"/>
  <c r="I143" i="28"/>
  <c r="AS144" i="28"/>
  <c r="C232" i="28"/>
  <c r="AR234"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8" i="28"/>
  <c r="H278" i="28"/>
  <c r="D278" i="28"/>
  <c r="AS279" i="28"/>
  <c r="E278" i="28"/>
  <c r="B278" i="28"/>
  <c r="G278" i="28"/>
  <c r="F278" i="28"/>
  <c r="AD83" i="28"/>
  <c r="AR282" i="28"/>
  <c r="C281" i="28"/>
  <c r="AU281" i="28" s="1"/>
  <c r="J281" i="28" s="1"/>
  <c r="AU20" i="38"/>
  <c r="D20" i="38" s="1"/>
  <c r="AV21" i="38"/>
  <c r="AS21" i="38"/>
  <c r="B21" i="35"/>
  <c r="AR22" i="35"/>
  <c r="H20" i="37"/>
  <c r="M25" i="39"/>
  <c r="C25" i="39" s="1"/>
  <c r="J21" i="35"/>
  <c r="AK39" i="9" l="1"/>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4" i="28"/>
  <c r="J144" i="28" s="1"/>
  <c r="E144"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5" i="28"/>
  <c r="C234" i="28"/>
  <c r="AU234" i="28" s="1"/>
  <c r="I144" i="28"/>
  <c r="H144" i="28"/>
  <c r="G144" i="28"/>
  <c r="F144" i="28"/>
  <c r="AS145" i="28"/>
  <c r="B144" i="28"/>
  <c r="AR146" i="28"/>
  <c r="C146" i="28" s="1"/>
  <c r="AU146" i="28" s="1"/>
  <c r="AR147" i="28"/>
  <c r="C145" i="28"/>
  <c r="AU145" i="28" s="1"/>
  <c r="H39" i="9"/>
  <c r="D39" i="9"/>
  <c r="E39" i="9"/>
  <c r="F39" i="9"/>
  <c r="B40" i="9"/>
  <c r="D40" i="9" s="1"/>
  <c r="C40" i="9"/>
  <c r="C28" i="10"/>
  <c r="B28" i="10" s="1"/>
  <c r="K29" i="10"/>
  <c r="AR42" i="9"/>
  <c r="AS42" i="9" s="1"/>
  <c r="A41" i="9"/>
  <c r="I39" i="9"/>
  <c r="E20" i="36"/>
  <c r="F21" i="35"/>
  <c r="D20" i="36"/>
  <c r="M22" i="36"/>
  <c r="K22" i="36" s="1"/>
  <c r="AE83" i="28"/>
  <c r="F21" i="36"/>
  <c r="H21" i="36"/>
  <c r="B21" i="36"/>
  <c r="I21" i="36" s="1"/>
  <c r="G21" i="36"/>
  <c r="H279" i="28"/>
  <c r="G279" i="28"/>
  <c r="F279" i="28"/>
  <c r="D279" i="28"/>
  <c r="E279" i="28"/>
  <c r="I279" i="28"/>
  <c r="B279" i="28"/>
  <c r="D21" i="35"/>
  <c r="AT21" i="38"/>
  <c r="C21" i="38" s="1"/>
  <c r="J279" i="28"/>
  <c r="AS22" i="35"/>
  <c r="C22" i="35" s="1"/>
  <c r="H21" i="35"/>
  <c r="E21" i="35"/>
  <c r="AR283" i="28"/>
  <c r="C282" i="28"/>
  <c r="AU282" i="28" s="1"/>
  <c r="AS282" i="28"/>
  <c r="G21" i="35"/>
  <c r="J20" i="38"/>
  <c r="A20" i="38" s="1"/>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2" i="28"/>
  <c r="G145" i="28"/>
  <c r="D145" i="28"/>
  <c r="I145" i="28"/>
  <c r="H145" i="28"/>
  <c r="B145" i="28"/>
  <c r="AS146" i="28"/>
  <c r="E145" i="28"/>
  <c r="F145" i="28"/>
  <c r="J234" i="28"/>
  <c r="AU236" i="28"/>
  <c r="AR149" i="28"/>
  <c r="C147" i="28"/>
  <c r="AU147" i="28" s="1"/>
  <c r="AR236" i="28"/>
  <c r="C235" i="28"/>
  <c r="AU235" i="28" s="1"/>
  <c r="J235" i="28" s="1"/>
  <c r="G40" i="9"/>
  <c r="H40" i="9"/>
  <c r="F40" i="9"/>
  <c r="H28" i="10"/>
  <c r="D28" i="10"/>
  <c r="E28" i="10"/>
  <c r="E40" i="9"/>
  <c r="I40" i="9"/>
  <c r="B41" i="9"/>
  <c r="G41" i="9" s="1"/>
  <c r="C41" i="9"/>
  <c r="A42" i="9"/>
  <c r="AR43" i="9"/>
  <c r="AS43" i="9" s="1"/>
  <c r="F29" i="10"/>
  <c r="L29" i="10"/>
  <c r="I29" i="10"/>
  <c r="E21" i="38"/>
  <c r="AS22" i="38" s="1"/>
  <c r="AT22" i="38" s="1"/>
  <c r="C22" i="38" s="1"/>
  <c r="E21" i="36"/>
  <c r="AT23" i="35"/>
  <c r="AR23" i="35" s="1"/>
  <c r="AS23" i="35" s="1"/>
  <c r="C23" i="35" s="1"/>
  <c r="D21" i="36"/>
  <c r="AF83" i="28"/>
  <c r="L22" i="36"/>
  <c r="C22" i="36" s="1"/>
  <c r="A22" i="36" s="1"/>
  <c r="A22" i="35"/>
  <c r="AS283" i="28"/>
  <c r="AR284" i="28"/>
  <c r="C283" i="28"/>
  <c r="AU283" i="28" s="1"/>
  <c r="AR285" i="28"/>
  <c r="D282" i="28"/>
  <c r="B282" i="28"/>
  <c r="I282" i="28"/>
  <c r="H282" i="28"/>
  <c r="G282" i="28"/>
  <c r="F282" i="28"/>
  <c r="E282" i="28"/>
  <c r="M26" i="39"/>
  <c r="C26" i="39" s="1"/>
  <c r="H21" i="37"/>
  <c r="AI41" i="9" l="1"/>
  <c r="W41" i="9"/>
  <c r="K41" i="9"/>
  <c r="AG41" i="9"/>
  <c r="U41" i="9"/>
  <c r="AF41" i="9"/>
  <c r="T41" i="9"/>
  <c r="AD41" i="9"/>
  <c r="AO41" i="9"/>
  <c r="AC41" i="9"/>
  <c r="Q41" i="9"/>
  <c r="P41" i="9"/>
  <c r="AM41" i="9"/>
  <c r="AA41" i="9"/>
  <c r="O41" i="9"/>
  <c r="AJ41" i="9"/>
  <c r="X41" i="9"/>
  <c r="L41" i="9"/>
  <c r="AL41" i="9"/>
  <c r="AH41" i="9"/>
  <c r="Y41" i="9"/>
  <c r="AE41" i="9"/>
  <c r="Z41" i="9"/>
  <c r="S41" i="9"/>
  <c r="N41" i="9"/>
  <c r="AK41" i="9"/>
  <c r="V41" i="9"/>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0" i="28"/>
  <c r="AS150" i="28" s="1"/>
  <c r="C149" i="28"/>
  <c r="AU149" i="28" s="1"/>
  <c r="AU237" i="28"/>
  <c r="J236" i="28"/>
  <c r="F146" i="28"/>
  <c r="E146" i="28"/>
  <c r="D146" i="28"/>
  <c r="AS147" i="28"/>
  <c r="H146" i="28"/>
  <c r="B146" i="28"/>
  <c r="G146" i="28"/>
  <c r="I146" i="28"/>
  <c r="AR237" i="28"/>
  <c r="C236"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3" i="28"/>
  <c r="H283" i="28"/>
  <c r="D283" i="28"/>
  <c r="E283" i="28"/>
  <c r="G283" i="28"/>
  <c r="F283" i="28"/>
  <c r="B283" i="28"/>
  <c r="B22" i="36"/>
  <c r="I22" i="36" s="1"/>
  <c r="F22" i="36"/>
  <c r="G22" i="36"/>
  <c r="H22" i="36"/>
  <c r="B22" i="35"/>
  <c r="AS284" i="28"/>
  <c r="AS285" i="28" s="1"/>
  <c r="C284" i="28"/>
  <c r="AU284" i="28" s="1"/>
  <c r="AR286" i="28"/>
  <c r="C285" i="28"/>
  <c r="AU285" i="28" s="1"/>
  <c r="AR287" i="28"/>
  <c r="A23" i="35"/>
  <c r="AH83" i="28"/>
  <c r="AG83" i="28"/>
  <c r="E22" i="38"/>
  <c r="J283" i="28"/>
  <c r="N26" i="39"/>
  <c r="D26" i="39" s="1"/>
  <c r="A26" i="39" s="1"/>
  <c r="L27" i="39"/>
  <c r="O27" i="39"/>
  <c r="I21" i="37"/>
  <c r="J22" i="35"/>
  <c r="AM42" i="9" l="1"/>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4" i="28"/>
  <c r="D147" i="28"/>
  <c r="H147" i="28"/>
  <c r="G147" i="28"/>
  <c r="F147" i="28"/>
  <c r="B147" i="28"/>
  <c r="E147" i="28"/>
  <c r="I147" i="28"/>
  <c r="J147" i="28"/>
  <c r="AU238" i="28"/>
  <c r="J237" i="28"/>
  <c r="AR238" i="28"/>
  <c r="C237" i="28"/>
  <c r="C150" i="28"/>
  <c r="AU150" i="28" s="1"/>
  <c r="AR151" i="28"/>
  <c r="AS151" i="28" s="1"/>
  <c r="E42" i="9"/>
  <c r="G42" i="9"/>
  <c r="F42" i="9"/>
  <c r="G29" i="10"/>
  <c r="H42" i="9"/>
  <c r="I42" i="9"/>
  <c r="I30" i="10"/>
  <c r="L30" i="10"/>
  <c r="F30" i="10"/>
  <c r="H29" i="10"/>
  <c r="E29" i="10"/>
  <c r="C43" i="9"/>
  <c r="B43" i="9"/>
  <c r="F43" i="9" s="1"/>
  <c r="AR45" i="9"/>
  <c r="AS45" i="9" s="1"/>
  <c r="A44" i="9"/>
  <c r="AS23" i="38"/>
  <c r="AT23" i="38" s="1"/>
  <c r="C23" i="38" s="1"/>
  <c r="J21" i="38"/>
  <c r="A21" i="38" s="1"/>
  <c r="D22" i="36"/>
  <c r="E22" i="36"/>
  <c r="I22" i="35"/>
  <c r="E22" i="35"/>
  <c r="G22" i="35"/>
  <c r="H23" i="36"/>
  <c r="G23" i="36"/>
  <c r="F23" i="36"/>
  <c r="B23" i="36"/>
  <c r="I23" i="36" s="1"/>
  <c r="H22" i="35"/>
  <c r="C286" i="28"/>
  <c r="AS286" i="28"/>
  <c r="AS287" i="28" s="1"/>
  <c r="AT25" i="35"/>
  <c r="A24" i="35"/>
  <c r="B23" i="35"/>
  <c r="G284" i="28"/>
  <c r="F284" i="28"/>
  <c r="B284" i="28"/>
  <c r="I284" i="28"/>
  <c r="H284" i="28"/>
  <c r="E284" i="28"/>
  <c r="D284" i="28"/>
  <c r="D22" i="35"/>
  <c r="AU286" i="28"/>
  <c r="J285" i="28"/>
  <c r="H285" i="28"/>
  <c r="B285" i="28"/>
  <c r="F285" i="28"/>
  <c r="E285" i="28"/>
  <c r="D285" i="28"/>
  <c r="I285" i="28"/>
  <c r="G285" i="28"/>
  <c r="AU22" i="38"/>
  <c r="D22" i="38" s="1"/>
  <c r="AR288" i="28"/>
  <c r="C287" i="28"/>
  <c r="AV23" i="38"/>
  <c r="M24" i="36"/>
  <c r="K24" i="36" s="1"/>
  <c r="L24" i="36" s="1"/>
  <c r="C24" i="36" s="1"/>
  <c r="A24" i="36" s="1"/>
  <c r="B24" i="36" s="1"/>
  <c r="I24" i="36" s="1"/>
  <c r="C21" i="37"/>
  <c r="A21" i="37" s="1"/>
  <c r="D21" i="37" s="1"/>
  <c r="M27" i="39"/>
  <c r="C27" i="39" s="1"/>
  <c r="J23" i="35"/>
  <c r="AE43" i="9" l="1"/>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0" i="28"/>
  <c r="J286" i="28"/>
  <c r="C200" i="29"/>
  <c r="K201" i="29"/>
  <c r="A30" i="10"/>
  <c r="E199" i="29"/>
  <c r="N199" i="29"/>
  <c r="D199" i="29" s="1"/>
  <c r="X21" i="66"/>
  <c r="Y21" i="66"/>
  <c r="W21" i="66"/>
  <c r="AQ52" i="66"/>
  <c r="AP51" i="66"/>
  <c r="U19" i="66"/>
  <c r="T19" i="66"/>
  <c r="V19" i="66"/>
  <c r="BA57" i="63"/>
  <c r="D56" i="63"/>
  <c r="BB57" i="63"/>
  <c r="F57" i="63" s="1"/>
  <c r="J238" i="28"/>
  <c r="AU239" i="28"/>
  <c r="J239" i="28" s="1"/>
  <c r="E150" i="28"/>
  <c r="I150" i="28"/>
  <c r="H150" i="28"/>
  <c r="G150" i="28"/>
  <c r="B150" i="28"/>
  <c r="D150" i="28"/>
  <c r="F150" i="28"/>
  <c r="AR239" i="28"/>
  <c r="C238" i="28"/>
  <c r="AR153" i="28"/>
  <c r="AR152" i="28"/>
  <c r="AS152" i="28" s="1"/>
  <c r="AS153" i="28" s="1"/>
  <c r="C151" i="28"/>
  <c r="AU151" i="28" s="1"/>
  <c r="G43" i="9"/>
  <c r="E43" i="9"/>
  <c r="D43" i="9"/>
  <c r="I43" i="9"/>
  <c r="E44" i="9"/>
  <c r="H44" i="9"/>
  <c r="F44" i="9"/>
  <c r="C44" i="9"/>
  <c r="B44" i="9"/>
  <c r="D44" i="9"/>
  <c r="G44" i="9"/>
  <c r="AR46" i="9"/>
  <c r="AS46" i="9" s="1"/>
  <c r="A45" i="9"/>
  <c r="H43" i="9"/>
  <c r="K31" i="10"/>
  <c r="C30" i="10"/>
  <c r="B30" i="10" s="1"/>
  <c r="D23" i="35"/>
  <c r="G23" i="35"/>
  <c r="F23" i="35"/>
  <c r="G24" i="36"/>
  <c r="E287" i="28"/>
  <c r="AU287" i="28"/>
  <c r="H23" i="35"/>
  <c r="E23" i="38"/>
  <c r="AS24" i="38" s="1"/>
  <c r="H24" i="36"/>
  <c r="F24" i="36"/>
  <c r="B24" i="35"/>
  <c r="C288" i="28"/>
  <c r="AU288" i="28" s="1"/>
  <c r="AR289" i="28"/>
  <c r="AR290" i="28"/>
  <c r="AR25" i="35"/>
  <c r="D23" i="36"/>
  <c r="M25" i="36"/>
  <c r="K25" i="36" s="1"/>
  <c r="F287" i="28"/>
  <c r="AS288" i="28"/>
  <c r="AS289" i="28" s="1"/>
  <c r="H287" i="28"/>
  <c r="I287" i="28"/>
  <c r="G287" i="28"/>
  <c r="B287" i="28"/>
  <c r="J22" i="38"/>
  <c r="A22" i="38" s="1"/>
  <c r="I23" i="35"/>
  <c r="B286" i="28"/>
  <c r="I286" i="28"/>
  <c r="H286" i="28"/>
  <c r="G286" i="28"/>
  <c r="D286" i="28"/>
  <c r="F286" i="28"/>
  <c r="E286" i="28"/>
  <c r="E23" i="36"/>
  <c r="N27" i="39"/>
  <c r="D27" i="39" s="1"/>
  <c r="A27" i="39" s="1"/>
  <c r="O28" i="39"/>
  <c r="L28" i="39"/>
  <c r="E24" i="36"/>
  <c r="D24" i="36"/>
  <c r="H22" i="37"/>
  <c r="J24" i="35"/>
  <c r="AI44" i="9" l="1"/>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8" i="28"/>
  <c r="K202" i="29"/>
  <c r="C201" i="29"/>
  <c r="N200" i="29"/>
  <c r="D200" i="29" s="1"/>
  <c r="E200" i="29"/>
  <c r="D57" i="63"/>
  <c r="BA58" i="63"/>
  <c r="BB58" i="63"/>
  <c r="F58" i="63" s="1"/>
  <c r="AP50" i="66"/>
  <c r="V18" i="66"/>
  <c r="U18" i="66"/>
  <c r="T18" i="66"/>
  <c r="Y20" i="66"/>
  <c r="X20" i="66"/>
  <c r="W20" i="66"/>
  <c r="AQ51" i="66"/>
  <c r="J151" i="28"/>
  <c r="H151" i="28"/>
  <c r="G151" i="28"/>
  <c r="I151" i="28"/>
  <c r="F151" i="28"/>
  <c r="E151" i="28"/>
  <c r="D151" i="28"/>
  <c r="B151" i="28"/>
  <c r="C152" i="28"/>
  <c r="AU152" i="28" s="1"/>
  <c r="C239" i="28"/>
  <c r="AR241" i="28"/>
  <c r="AR154" i="28"/>
  <c r="AS154" i="28" s="1"/>
  <c r="C153" i="28"/>
  <c r="AU153" i="28" s="1"/>
  <c r="H30" i="10"/>
  <c r="A46" i="9"/>
  <c r="AR47" i="9"/>
  <c r="AS47" i="9" s="1"/>
  <c r="F31" i="10"/>
  <c r="I31" i="10"/>
  <c r="L31" i="10"/>
  <c r="I44" i="9"/>
  <c r="G30" i="10"/>
  <c r="E30" i="10"/>
  <c r="C45" i="9"/>
  <c r="B45" i="9"/>
  <c r="F45" i="9" s="1"/>
  <c r="F24" i="35"/>
  <c r="I24" i="35"/>
  <c r="H24" i="35"/>
  <c r="AT24" i="38"/>
  <c r="E24" i="38" s="1"/>
  <c r="D287" i="28"/>
  <c r="J287" i="28"/>
  <c r="I288" i="28"/>
  <c r="H288" i="28"/>
  <c r="G288" i="28"/>
  <c r="B288" i="28"/>
  <c r="F288" i="28"/>
  <c r="E288" i="28"/>
  <c r="D288" i="28"/>
  <c r="D24" i="35"/>
  <c r="C290" i="28"/>
  <c r="AU290" i="28" s="1"/>
  <c r="AR292" i="28"/>
  <c r="AS25" i="35"/>
  <c r="C25" i="35" s="1"/>
  <c r="AT26" i="35" s="1"/>
  <c r="AR291" i="28"/>
  <c r="C289" i="28"/>
  <c r="G24" i="35"/>
  <c r="AU23" i="38"/>
  <c r="D23" i="38" s="1"/>
  <c r="AV24" i="38"/>
  <c r="L25" i="36"/>
  <c r="C25" i="36" s="1"/>
  <c r="A25" i="36" s="1"/>
  <c r="I22" i="37"/>
  <c r="M28" i="39"/>
  <c r="C28" i="39" s="1"/>
  <c r="AM45" i="9" l="1"/>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3" i="28"/>
  <c r="H45" i="9"/>
  <c r="B153" i="28"/>
  <c r="H153" i="28"/>
  <c r="E153" i="28"/>
  <c r="D153" i="28"/>
  <c r="I153" i="28"/>
  <c r="G153" i="28"/>
  <c r="F153" i="28"/>
  <c r="I152" i="28"/>
  <c r="B152" i="28"/>
  <c r="H152" i="28"/>
  <c r="G152" i="28"/>
  <c r="F152" i="28"/>
  <c r="E152" i="28"/>
  <c r="D152" i="28"/>
  <c r="C241" i="28"/>
  <c r="AU241" i="28" s="1"/>
  <c r="AR242" i="28"/>
  <c r="C154" i="28"/>
  <c r="AU154" i="28" s="1"/>
  <c r="AR155" i="28"/>
  <c r="AS155" i="28" s="1"/>
  <c r="AS156" i="28" s="1"/>
  <c r="AS157" i="28" s="1"/>
  <c r="E45" i="9"/>
  <c r="D45" i="9"/>
  <c r="G45" i="9"/>
  <c r="I45" i="9"/>
  <c r="C31" i="10"/>
  <c r="B31" i="10" s="1"/>
  <c r="K32" i="10"/>
  <c r="A47" i="9"/>
  <c r="AR48" i="9"/>
  <c r="AS48" i="9" s="1"/>
  <c r="B46" i="9"/>
  <c r="E46" i="9" s="1"/>
  <c r="C46" i="9"/>
  <c r="C24" i="38"/>
  <c r="H289" i="28"/>
  <c r="B289" i="28"/>
  <c r="G289" i="28"/>
  <c r="F289" i="28"/>
  <c r="I289" i="28"/>
  <c r="AS25" i="38"/>
  <c r="AV25" i="38"/>
  <c r="J23" i="38"/>
  <c r="A23" i="38" s="1"/>
  <c r="A25" i="35"/>
  <c r="E289" i="28"/>
  <c r="AU289" i="28"/>
  <c r="C23" i="34"/>
  <c r="C291" i="28"/>
  <c r="AR293" i="28"/>
  <c r="AR294" i="28"/>
  <c r="C294" i="28" s="1"/>
  <c r="AU294" i="28" s="1"/>
  <c r="C292" i="28"/>
  <c r="AR26" i="35"/>
  <c r="AU24" i="38"/>
  <c r="D24" i="38" s="1"/>
  <c r="N28" i="39"/>
  <c r="D28" i="39" s="1"/>
  <c r="A28" i="39" s="1"/>
  <c r="L29" i="39"/>
  <c r="O29" i="39"/>
  <c r="F25" i="36"/>
  <c r="B25" i="36"/>
  <c r="I25" i="36" s="1"/>
  <c r="G25" i="36"/>
  <c r="H25" i="36"/>
  <c r="M26" i="36"/>
  <c r="C22" i="37"/>
  <c r="A22" i="37" s="1"/>
  <c r="D22" i="37" s="1"/>
  <c r="AE46" i="9" l="1"/>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7" i="28"/>
  <c r="H157" i="28"/>
  <c r="F157" i="28"/>
  <c r="I157" i="28"/>
  <c r="G157" i="28"/>
  <c r="L23" i="27"/>
  <c r="F23" i="27" s="1"/>
  <c r="P24" i="27"/>
  <c r="M24" i="27"/>
  <c r="N24" i="27"/>
  <c r="O24" i="27"/>
  <c r="N23" i="34"/>
  <c r="M23" i="34"/>
  <c r="AU292"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6" i="28"/>
  <c r="AR157" i="28" s="1"/>
  <c r="C157" i="28" s="1"/>
  <c r="C155" i="28"/>
  <c r="AU155" i="28" s="1"/>
  <c r="H154" i="28"/>
  <c r="G154" i="28"/>
  <c r="B154" i="28"/>
  <c r="I154" i="28"/>
  <c r="D154" i="28"/>
  <c r="F154" i="28"/>
  <c r="E154" i="28"/>
  <c r="AR243" i="28"/>
  <c r="C242" i="28"/>
  <c r="AU242" i="28" s="1"/>
  <c r="J242" i="28" s="1"/>
  <c r="J241" i="28"/>
  <c r="AU243" i="28"/>
  <c r="F46" i="9"/>
  <c r="D31" i="10"/>
  <c r="G31" i="10"/>
  <c r="B47" i="9"/>
  <c r="F47" i="9" s="1"/>
  <c r="C47" i="9"/>
  <c r="H31" i="10"/>
  <c r="AR49" i="9"/>
  <c r="AS49" i="9" s="1"/>
  <c r="A48" i="9"/>
  <c r="I32" i="10"/>
  <c r="L32" i="10"/>
  <c r="F32" i="10"/>
  <c r="H46" i="9"/>
  <c r="I46" i="9"/>
  <c r="G46" i="9"/>
  <c r="D46" i="9"/>
  <c r="J24" i="38"/>
  <c r="A24" i="38" s="1"/>
  <c r="B25" i="35"/>
  <c r="AS26" i="35"/>
  <c r="C26" i="35" s="1"/>
  <c r="AU291" i="28"/>
  <c r="C293" i="28"/>
  <c r="AU293" i="28" s="1"/>
  <c r="AR295" i="28"/>
  <c r="G290" i="28"/>
  <c r="F290" i="28"/>
  <c r="B290" i="28"/>
  <c r="I290" i="28"/>
  <c r="AS291" i="28"/>
  <c r="E291" i="28" s="1"/>
  <c r="H290" i="28"/>
  <c r="E290" i="28"/>
  <c r="D290" i="28"/>
  <c r="A23" i="34"/>
  <c r="E23" i="34"/>
  <c r="AT25" i="38"/>
  <c r="C25" i="38" s="1"/>
  <c r="J290" i="28"/>
  <c r="D289" i="28"/>
  <c r="J289" i="28"/>
  <c r="I24" i="34"/>
  <c r="D25" i="36"/>
  <c r="E25" i="36"/>
  <c r="K26" i="36"/>
  <c r="A24" i="27"/>
  <c r="D24" i="27" s="1"/>
  <c r="H23" i="37"/>
  <c r="I25" i="27"/>
  <c r="M29" i="39"/>
  <c r="C29" i="39" s="1"/>
  <c r="J25" i="35"/>
  <c r="AI47" i="9" l="1"/>
  <c r="W47" i="9"/>
  <c r="K47" i="9"/>
  <c r="AG47" i="9"/>
  <c r="U47" i="9"/>
  <c r="AF47" i="9"/>
  <c r="T47" i="9"/>
  <c r="AD47" i="9"/>
  <c r="AO47" i="9"/>
  <c r="AC47" i="9"/>
  <c r="Q47" i="9"/>
  <c r="P47" i="9"/>
  <c r="AM47" i="9"/>
  <c r="AA47" i="9"/>
  <c r="O47" i="9"/>
  <c r="AJ47" i="9"/>
  <c r="X47" i="9"/>
  <c r="L47" i="9"/>
  <c r="AE47" i="9"/>
  <c r="Z47" i="9"/>
  <c r="V47" i="9"/>
  <c r="N47" i="9"/>
  <c r="Y47" i="9"/>
  <c r="AL47" i="9"/>
  <c r="AK47" i="9"/>
  <c r="AH47" i="9"/>
  <c r="S47" i="9"/>
  <c r="E157" i="28"/>
  <c r="AU157" i="28"/>
  <c r="D157"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1" i="28"/>
  <c r="D155" i="28"/>
  <c r="AR244" i="28"/>
  <c r="C243" i="28"/>
  <c r="J243" i="28"/>
  <c r="AU244" i="28"/>
  <c r="I155" i="28"/>
  <c r="H155" i="28"/>
  <c r="B155" i="28"/>
  <c r="G155" i="28"/>
  <c r="F155" i="28"/>
  <c r="E155" i="28"/>
  <c r="C156" i="28"/>
  <c r="AU156"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7" i="28"/>
  <c r="C295" i="28"/>
  <c r="AU295" i="28" s="1"/>
  <c r="D25" i="35"/>
  <c r="B23" i="34"/>
  <c r="D23" i="34"/>
  <c r="A26" i="35"/>
  <c r="E25" i="38"/>
  <c r="H291" i="28"/>
  <c r="B291" i="28"/>
  <c r="AS292" i="28"/>
  <c r="E292" i="28" s="1"/>
  <c r="G291" i="28"/>
  <c r="F291" i="28"/>
  <c r="I291"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6" i="28"/>
  <c r="G156" i="28"/>
  <c r="I156" i="28"/>
  <c r="F156" i="28"/>
  <c r="B156" i="28"/>
  <c r="E156" i="28"/>
  <c r="D156" i="28"/>
  <c r="AU245" i="28"/>
  <c r="J244" i="28"/>
  <c r="AR158" i="28"/>
  <c r="AR245" i="28"/>
  <c r="C244" i="28"/>
  <c r="G48" i="9"/>
  <c r="E48" i="9"/>
  <c r="D48" i="9"/>
  <c r="I33" i="10"/>
  <c r="F33" i="10"/>
  <c r="L33" i="10"/>
  <c r="D49" i="9"/>
  <c r="G49" i="9"/>
  <c r="C49" i="9"/>
  <c r="F49" i="9"/>
  <c r="E49" i="9"/>
  <c r="H49" i="9"/>
  <c r="B49" i="9"/>
  <c r="H48" i="9"/>
  <c r="I48" i="9"/>
  <c r="A50" i="9"/>
  <c r="AR51" i="9"/>
  <c r="AS51" i="9" s="1"/>
  <c r="H32" i="10"/>
  <c r="D32" i="10"/>
  <c r="E32" i="10"/>
  <c r="G32" i="10"/>
  <c r="C297" i="28"/>
  <c r="AR298" i="28"/>
  <c r="B26" i="35"/>
  <c r="AU25" i="38"/>
  <c r="D25" i="38" s="1"/>
  <c r="AV26" i="38"/>
  <c r="AS26" i="38"/>
  <c r="AT28" i="35"/>
  <c r="AR28" i="35" s="1"/>
  <c r="A27" i="35"/>
  <c r="I25" i="34"/>
  <c r="J25" i="34" s="1"/>
  <c r="E24" i="34"/>
  <c r="A24" i="34"/>
  <c r="AS293" i="28"/>
  <c r="G292" i="28"/>
  <c r="F292" i="28"/>
  <c r="B292" i="28"/>
  <c r="I292" i="28"/>
  <c r="H292" i="28"/>
  <c r="J292" i="28"/>
  <c r="M27" i="36"/>
  <c r="F26" i="36"/>
  <c r="G26" i="36"/>
  <c r="B26" i="36"/>
  <c r="I26" i="36" s="1"/>
  <c r="H26" i="36"/>
  <c r="A25" i="27"/>
  <c r="D25" i="27" s="1"/>
  <c r="I26" i="27"/>
  <c r="C23" i="37"/>
  <c r="A23" i="37" s="1"/>
  <c r="D23" i="37" s="1"/>
  <c r="M30" i="39"/>
  <c r="C30" i="39" s="1"/>
  <c r="J26" i="35"/>
  <c r="AE49" i="9" l="1"/>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7" i="28"/>
  <c r="J297" i="28" s="1"/>
  <c r="L297" i="28" a="1"/>
  <c r="L297" i="28" s="1"/>
  <c r="R297" i="28" a="1"/>
  <c r="R297" i="28" s="1"/>
  <c r="X297" i="28" a="1"/>
  <c r="X297" i="28" s="1"/>
  <c r="AD297" i="28" a="1"/>
  <c r="AD297" i="28" s="1"/>
  <c r="AJ297" i="28" a="1"/>
  <c r="AJ297" i="28" s="1"/>
  <c r="AP297" i="28" a="1"/>
  <c r="AP297" i="28" s="1"/>
  <c r="Z297" i="28" a="1"/>
  <c r="Z297" i="28" s="1"/>
  <c r="M297" i="28" a="1"/>
  <c r="M297" i="28" s="1"/>
  <c r="S297" i="28" a="1"/>
  <c r="S297" i="28" s="1"/>
  <c r="Y297" i="28" a="1"/>
  <c r="Y297" i="28" s="1"/>
  <c r="AE297" i="28" a="1"/>
  <c r="AE297" i="28" s="1"/>
  <c r="AK297" i="28" a="1"/>
  <c r="AK297" i="28" s="1"/>
  <c r="N297" i="28" a="1"/>
  <c r="N297" i="28" s="1"/>
  <c r="AF297" i="28" a="1"/>
  <c r="AF297" i="28" s="1"/>
  <c r="AL297" i="28" a="1"/>
  <c r="AL297" i="28" s="1"/>
  <c r="T297" i="28" a="1"/>
  <c r="T297" i="28" s="1"/>
  <c r="O297" i="28" a="1"/>
  <c r="O297" i="28" s="1"/>
  <c r="U297" i="28" a="1"/>
  <c r="U297" i="28" s="1"/>
  <c r="AA297" i="28" a="1"/>
  <c r="AA297" i="28" s="1"/>
  <c r="AG297" i="28" a="1"/>
  <c r="AG297" i="28" s="1"/>
  <c r="AM297" i="28" a="1"/>
  <c r="AM297" i="28" s="1"/>
  <c r="P297" i="28" a="1"/>
  <c r="P297" i="28" s="1"/>
  <c r="V297" i="28" a="1"/>
  <c r="V297" i="28" s="1"/>
  <c r="AB297" i="28" a="1"/>
  <c r="AB297" i="28" s="1"/>
  <c r="AH297" i="28" a="1"/>
  <c r="AH297" i="28" s="1"/>
  <c r="AN297" i="28" a="1"/>
  <c r="AN297" i="28" s="1"/>
  <c r="K297" i="28" a="1"/>
  <c r="K297" i="28" s="1"/>
  <c r="AI297" i="28" a="1"/>
  <c r="AI297" i="28" s="1"/>
  <c r="AO297" i="28" a="1"/>
  <c r="AO297" i="28" s="1"/>
  <c r="W297" i="28" a="1"/>
  <c r="W297" i="28" s="1"/>
  <c r="AC297" i="28" a="1"/>
  <c r="AC297" i="28" s="1"/>
  <c r="Q297" i="28" a="1"/>
  <c r="Q297"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6" i="28"/>
  <c r="J246" i="28" s="1"/>
  <c r="J245" i="28"/>
  <c r="C158" i="28"/>
  <c r="AU158" i="28" s="1"/>
  <c r="AR159" i="28"/>
  <c r="C245" i="28"/>
  <c r="AR246" i="28"/>
  <c r="C246" i="28" s="1"/>
  <c r="I49" i="9"/>
  <c r="AR52" i="9"/>
  <c r="AS52" i="9" s="1"/>
  <c r="A51" i="9"/>
  <c r="C50" i="9"/>
  <c r="B50" i="9"/>
  <c r="G50" i="9" s="1"/>
  <c r="K34" i="10"/>
  <c r="C33" i="10"/>
  <c r="B33" i="10" s="1"/>
  <c r="F26" i="35"/>
  <c r="J25" i="38"/>
  <c r="A25" i="38" s="1"/>
  <c r="I26" i="35"/>
  <c r="G26" i="35"/>
  <c r="E26" i="35"/>
  <c r="B24" i="34"/>
  <c r="D24" i="34"/>
  <c r="B27" i="35"/>
  <c r="AT26" i="38"/>
  <c r="C26" i="38" s="1"/>
  <c r="AS28" i="35"/>
  <c r="C28" i="35" s="1"/>
  <c r="H26" i="35"/>
  <c r="C25" i="34"/>
  <c r="H293" i="28"/>
  <c r="B293" i="28"/>
  <c r="G293" i="28"/>
  <c r="AS294" i="28"/>
  <c r="D293" i="28"/>
  <c r="I293" i="28"/>
  <c r="F293" i="28"/>
  <c r="E293" i="28"/>
  <c r="J293" i="28"/>
  <c r="AS298" i="28"/>
  <c r="AR299" i="28"/>
  <c r="C298"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8" i="28"/>
  <c r="J298"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0" i="28"/>
  <c r="C159" i="28"/>
  <c r="AU159" i="28" s="1"/>
  <c r="D158" i="28"/>
  <c r="F158" i="28"/>
  <c r="B158" i="28"/>
  <c r="I158" i="28"/>
  <c r="H158" i="28"/>
  <c r="G158" i="28"/>
  <c r="E158" i="28"/>
  <c r="F50" i="9"/>
  <c r="H50" i="9"/>
  <c r="E50" i="9"/>
  <c r="D50" i="9"/>
  <c r="H33" i="10"/>
  <c r="G33" i="10"/>
  <c r="I50" i="9"/>
  <c r="D33" i="10"/>
  <c r="B51" i="9"/>
  <c r="G51" i="9" s="1"/>
  <c r="C51" i="9"/>
  <c r="AR53" i="9"/>
  <c r="AS53" i="9" s="1"/>
  <c r="A52" i="9"/>
  <c r="I34" i="10"/>
  <c r="L34" i="10"/>
  <c r="F34" i="10"/>
  <c r="H27" i="35"/>
  <c r="E27" i="35"/>
  <c r="AT29" i="35"/>
  <c r="AR29" i="35" s="1"/>
  <c r="E26" i="38"/>
  <c r="AU26" i="38" s="1"/>
  <c r="E25" i="34"/>
  <c r="A25" i="34"/>
  <c r="G27" i="35"/>
  <c r="E294" i="28"/>
  <c r="D294" i="28"/>
  <c r="I294" i="28"/>
  <c r="AS295" i="28"/>
  <c r="F294" i="28"/>
  <c r="H294" i="28"/>
  <c r="B294" i="28"/>
  <c r="G294" i="28"/>
  <c r="J294" i="28"/>
  <c r="G298" i="28"/>
  <c r="F298" i="28"/>
  <c r="B298" i="28"/>
  <c r="Q298" i="28" s="1" a="1"/>
  <c r="Q298" i="28" s="1"/>
  <c r="E298" i="28"/>
  <c r="D298" i="28"/>
  <c r="I298" i="28"/>
  <c r="H298" i="28"/>
  <c r="A28" i="35"/>
  <c r="I27" i="35"/>
  <c r="AR300" i="28"/>
  <c r="AR301" i="28"/>
  <c r="AS299" i="28"/>
  <c r="C299" i="28"/>
  <c r="I26" i="34"/>
  <c r="J26" i="34" s="1"/>
  <c r="D27" i="35"/>
  <c r="A26" i="27"/>
  <c r="D26" i="27" s="1"/>
  <c r="I24" i="37"/>
  <c r="C24" i="37" s="1"/>
  <c r="A24" i="37" s="1"/>
  <c r="D24" i="37" s="1"/>
  <c r="I27" i="27"/>
  <c r="M31" i="39"/>
  <c r="C31" i="39" s="1"/>
  <c r="L27" i="36"/>
  <c r="C27" i="36" s="1"/>
  <c r="A27" i="36" s="1"/>
  <c r="AM51" i="9" l="1"/>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8" i="28" a="1"/>
  <c r="AK298" i="28" s="1"/>
  <c r="AI298" i="28" a="1"/>
  <c r="AI298" i="28" s="1"/>
  <c r="N298" i="28" a="1"/>
  <c r="N298" i="28" s="1"/>
  <c r="AE298" i="28" a="1"/>
  <c r="AE298" i="28" s="1"/>
  <c r="AC298" i="28" a="1"/>
  <c r="AC298" i="28" s="1"/>
  <c r="O298" i="28" a="1"/>
  <c r="O298" i="28" s="1"/>
  <c r="Y298" i="28" a="1"/>
  <c r="Y298" i="28" s="1"/>
  <c r="W298" i="28" a="1"/>
  <c r="W298" i="28" s="1"/>
  <c r="AM298" i="28" a="1"/>
  <c r="AM298" i="28" s="1"/>
  <c r="S298" i="28" a="1"/>
  <c r="S298" i="28" s="1"/>
  <c r="K298" i="28" a="1"/>
  <c r="K298" i="28" s="1"/>
  <c r="AG298" i="28" a="1"/>
  <c r="AG298" i="28" s="1"/>
  <c r="M298" i="28" a="1"/>
  <c r="M298" i="28" s="1"/>
  <c r="AN298" i="28" a="1"/>
  <c r="AN298" i="28" s="1"/>
  <c r="AA298" i="28" a="1"/>
  <c r="AA298" i="28" s="1"/>
  <c r="AP298" i="28" a="1"/>
  <c r="AP298" i="28" s="1"/>
  <c r="AH298" i="28" a="1"/>
  <c r="AH298" i="28" s="1"/>
  <c r="AO298" i="28" a="1"/>
  <c r="AO298" i="28" s="1"/>
  <c r="U298" i="28" a="1"/>
  <c r="U298" i="28" s="1"/>
  <c r="AD298" i="28" a="1"/>
  <c r="AD298" i="28" s="1"/>
  <c r="AB298" i="28" a="1"/>
  <c r="AB298" i="28" s="1"/>
  <c r="AL298" i="28" a="1"/>
  <c r="AL298" i="28" s="1"/>
  <c r="AJ298" i="28" a="1"/>
  <c r="AJ298" i="28" s="1"/>
  <c r="V298" i="28" a="1"/>
  <c r="V298" i="28" s="1"/>
  <c r="AF298" i="28" a="1"/>
  <c r="AF298" i="28" s="1"/>
  <c r="X298" i="28" a="1"/>
  <c r="X298" i="28" s="1"/>
  <c r="P298" i="28" a="1"/>
  <c r="P298" i="28" s="1"/>
  <c r="Z298" i="28" a="1"/>
  <c r="Z298" i="28" s="1"/>
  <c r="R298" i="28" a="1"/>
  <c r="R298" i="28" s="1"/>
  <c r="T298" i="28" a="1"/>
  <c r="T298" i="28" s="1"/>
  <c r="L298" i="28" a="1"/>
  <c r="L298" i="28" s="1"/>
  <c r="AU299" i="28"/>
  <c r="J299" i="28" s="1"/>
  <c r="O299" i="28" a="1"/>
  <c r="O299" i="28" s="1"/>
  <c r="K299" i="28" a="1"/>
  <c r="K299"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59" i="28"/>
  <c r="H159" i="28"/>
  <c r="G159" i="28"/>
  <c r="F159" i="28"/>
  <c r="B159" i="28"/>
  <c r="E159" i="28"/>
  <c r="D159" i="28"/>
  <c r="C160" i="28"/>
  <c r="AU160" i="28" s="1"/>
  <c r="AR161" i="28"/>
  <c r="F51" i="9"/>
  <c r="E51" i="9"/>
  <c r="H51" i="9"/>
  <c r="D51" i="9"/>
  <c r="A53" i="9"/>
  <c r="AR54" i="9"/>
  <c r="AS54" i="9" s="1"/>
  <c r="C34" i="10"/>
  <c r="B34" i="10" s="1"/>
  <c r="K35" i="10"/>
  <c r="I51" i="9"/>
  <c r="B52" i="9"/>
  <c r="E52" i="9" s="1"/>
  <c r="C52" i="9"/>
  <c r="AV27" i="38"/>
  <c r="AS27" i="38"/>
  <c r="AT27" i="38" s="1"/>
  <c r="E27" i="38" s="1"/>
  <c r="B25" i="34"/>
  <c r="D25" i="34"/>
  <c r="I299" i="28"/>
  <c r="H299" i="28"/>
  <c r="B299" i="28"/>
  <c r="Q299" i="28" s="1" a="1"/>
  <c r="Q299" i="28" s="1"/>
  <c r="G299" i="28"/>
  <c r="F299" i="28"/>
  <c r="D299" i="28"/>
  <c r="E299" i="28"/>
  <c r="D26" i="38"/>
  <c r="J26" i="38"/>
  <c r="A26" i="38" s="1"/>
  <c r="B28" i="35"/>
  <c r="AS300" i="28"/>
  <c r="C300" i="28"/>
  <c r="D295" i="28"/>
  <c r="B295" i="28"/>
  <c r="F295" i="28"/>
  <c r="E295" i="28"/>
  <c r="I295" i="28"/>
  <c r="H295" i="28"/>
  <c r="G295" i="28"/>
  <c r="J295" i="28"/>
  <c r="C26" i="34"/>
  <c r="C301" i="28"/>
  <c r="AR302" i="28"/>
  <c r="AS29" i="35"/>
  <c r="C29" i="35" s="1"/>
  <c r="N31" i="39"/>
  <c r="D31" i="39" s="1"/>
  <c r="A31" i="39" s="1"/>
  <c r="L32" i="39"/>
  <c r="O32" i="39"/>
  <c r="H27" i="36"/>
  <c r="G27" i="36"/>
  <c r="B27" i="36"/>
  <c r="I27" i="36" s="1"/>
  <c r="F27" i="36"/>
  <c r="J27" i="27"/>
  <c r="M28" i="36"/>
  <c r="H25" i="37"/>
  <c r="J28" i="35"/>
  <c r="AE52" i="9" l="1"/>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299" i="28" a="1"/>
  <c r="P299" i="28" s="1"/>
  <c r="N299" i="28" a="1"/>
  <c r="N299" i="28" s="1"/>
  <c r="M299" i="28" a="1"/>
  <c r="M299" i="28" s="1"/>
  <c r="AP299" i="28" a="1"/>
  <c r="AP299" i="28" s="1"/>
  <c r="L299" i="28" a="1"/>
  <c r="L299" i="28" s="1"/>
  <c r="AO299" i="28" a="1"/>
  <c r="AO299" i="28" s="1"/>
  <c r="AU300" i="28"/>
  <c r="J300" i="28" s="1"/>
  <c r="AC300" i="28" a="1"/>
  <c r="AC300" i="28" s="1"/>
  <c r="AU301" i="28"/>
  <c r="AU302"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3" i="28"/>
  <c r="AR162" i="28"/>
  <c r="C162" i="28" s="1"/>
  <c r="AU162" i="28" s="1"/>
  <c r="C161" i="28"/>
  <c r="AU161" i="28" s="1"/>
  <c r="D160" i="28"/>
  <c r="H160" i="28"/>
  <c r="G160" i="28"/>
  <c r="I160" i="28"/>
  <c r="F160" i="28"/>
  <c r="B160" i="28"/>
  <c r="E160"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H28" i="35"/>
  <c r="C302" i="28"/>
  <c r="AR303" i="28"/>
  <c r="E300" i="28"/>
  <c r="D300" i="28"/>
  <c r="B300" i="28"/>
  <c r="AF300" i="28" s="1" a="1"/>
  <c r="AF300" i="28" s="1"/>
  <c r="G300" i="28"/>
  <c r="H300" i="28"/>
  <c r="I300" i="28"/>
  <c r="F300" i="28"/>
  <c r="AS301" i="28"/>
  <c r="AS302" i="28" s="1"/>
  <c r="A29" i="35"/>
  <c r="A26" i="34"/>
  <c r="E26" i="34"/>
  <c r="I28" i="35"/>
  <c r="C27" i="27"/>
  <c r="E27" i="36"/>
  <c r="D27" i="36"/>
  <c r="I25" i="37"/>
  <c r="K28" i="36"/>
  <c r="M32" i="39"/>
  <c r="C32" i="39" s="1"/>
  <c r="AI53" i="9" l="1"/>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0" i="28" a="1"/>
  <c r="AN300" i="28" s="1"/>
  <c r="T300" i="28" a="1"/>
  <c r="T300" i="28" s="1"/>
  <c r="N300" i="28" a="1"/>
  <c r="N300" i="28" s="1"/>
  <c r="X300" i="28" a="1"/>
  <c r="X300" i="28" s="1"/>
  <c r="R300" i="28" a="1"/>
  <c r="R300" i="28" s="1"/>
  <c r="AO300" i="28" a="1"/>
  <c r="AO300" i="28" s="1"/>
  <c r="U300" i="28" a="1"/>
  <c r="U300" i="28" s="1"/>
  <c r="W300" i="28" a="1"/>
  <c r="W300" i="28" s="1"/>
  <c r="O300" i="28" a="1"/>
  <c r="O300" i="28" s="1"/>
  <c r="AJ300" i="28" a="1"/>
  <c r="AJ300" i="28" s="1"/>
  <c r="AP300" i="28" a="1"/>
  <c r="AP300" i="28" s="1"/>
  <c r="AI300" i="28" a="1"/>
  <c r="AI300" i="28" s="1"/>
  <c r="AL300" i="28" a="1"/>
  <c r="AL300" i="28" s="1"/>
  <c r="AD300" i="28" a="1"/>
  <c r="AD300" i="28" s="1"/>
  <c r="AH300" i="28" a="1"/>
  <c r="AH300" i="28" s="1"/>
  <c r="Z300" i="28" a="1"/>
  <c r="Z300" i="28" s="1"/>
  <c r="L300" i="28" a="1"/>
  <c r="L300" i="28" s="1"/>
  <c r="AB300" i="28" a="1"/>
  <c r="AB300" i="28" s="1"/>
  <c r="AK300" i="28" a="1"/>
  <c r="AK300" i="28" s="1"/>
  <c r="V300" i="28" a="1"/>
  <c r="V300" i="28" s="1"/>
  <c r="AE300" i="28" a="1"/>
  <c r="AE300" i="28" s="1"/>
  <c r="P300" i="28" a="1"/>
  <c r="P300" i="28" s="1"/>
  <c r="Y300" i="28" a="1"/>
  <c r="Y300" i="28" s="1"/>
  <c r="AM300" i="28" a="1"/>
  <c r="AM300" i="28" s="1"/>
  <c r="S300" i="28" a="1"/>
  <c r="S300" i="28" s="1"/>
  <c r="Q300" i="28" a="1"/>
  <c r="Q300" i="28" s="1"/>
  <c r="AG300" i="28" a="1"/>
  <c r="AG300" i="28" s="1"/>
  <c r="M300" i="28" a="1"/>
  <c r="M300" i="28" s="1"/>
  <c r="K300" i="28" a="1"/>
  <c r="K300" i="28" s="1"/>
  <c r="AA300" i="28" a="1"/>
  <c r="AA300" i="28" s="1"/>
  <c r="P27" i="27"/>
  <c r="M27" i="27"/>
  <c r="N27" i="27"/>
  <c r="O27" i="27"/>
  <c r="L26" i="34"/>
  <c r="F26" i="34" s="1"/>
  <c r="N27" i="34"/>
  <c r="M27" i="34"/>
  <c r="J302" i="28"/>
  <c r="J301"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1" i="28"/>
  <c r="F161" i="28"/>
  <c r="B161" i="28"/>
  <c r="I161" i="28"/>
  <c r="H161" i="28"/>
  <c r="E161" i="28"/>
  <c r="D161" i="28"/>
  <c r="C163" i="28"/>
  <c r="AR164" i="28"/>
  <c r="D53" i="9"/>
  <c r="E53" i="9"/>
  <c r="F53" i="9"/>
  <c r="H53" i="9"/>
  <c r="C35" i="10"/>
  <c r="B35" i="10" s="1"/>
  <c r="K36" i="10"/>
  <c r="A55" i="9"/>
  <c r="AR56" i="9"/>
  <c r="AS56" i="9" s="1"/>
  <c r="C54" i="9"/>
  <c r="B54" i="9"/>
  <c r="I53" i="9"/>
  <c r="E28" i="38"/>
  <c r="AU28" i="38" s="1"/>
  <c r="D28" i="38" s="1"/>
  <c r="D27" i="38"/>
  <c r="J27" i="38"/>
  <c r="A27" i="38" s="1"/>
  <c r="B302" i="28"/>
  <c r="AM302" i="28" s="1" a="1"/>
  <c r="AM302" i="28" s="1"/>
  <c r="H302" i="28"/>
  <c r="G302" i="28"/>
  <c r="I302" i="28"/>
  <c r="F302" i="28"/>
  <c r="D302" i="28"/>
  <c r="B29" i="35"/>
  <c r="AS30" i="35"/>
  <c r="C30" i="35" s="1"/>
  <c r="AT31" i="35" s="1"/>
  <c r="I28" i="34"/>
  <c r="E27" i="34"/>
  <c r="A27" i="34"/>
  <c r="E302" i="28"/>
  <c r="D26" i="34"/>
  <c r="B26" i="34"/>
  <c r="I301" i="28"/>
  <c r="D301" i="28"/>
  <c r="H301" i="28"/>
  <c r="B301" i="28"/>
  <c r="G301" i="28"/>
  <c r="E301" i="28"/>
  <c r="F301" i="28"/>
  <c r="C303" i="28"/>
  <c r="AS303" i="28"/>
  <c r="AR304" i="28"/>
  <c r="N32" i="39"/>
  <c r="D32" i="39" s="1"/>
  <c r="A32" i="39" s="1"/>
  <c r="L33" i="39"/>
  <c r="O33" i="39"/>
  <c r="L28" i="36"/>
  <c r="C28" i="36" s="1"/>
  <c r="A28" i="36" s="1"/>
  <c r="A27" i="27"/>
  <c r="D27" i="27" s="1"/>
  <c r="I28" i="27"/>
  <c r="C25" i="37"/>
  <c r="A25" i="37" s="1"/>
  <c r="D25" i="37" s="1"/>
  <c r="J29" i="35"/>
  <c r="AM54" i="9" l="1"/>
  <c r="AA54" i="9"/>
  <c r="O54" i="9"/>
  <c r="AK54" i="9"/>
  <c r="Y54" i="9"/>
  <c r="AJ54" i="9"/>
  <c r="X54" i="9"/>
  <c r="L54" i="9"/>
  <c r="AH54" i="9"/>
  <c r="V54" i="9"/>
  <c r="AG54" i="9"/>
  <c r="U54" i="9"/>
  <c r="AF54" i="9"/>
  <c r="T54" i="9"/>
  <c r="AE54" i="9"/>
  <c r="S54" i="9"/>
  <c r="P54" i="9"/>
  <c r="W54" i="9"/>
  <c r="Q54" i="9"/>
  <c r="N54" i="9"/>
  <c r="AO54" i="9"/>
  <c r="AL54" i="9"/>
  <c r="Z54" i="9"/>
  <c r="AD54" i="9"/>
  <c r="AI54" i="9"/>
  <c r="AC54" i="9"/>
  <c r="K54" i="9"/>
  <c r="L302" i="28" a="1"/>
  <c r="L302" i="28" s="1"/>
  <c r="AO302" i="28" a="1"/>
  <c r="AO302" i="28" s="1"/>
  <c r="U302" i="28" a="1"/>
  <c r="U302" i="28" s="1"/>
  <c r="AG302" i="28" a="1"/>
  <c r="AG302" i="28" s="1"/>
  <c r="AD302" i="28" a="1"/>
  <c r="AD302" i="28" s="1"/>
  <c r="AA302" i="28" a="1"/>
  <c r="AA302" i="28" s="1"/>
  <c r="Y302" i="28" a="1"/>
  <c r="Y302" i="28" s="1"/>
  <c r="AI302" i="28" a="1"/>
  <c r="AI302" i="28" s="1"/>
  <c r="O302" i="28" a="1"/>
  <c r="O302" i="28" s="1"/>
  <c r="S302" i="28" a="1"/>
  <c r="S302" i="28" s="1"/>
  <c r="AC302" i="28" a="1"/>
  <c r="AC302" i="28" s="1"/>
  <c r="AH302" i="28" a="1"/>
  <c r="AH302" i="28" s="1"/>
  <c r="AE302" i="28" a="1"/>
  <c r="AE302" i="28" s="1"/>
  <c r="W302" i="28" a="1"/>
  <c r="W302" i="28" s="1"/>
  <c r="P302" i="28" a="1"/>
  <c r="P302" i="28" s="1"/>
  <c r="M302" i="28" a="1"/>
  <c r="M302" i="28" s="1"/>
  <c r="Q302" i="28" a="1"/>
  <c r="Q302" i="28" s="1"/>
  <c r="AL302" i="28" a="1"/>
  <c r="AL302" i="28" s="1"/>
  <c r="AK302" i="28" a="1"/>
  <c r="AK302" i="28" s="1"/>
  <c r="K302" i="28" a="1"/>
  <c r="K302" i="28" s="1"/>
  <c r="AF302" i="28" a="1"/>
  <c r="AF302" i="28" s="1"/>
  <c r="AP302" i="28" a="1"/>
  <c r="AP302" i="28" s="1"/>
  <c r="AB302" i="28" a="1"/>
  <c r="AB302" i="28" s="1"/>
  <c r="Z302" i="28" a="1"/>
  <c r="Z302" i="28" s="1"/>
  <c r="W301" i="28" a="1"/>
  <c r="W301" i="28" s="1"/>
  <c r="AK301" i="28" a="1"/>
  <c r="AK301" i="28" s="1"/>
  <c r="AC301" i="28" a="1"/>
  <c r="AC301" i="28" s="1"/>
  <c r="N301" i="28" a="1"/>
  <c r="N301" i="28" s="1"/>
  <c r="M301" i="28" a="1"/>
  <c r="M301" i="28" s="1"/>
  <c r="AA301" i="28" a="1"/>
  <c r="AA301" i="28" s="1"/>
  <c r="AI301" i="28" a="1"/>
  <c r="AI301" i="28" s="1"/>
  <c r="T301" i="28" a="1"/>
  <c r="T301" i="28" s="1"/>
  <c r="AN301" i="28" a="1"/>
  <c r="AN301" i="28" s="1"/>
  <c r="AP301" i="28" a="1"/>
  <c r="AP301" i="28" s="1"/>
  <c r="AM301" i="28" a="1"/>
  <c r="AM301" i="28" s="1"/>
  <c r="P301" i="28" a="1"/>
  <c r="P301" i="28" s="1"/>
  <c r="AO301" i="28" a="1"/>
  <c r="AO301" i="28" s="1"/>
  <c r="Z301" i="28" a="1"/>
  <c r="Z301" i="28" s="1"/>
  <c r="V301" i="28" a="1"/>
  <c r="V301" i="28" s="1"/>
  <c r="L301" i="28" a="1"/>
  <c r="L301" i="28" s="1"/>
  <c r="AF301" i="28" a="1"/>
  <c r="AF301" i="28" s="1"/>
  <c r="R301" i="28" a="1"/>
  <c r="R301" i="28" s="1"/>
  <c r="AB301" i="28" a="1"/>
  <c r="AB301" i="28" s="1"/>
  <c r="AD301" i="28" a="1"/>
  <c r="AD301" i="28" s="1"/>
  <c r="AL301" i="28" a="1"/>
  <c r="AL301" i="28" s="1"/>
  <c r="AH301" i="28" a="1"/>
  <c r="AH301" i="28" s="1"/>
  <c r="X301" i="28" a="1"/>
  <c r="X301" i="28" s="1"/>
  <c r="AG301" i="28" a="1"/>
  <c r="AG301" i="28" s="1"/>
  <c r="AJ301" i="28" a="1"/>
  <c r="AJ301" i="28" s="1"/>
  <c r="S301" i="28" a="1"/>
  <c r="S301" i="28" s="1"/>
  <c r="O301" i="28" a="1"/>
  <c r="O301" i="28" s="1"/>
  <c r="Q301" i="28" a="1"/>
  <c r="Q301" i="28" s="1"/>
  <c r="K301" i="28" a="1"/>
  <c r="K301" i="28" s="1"/>
  <c r="Y301" i="28" a="1"/>
  <c r="Y301" i="28" s="1"/>
  <c r="U301" i="28" a="1"/>
  <c r="U301" i="28" s="1"/>
  <c r="AE301" i="28" a="1"/>
  <c r="AE301" i="28" s="1"/>
  <c r="X302" i="28" a="1"/>
  <c r="X302" i="28" s="1"/>
  <c r="AN302" i="28" a="1"/>
  <c r="AN302" i="28" s="1"/>
  <c r="T302" i="28" a="1"/>
  <c r="T302" i="28" s="1"/>
  <c r="R302" i="28" a="1"/>
  <c r="R302" i="28" s="1"/>
  <c r="V302" i="28" a="1"/>
  <c r="V302" i="28" s="1"/>
  <c r="N302" i="28" a="1"/>
  <c r="N302" i="28" s="1"/>
  <c r="AJ302" i="28" a="1"/>
  <c r="AJ302" i="28" s="1"/>
  <c r="AU303" i="28"/>
  <c r="J303" i="28" s="1"/>
  <c r="L27" i="27"/>
  <c r="F27" i="27" s="1"/>
  <c r="L27" i="34"/>
  <c r="F27" i="34" s="1"/>
  <c r="AU163" i="28"/>
  <c r="J163" i="28" s="1"/>
  <c r="E163" i="28"/>
  <c r="F29" i="35"/>
  <c r="D210" i="29"/>
  <c r="H35" i="10"/>
  <c r="D162" i="28"/>
  <c r="F210" i="29"/>
  <c r="L211" i="29"/>
  <c r="B210" i="29"/>
  <c r="G210" i="29" s="1"/>
  <c r="H210" i="29"/>
  <c r="E210" i="29"/>
  <c r="K212" i="29"/>
  <c r="C211" i="29"/>
  <c r="N211" i="29" s="1"/>
  <c r="AQ41" i="66"/>
  <c r="X10" i="66"/>
  <c r="Y10" i="66"/>
  <c r="W10" i="66"/>
  <c r="BB68" i="63"/>
  <c r="F68" i="63" s="1"/>
  <c r="D67" i="63"/>
  <c r="BA68" i="63"/>
  <c r="AV29" i="38"/>
  <c r="AS29" i="38"/>
  <c r="AT29" i="38" s="1"/>
  <c r="C29" i="38" s="1"/>
  <c r="I163" i="28"/>
  <c r="G163" i="28"/>
  <c r="H163" i="28"/>
  <c r="F163" i="28"/>
  <c r="B163" i="28"/>
  <c r="B162" i="28"/>
  <c r="I162" i="28"/>
  <c r="F162" i="28"/>
  <c r="H162" i="28"/>
  <c r="G162" i="28"/>
  <c r="E162" i="28"/>
  <c r="C164" i="28"/>
  <c r="AR165" i="28"/>
  <c r="E54" i="9"/>
  <c r="H54" i="9"/>
  <c r="B55" i="9"/>
  <c r="G55" i="9" s="1"/>
  <c r="C55" i="9"/>
  <c r="I36" i="10"/>
  <c r="L36" i="10"/>
  <c r="F36" i="10"/>
  <c r="A56" i="9"/>
  <c r="AR57" i="9"/>
  <c r="AS57" i="9" s="1"/>
  <c r="G35" i="10"/>
  <c r="I54" i="9"/>
  <c r="F54" i="9"/>
  <c r="D35" i="10"/>
  <c r="G54" i="9"/>
  <c r="E35" i="10"/>
  <c r="D54" i="9"/>
  <c r="D29" i="35"/>
  <c r="I29" i="35"/>
  <c r="E29" i="35"/>
  <c r="AR31" i="35"/>
  <c r="D27" i="34"/>
  <c r="B27" i="34"/>
  <c r="C304" i="28"/>
  <c r="AR305" i="28"/>
  <c r="F303" i="28"/>
  <c r="I303" i="28"/>
  <c r="H303" i="28"/>
  <c r="G303" i="28"/>
  <c r="B303" i="28"/>
  <c r="L303" i="28" s="1" a="1"/>
  <c r="L303" i="28" s="1"/>
  <c r="AS304" i="28"/>
  <c r="E303" i="28"/>
  <c r="H29" i="35"/>
  <c r="J28" i="34"/>
  <c r="C28" i="34" s="1"/>
  <c r="A30" i="35"/>
  <c r="G29" i="35"/>
  <c r="M29" i="36"/>
  <c r="H28" i="36"/>
  <c r="F28" i="36"/>
  <c r="G28" i="36"/>
  <c r="B28" i="36"/>
  <c r="I28" i="36" s="1"/>
  <c r="J28" i="38"/>
  <c r="A28" i="38" s="1"/>
  <c r="J28" i="27"/>
  <c r="H26" i="37"/>
  <c r="M33" i="39"/>
  <c r="C33" i="39" s="1"/>
  <c r="AE55" i="9" l="1"/>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3" i="28" a="1"/>
  <c r="AB303" i="28" s="1"/>
  <c r="Y303" i="28" a="1"/>
  <c r="Y303" i="28" s="1"/>
  <c r="AE303" i="28" a="1"/>
  <c r="AE303" i="28" s="1"/>
  <c r="AM303" i="28" a="1"/>
  <c r="AM303" i="28" s="1"/>
  <c r="M303" i="28" a="1"/>
  <c r="M303" i="28" s="1"/>
  <c r="K303" i="28" a="1"/>
  <c r="K303" i="28" s="1"/>
  <c r="AG303" i="28" a="1"/>
  <c r="AG303" i="28" s="1"/>
  <c r="AF303" i="28" a="1"/>
  <c r="AF303" i="28" s="1"/>
  <c r="AN303" i="28" a="1"/>
  <c r="AN303" i="28" s="1"/>
  <c r="S303" i="28" a="1"/>
  <c r="S303" i="28" s="1"/>
  <c r="AC303" i="28" a="1"/>
  <c r="AC303" i="28" s="1"/>
  <c r="AA303" i="28" a="1"/>
  <c r="AA303" i="28" s="1"/>
  <c r="N303" i="28" a="1"/>
  <c r="N303" i="28" s="1"/>
  <c r="W303" i="28" a="1"/>
  <c r="W303" i="28" s="1"/>
  <c r="U303" i="28" a="1"/>
  <c r="U303" i="28" s="1"/>
  <c r="AP303" i="28" a="1"/>
  <c r="AP303" i="28" s="1"/>
  <c r="P303" i="28" a="1"/>
  <c r="P303" i="28" s="1"/>
  <c r="AI303" i="28" a="1"/>
  <c r="AI303" i="28" s="1"/>
  <c r="O303" i="28" a="1"/>
  <c r="O303" i="28" s="1"/>
  <c r="AJ303" i="28" a="1"/>
  <c r="AJ303" i="28" s="1"/>
  <c r="Q303" i="28" a="1"/>
  <c r="Q303" i="28" s="1"/>
  <c r="AL303" i="28" a="1"/>
  <c r="AL303" i="28" s="1"/>
  <c r="AD303" i="28" a="1"/>
  <c r="AD303" i="28" s="1"/>
  <c r="AO303" i="28" a="1"/>
  <c r="AO303" i="28" s="1"/>
  <c r="T303" i="28" a="1"/>
  <c r="T303" i="28" s="1"/>
  <c r="X303" i="28" a="1"/>
  <c r="X303" i="28" s="1"/>
  <c r="AH303" i="28" a="1"/>
  <c r="AH303" i="28" s="1"/>
  <c r="Z303" i="28" a="1"/>
  <c r="Z303" i="28" s="1"/>
  <c r="R303" i="28" a="1"/>
  <c r="R303" i="28" s="1"/>
  <c r="V303" i="28" a="1"/>
  <c r="V303" i="28" s="1"/>
  <c r="AK303" i="28" a="1"/>
  <c r="AK303" i="28" s="1"/>
  <c r="D303" i="28"/>
  <c r="V304" i="28" a="1"/>
  <c r="V304" i="28" s="1"/>
  <c r="L304" i="28" a="1"/>
  <c r="L304" i="28" s="1"/>
  <c r="M28" i="34"/>
  <c r="N28" i="34"/>
  <c r="AU304" i="28"/>
  <c r="J304" i="28" s="1"/>
  <c r="E304" i="28"/>
  <c r="AU164" i="28"/>
  <c r="J164" i="28" s="1"/>
  <c r="E164" i="28"/>
  <c r="D211" i="29"/>
  <c r="K213" i="29"/>
  <c r="C212" i="29"/>
  <c r="N212" i="29" s="1"/>
  <c r="D212" i="29" s="1"/>
  <c r="E211" i="29"/>
  <c r="F211" i="29"/>
  <c r="H211" i="29"/>
  <c r="L212" i="29"/>
  <c r="B211" i="29"/>
  <c r="G211" i="29" s="1"/>
  <c r="D68" i="63"/>
  <c r="BB69" i="63"/>
  <c r="F69" i="63" s="1"/>
  <c r="BA69" i="63"/>
  <c r="X9" i="66"/>
  <c r="Y9" i="66"/>
  <c r="W9" i="66"/>
  <c r="H164" i="28"/>
  <c r="G164" i="28"/>
  <c r="F164" i="28"/>
  <c r="I164" i="28"/>
  <c r="B164" i="28"/>
  <c r="AR167" i="28"/>
  <c r="AR166" i="28"/>
  <c r="C166" i="28" s="1"/>
  <c r="AU166" i="28" s="1"/>
  <c r="C165" i="28"/>
  <c r="AU165" i="28" s="1"/>
  <c r="H55" i="9"/>
  <c r="F55" i="9"/>
  <c r="E55" i="9"/>
  <c r="D55" i="9"/>
  <c r="B56" i="9"/>
  <c r="E56" i="9" s="1"/>
  <c r="C56" i="9"/>
  <c r="A36" i="10"/>
  <c r="K37" i="10"/>
  <c r="C36" i="10"/>
  <c r="B36" i="10" s="1"/>
  <c r="AR58" i="9"/>
  <c r="AS58" i="9" s="1"/>
  <c r="A57" i="9"/>
  <c r="I55" i="9"/>
  <c r="B30" i="35"/>
  <c r="AR306" i="28"/>
  <c r="C305" i="28"/>
  <c r="H304" i="28"/>
  <c r="G304" i="28"/>
  <c r="F304" i="28"/>
  <c r="I304" i="28"/>
  <c r="B304" i="28"/>
  <c r="AP304" i="28" s="1" a="1"/>
  <c r="AP304" i="28" s="1"/>
  <c r="AS305" i="28"/>
  <c r="E28" i="34"/>
  <c r="A28" i="34"/>
  <c r="I29" i="34"/>
  <c r="J29" i="34" s="1"/>
  <c r="AS31" i="35"/>
  <c r="C31" i="35" s="1"/>
  <c r="D28" i="36"/>
  <c r="E28" i="36"/>
  <c r="N33" i="39"/>
  <c r="D33" i="39" s="1"/>
  <c r="A33" i="39" s="1"/>
  <c r="L34" i="39"/>
  <c r="O34" i="39"/>
  <c r="C28" i="27"/>
  <c r="K29" i="36"/>
  <c r="E29" i="38"/>
  <c r="I26" i="37"/>
  <c r="C26" i="37" s="1"/>
  <c r="A26" i="37" s="1"/>
  <c r="D26" i="37" s="1"/>
  <c r="J30" i="35"/>
  <c r="AI56" i="9" l="1"/>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4" i="28" a="1"/>
  <c r="AO304" i="28" s="1"/>
  <c r="P304" i="28" a="1"/>
  <c r="P304" i="28" s="1"/>
  <c r="T304" i="28" a="1"/>
  <c r="T304" i="28" s="1"/>
  <c r="AF304" i="28" a="1"/>
  <c r="AF304" i="28" s="1"/>
  <c r="AM304" i="28" a="1"/>
  <c r="AM304" i="28" s="1"/>
  <c r="AN304" i="28" a="1"/>
  <c r="AN304" i="28" s="1"/>
  <c r="U304" i="28" a="1"/>
  <c r="U304" i="28" s="1"/>
  <c r="X304" i="28" a="1"/>
  <c r="X304" i="28" s="1"/>
  <c r="AH304" i="28" a="1"/>
  <c r="AH304" i="28" s="1"/>
  <c r="AL304" i="28" a="1"/>
  <c r="AL304" i="28" s="1"/>
  <c r="AJ304" i="28" a="1"/>
  <c r="AJ304" i="28" s="1"/>
  <c r="AB304" i="28" a="1"/>
  <c r="AB304" i="28" s="1"/>
  <c r="Z304" i="28" a="1"/>
  <c r="Z304" i="28" s="1"/>
  <c r="AI304" i="28" a="1"/>
  <c r="AI304" i="28" s="1"/>
  <c r="N304" i="28" a="1"/>
  <c r="N304" i="28" s="1"/>
  <c r="W304" i="28" a="1"/>
  <c r="W304" i="28" s="1"/>
  <c r="AK304" i="28" a="1"/>
  <c r="AK304" i="28" s="1"/>
  <c r="Q304" i="28" a="1"/>
  <c r="Q304" i="28" s="1"/>
  <c r="AE304" i="28" a="1"/>
  <c r="AE304" i="28" s="1"/>
  <c r="K304" i="28" a="1"/>
  <c r="K304" i="28" s="1"/>
  <c r="AG304" i="28" a="1"/>
  <c r="AG304" i="28" s="1"/>
  <c r="Y304" i="28" a="1"/>
  <c r="Y304" i="28" s="1"/>
  <c r="AD304" i="28" a="1"/>
  <c r="AD304" i="28" s="1"/>
  <c r="O304" i="28" a="1"/>
  <c r="O304" i="28" s="1"/>
  <c r="S304" i="28" a="1"/>
  <c r="S304" i="28" s="1"/>
  <c r="R304" i="28" a="1"/>
  <c r="R304" i="28" s="1"/>
  <c r="AA304" i="28" a="1"/>
  <c r="AA304" i="28" s="1"/>
  <c r="M304" i="28" a="1"/>
  <c r="M304" i="28" s="1"/>
  <c r="AC304" i="28" a="1"/>
  <c r="AC304" i="28" s="1"/>
  <c r="M28" i="27"/>
  <c r="N28" i="27"/>
  <c r="O28" i="27"/>
  <c r="P28" i="27"/>
  <c r="I29" i="27"/>
  <c r="J29" i="27" s="1"/>
  <c r="L28" i="34"/>
  <c r="F28" i="34" s="1"/>
  <c r="AU305" i="28"/>
  <c r="J305" i="28" s="1"/>
  <c r="E305" i="28"/>
  <c r="E30" i="35"/>
  <c r="H212" i="29"/>
  <c r="E212" i="29"/>
  <c r="B212" i="29"/>
  <c r="G212" i="29" s="1"/>
  <c r="L213" i="29"/>
  <c r="F212" i="29"/>
  <c r="K214" i="29"/>
  <c r="C213" i="29"/>
  <c r="N213" i="29" s="1"/>
  <c r="D69" i="63"/>
  <c r="BB70" i="63"/>
  <c r="F70" i="63" s="1"/>
  <c r="BA70" i="63"/>
  <c r="AR169" i="28"/>
  <c r="C167" i="28"/>
  <c r="AU167" i="28" s="1"/>
  <c r="I165" i="28"/>
  <c r="H165" i="28"/>
  <c r="F165" i="28"/>
  <c r="E165" i="28"/>
  <c r="B165" i="28"/>
  <c r="D165" i="28"/>
  <c r="G165"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5" i="28"/>
  <c r="H305" i="28"/>
  <c r="G305" i="28"/>
  <c r="AS306" i="28"/>
  <c r="F305" i="28"/>
  <c r="B305" i="28"/>
  <c r="N305" i="28" s="1" a="1"/>
  <c r="N305" i="28" s="1"/>
  <c r="AT32" i="35"/>
  <c r="AR32" i="35" s="1"/>
  <c r="C306" i="28"/>
  <c r="AR307" i="28"/>
  <c r="AU29" i="38"/>
  <c r="D29" i="38" s="1"/>
  <c r="AS30" i="38"/>
  <c r="AV30" i="38"/>
  <c r="L29" i="36"/>
  <c r="C29" i="36" s="1"/>
  <c r="A29" i="36" s="1"/>
  <c r="A28" i="27"/>
  <c r="D28" i="27" s="1"/>
  <c r="H27" i="37"/>
  <c r="M34" i="39"/>
  <c r="C34" i="39" s="1"/>
  <c r="AM57" i="9" l="1"/>
  <c r="AA57" i="9"/>
  <c r="O57" i="9"/>
  <c r="AK57" i="9"/>
  <c r="Y57" i="9"/>
  <c r="AJ57" i="9"/>
  <c r="X57" i="9"/>
  <c r="L57" i="9"/>
  <c r="AH57" i="9"/>
  <c r="V57" i="9"/>
  <c r="AG57" i="9"/>
  <c r="U57" i="9"/>
  <c r="AF57" i="9"/>
  <c r="T57" i="9"/>
  <c r="AE57" i="9"/>
  <c r="S57" i="9"/>
  <c r="P57" i="9"/>
  <c r="AI57" i="9"/>
  <c r="AC57" i="9"/>
  <c r="AD57" i="9"/>
  <c r="Z57" i="9"/>
  <c r="Q57" i="9"/>
  <c r="N57" i="9"/>
  <c r="AL57" i="9"/>
  <c r="W57" i="9"/>
  <c r="K57" i="9"/>
  <c r="AO57" i="9"/>
  <c r="R305" i="28" a="1"/>
  <c r="R305" i="28" s="1"/>
  <c r="AO305" i="28" a="1"/>
  <c r="AO305" i="28" s="1"/>
  <c r="AI305" i="28" a="1"/>
  <c r="AI305" i="28" s="1"/>
  <c r="AM305" i="28" a="1"/>
  <c r="AM305" i="28" s="1"/>
  <c r="AA305" i="28" a="1"/>
  <c r="AA305" i="28" s="1"/>
  <c r="U305" i="28" a="1"/>
  <c r="U305" i="28" s="1"/>
  <c r="O305" i="28" a="1"/>
  <c r="O305" i="28" s="1"/>
  <c r="S305" i="28" a="1"/>
  <c r="S305" i="28" s="1"/>
  <c r="AD305" i="28" a="1"/>
  <c r="AD305" i="28" s="1"/>
  <c r="L305" i="28" a="1"/>
  <c r="L305" i="28" s="1"/>
  <c r="AG305" i="28" a="1"/>
  <c r="AG305" i="28" s="1"/>
  <c r="AK305" i="28" a="1"/>
  <c r="AK305" i="28" s="1"/>
  <c r="AC305" i="28" a="1"/>
  <c r="AC305" i="28" s="1"/>
  <c r="AB305" i="28" a="1"/>
  <c r="AB305" i="28" s="1"/>
  <c r="AE305" i="28" a="1"/>
  <c r="AE305" i="28" s="1"/>
  <c r="W305" i="28" a="1"/>
  <c r="W305" i="28" s="1"/>
  <c r="P305" i="28" a="1"/>
  <c r="P305" i="28" s="1"/>
  <c r="Y305" i="28" a="1"/>
  <c r="Y305" i="28" s="1"/>
  <c r="Q305" i="28" a="1"/>
  <c r="Q305" i="28" s="1"/>
  <c r="AL305" i="28" a="1"/>
  <c r="AL305" i="28" s="1"/>
  <c r="M305" i="28" a="1"/>
  <c r="M305" i="28" s="1"/>
  <c r="K305" i="28" a="1"/>
  <c r="K305" i="28" s="1"/>
  <c r="AF305" i="28" a="1"/>
  <c r="AF305" i="28" s="1"/>
  <c r="AJ305" i="28" a="1"/>
  <c r="AJ305" i="28" s="1"/>
  <c r="AH305" i="28" a="1"/>
  <c r="AH305" i="28" s="1"/>
  <c r="Z305" i="28" a="1"/>
  <c r="Z305" i="28" s="1"/>
  <c r="X305" i="28" a="1"/>
  <c r="X305" i="28" s="1"/>
  <c r="AN305" i="28" a="1"/>
  <c r="AN305" i="28" s="1"/>
  <c r="T305" i="28" a="1"/>
  <c r="T305" i="28" s="1"/>
  <c r="AP305" i="28" a="1"/>
  <c r="AP305" i="28" s="1"/>
  <c r="V305" i="28" a="1"/>
  <c r="V305" i="28" s="1"/>
  <c r="AU306" i="28"/>
  <c r="J306" i="28" s="1"/>
  <c r="L28" i="27"/>
  <c r="F28" i="27" s="1"/>
  <c r="M29" i="34"/>
  <c r="N29" i="34"/>
  <c r="D213" i="29"/>
  <c r="A37" i="10"/>
  <c r="K215" i="29"/>
  <c r="C214" i="29"/>
  <c r="N214" i="29" s="1"/>
  <c r="H213" i="29"/>
  <c r="E213" i="29"/>
  <c r="L214" i="29"/>
  <c r="F213" i="29"/>
  <c r="B213" i="29"/>
  <c r="G213" i="29" s="1"/>
  <c r="BA71" i="63"/>
  <c r="D70" i="63"/>
  <c r="BB71" i="63"/>
  <c r="F71" i="63" s="1"/>
  <c r="D166" i="28"/>
  <c r="H166" i="28"/>
  <c r="G166" i="28"/>
  <c r="E166" i="28"/>
  <c r="I166" i="28"/>
  <c r="J167" i="28"/>
  <c r="F166" i="28"/>
  <c r="B166" i="28"/>
  <c r="AR170" i="28"/>
  <c r="C169" i="28"/>
  <c r="AU169"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6" i="28"/>
  <c r="R306" i="28" s="1" a="1"/>
  <c r="R306" i="28" s="1"/>
  <c r="AS307" i="28"/>
  <c r="G306" i="28"/>
  <c r="D306" i="28"/>
  <c r="I306" i="28"/>
  <c r="F306" i="28"/>
  <c r="E306" i="28"/>
  <c r="H306" i="28"/>
  <c r="B31" i="35"/>
  <c r="C307" i="28"/>
  <c r="AR308" i="28"/>
  <c r="AR310" i="28" s="1"/>
  <c r="C310" i="28" s="1"/>
  <c r="N34" i="39"/>
  <c r="D34" i="39" s="1"/>
  <c r="A34" i="39" s="1"/>
  <c r="O35" i="39"/>
  <c r="L35" i="39"/>
  <c r="M30" i="36"/>
  <c r="G29" i="36"/>
  <c r="B29" i="36"/>
  <c r="I29" i="36" s="1"/>
  <c r="H29" i="36"/>
  <c r="F29" i="36"/>
  <c r="AT30" i="38"/>
  <c r="E30" i="38" s="1"/>
  <c r="I27" i="37"/>
  <c r="C27" i="37" s="1"/>
  <c r="A27" i="37" s="1"/>
  <c r="D27" i="37" s="1"/>
  <c r="J29" i="38"/>
  <c r="A29" i="38"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6" i="28" a="1"/>
  <c r="AE306" i="28" s="1"/>
  <c r="AB306" i="28" a="1"/>
  <c r="AB306" i="28" s="1"/>
  <c r="S306" i="28" a="1"/>
  <c r="S306" i="28" s="1"/>
  <c r="P306" i="28" a="1"/>
  <c r="P306" i="28" s="1"/>
  <c r="N306" i="28" a="1"/>
  <c r="N306" i="28" s="1"/>
  <c r="AF306" i="28" a="1"/>
  <c r="AF306" i="28" s="1"/>
  <c r="AM306" i="28" a="1"/>
  <c r="AM306" i="28" s="1"/>
  <c r="AK306" i="28" a="1"/>
  <c r="AK306" i="28" s="1"/>
  <c r="AH306" i="28" a="1"/>
  <c r="AH306" i="28" s="1"/>
  <c r="W306" i="28" a="1"/>
  <c r="W306" i="28" s="1"/>
  <c r="AG306" i="28" a="1"/>
  <c r="AG306" i="28" s="1"/>
  <c r="Y306" i="28" a="1"/>
  <c r="Y306" i="28" s="1"/>
  <c r="AN306" i="28" a="1"/>
  <c r="AN306" i="28" s="1"/>
  <c r="AO306" i="28" a="1"/>
  <c r="AO306" i="28" s="1"/>
  <c r="AA306" i="28" a="1"/>
  <c r="AA306" i="28" s="1"/>
  <c r="M306" i="28" a="1"/>
  <c r="M306" i="28" s="1"/>
  <c r="AI306" i="28" a="1"/>
  <c r="AI306" i="28" s="1"/>
  <c r="U306" i="28" a="1"/>
  <c r="U306" i="28" s="1"/>
  <c r="AP306" i="28" a="1"/>
  <c r="AP306" i="28" s="1"/>
  <c r="AC306" i="28" a="1"/>
  <c r="AC306" i="28" s="1"/>
  <c r="O306" i="28" a="1"/>
  <c r="O306" i="28" s="1"/>
  <c r="AJ306" i="28" a="1"/>
  <c r="AJ306" i="28" s="1"/>
  <c r="K306" i="28" a="1"/>
  <c r="K306" i="28" s="1"/>
  <c r="AL306" i="28" a="1"/>
  <c r="AL306" i="28" s="1"/>
  <c r="AD306" i="28" a="1"/>
  <c r="AD306" i="28" s="1"/>
  <c r="L306" i="28" a="1"/>
  <c r="L306" i="28" s="1"/>
  <c r="M310" i="28" a="1"/>
  <c r="M310" i="28" s="1"/>
  <c r="S310" i="28" a="1"/>
  <c r="S310" i="28" s="1"/>
  <c r="Q310" i="28" a="1"/>
  <c r="Q310" i="28" s="1"/>
  <c r="AB310" i="28" a="1"/>
  <c r="AB310" i="28" s="1"/>
  <c r="AE310" i="28" a="1"/>
  <c r="AE310" i="28" s="1"/>
  <c r="O310" i="28" a="1"/>
  <c r="O310" i="28" s="1"/>
  <c r="AH310" i="28" a="1"/>
  <c r="AH310" i="28" s="1"/>
  <c r="AK310" i="28" a="1"/>
  <c r="AK310" i="28" s="1"/>
  <c r="Y310" i="28" a="1"/>
  <c r="Y310" i="28" s="1"/>
  <c r="AO310" i="28" a="1"/>
  <c r="AO310" i="28" s="1"/>
  <c r="AN310" i="28" a="1"/>
  <c r="AN310" i="28" s="1"/>
  <c r="AM310" i="28" a="1"/>
  <c r="AM310" i="28" s="1"/>
  <c r="AP310" i="28" a="1"/>
  <c r="AP310" i="28" s="1"/>
  <c r="X310" i="28" a="1"/>
  <c r="X310" i="28" s="1"/>
  <c r="AG310" i="28" a="1"/>
  <c r="AG310" i="28" s="1"/>
  <c r="AC310" i="28" a="1"/>
  <c r="AC310" i="28" s="1"/>
  <c r="K310" i="28" a="1"/>
  <c r="K310" i="28" s="1"/>
  <c r="AU310" i="28"/>
  <c r="J310" i="28" s="1"/>
  <c r="AJ310" i="28" a="1"/>
  <c r="AJ310" i="28" s="1"/>
  <c r="R310" i="28" a="1"/>
  <c r="R310" i="28" s="1"/>
  <c r="N310" i="28" a="1"/>
  <c r="N310" i="28" s="1"/>
  <c r="AA310" i="28" a="1"/>
  <c r="AA310" i="28" s="1"/>
  <c r="U310" i="28" a="1"/>
  <c r="U310" i="28" s="1"/>
  <c r="Z310" i="28" a="1"/>
  <c r="Z310" i="28" s="1"/>
  <c r="W310" i="28" a="1"/>
  <c r="W310" i="28" s="1"/>
  <c r="T310" i="28" a="1"/>
  <c r="T310" i="28" s="1"/>
  <c r="L310" i="28" a="1"/>
  <c r="L310" i="28" s="1"/>
  <c r="AL310" i="28" a="1"/>
  <c r="AL310" i="28" s="1"/>
  <c r="AF310" i="28" a="1"/>
  <c r="AF310" i="28" s="1"/>
  <c r="P310" i="28" a="1"/>
  <c r="P310" i="28" s="1"/>
  <c r="AI310" i="28" a="1"/>
  <c r="AI310" i="28" s="1"/>
  <c r="AD310" i="28" a="1"/>
  <c r="AD310" i="28" s="1"/>
  <c r="V310" i="28" a="1"/>
  <c r="V310" i="28" s="1"/>
  <c r="Q306" i="28" a="1"/>
  <c r="Q306" i="28" s="1"/>
  <c r="T306" i="28" a="1"/>
  <c r="T306" i="28" s="1"/>
  <c r="X306" i="28" a="1"/>
  <c r="X306" i="28" s="1"/>
  <c r="V306" i="28" a="1"/>
  <c r="V306" i="28" s="1"/>
  <c r="Z306" i="28" a="1"/>
  <c r="Z306" i="28" s="1"/>
  <c r="AU307" i="28"/>
  <c r="J307" i="28" s="1"/>
  <c r="AM307" i="28" a="1"/>
  <c r="AM307" i="28" s="1"/>
  <c r="AR311" i="28"/>
  <c r="M29" i="27"/>
  <c r="N29" i="27"/>
  <c r="O29" i="27"/>
  <c r="P29" i="27"/>
  <c r="I30" i="27"/>
  <c r="J30" i="27" s="1"/>
  <c r="C30" i="27" s="1"/>
  <c r="L29" i="34"/>
  <c r="F29" i="34" s="1"/>
  <c r="F31" i="35"/>
  <c r="C308" i="28"/>
  <c r="G37" i="10"/>
  <c r="E214" i="29"/>
  <c r="H214" i="29"/>
  <c r="F214" i="29"/>
  <c r="L215" i="29"/>
  <c r="D214" i="29"/>
  <c r="B214" i="29"/>
  <c r="G214" i="29" s="1"/>
  <c r="K216" i="29"/>
  <c r="C215" i="29"/>
  <c r="N215" i="29" s="1"/>
  <c r="BA72" i="63"/>
  <c r="D71" i="63"/>
  <c r="BB72" i="63"/>
  <c r="F72" i="63" s="1"/>
  <c r="D167" i="28"/>
  <c r="I167" i="28"/>
  <c r="H167" i="28"/>
  <c r="G167" i="28"/>
  <c r="B167" i="28"/>
  <c r="E167" i="28"/>
  <c r="F167" i="28"/>
  <c r="AS170" i="28"/>
  <c r="AR171" i="28"/>
  <c r="C170" i="28"/>
  <c r="AU170"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7" i="28"/>
  <c r="B307" i="28"/>
  <c r="AO307" i="28" s="1" a="1"/>
  <c r="AO307" i="28" s="1"/>
  <c r="AS308" i="28"/>
  <c r="F307" i="28"/>
  <c r="E307" i="28"/>
  <c r="H307" i="28"/>
  <c r="G307" i="28"/>
  <c r="I307" i="28"/>
  <c r="H31" i="35"/>
  <c r="A32" i="35"/>
  <c r="AU30" i="38"/>
  <c r="D30" i="38" s="1"/>
  <c r="AV31" i="38"/>
  <c r="AS31" i="38"/>
  <c r="A33" i="35"/>
  <c r="K30" i="36"/>
  <c r="AT34" i="35"/>
  <c r="C30" i="38"/>
  <c r="E29" i="36"/>
  <c r="C30" i="34"/>
  <c r="A29" i="27"/>
  <c r="D29" i="27" s="1"/>
  <c r="D29" i="36"/>
  <c r="M35" i="39"/>
  <c r="C35" i="39" s="1"/>
  <c r="H28" i="37"/>
  <c r="AI59" i="9" l="1"/>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7" i="28" a="1"/>
  <c r="AG307" i="28" s="1"/>
  <c r="S307" i="28" a="1"/>
  <c r="S307" i="28" s="1"/>
  <c r="M307" i="28" a="1"/>
  <c r="M307" i="28" s="1"/>
  <c r="AC307" i="28" a="1"/>
  <c r="AC307" i="28" s="1"/>
  <c r="Q307" i="28" a="1"/>
  <c r="Q307" i="28" s="1"/>
  <c r="AN307" i="28" a="1"/>
  <c r="AN307" i="28" s="1"/>
  <c r="U307" i="28" a="1"/>
  <c r="U307" i="28" s="1"/>
  <c r="AJ307" i="28" a="1"/>
  <c r="AJ307" i="28" s="1"/>
  <c r="AH307" i="28" a="1"/>
  <c r="AH307" i="28" s="1"/>
  <c r="AF307" i="28" a="1"/>
  <c r="AF307" i="28" s="1"/>
  <c r="R307" i="28" a="1"/>
  <c r="R307" i="28" s="1"/>
  <c r="AB307" i="28" a="1"/>
  <c r="AB307" i="28" s="1"/>
  <c r="N307" i="28" a="1"/>
  <c r="N307" i="28" s="1"/>
  <c r="V307" i="28" a="1"/>
  <c r="V307" i="28" s="1"/>
  <c r="AI307" i="28" a="1"/>
  <c r="AI307" i="28" s="1"/>
  <c r="Z307" i="28" a="1"/>
  <c r="Z307" i="28" s="1"/>
  <c r="W307" i="28" a="1"/>
  <c r="W307" i="28" s="1"/>
  <c r="P307" i="28" a="1"/>
  <c r="P307" i="28" s="1"/>
  <c r="AL307" i="28" a="1"/>
  <c r="AL307" i="28" s="1"/>
  <c r="K307" i="28" a="1"/>
  <c r="K307" i="28" s="1"/>
  <c r="T307" i="28" a="1"/>
  <c r="T307" i="28" s="1"/>
  <c r="AP307" i="28" a="1"/>
  <c r="AP307" i="28" s="1"/>
  <c r="AK307" i="28" a="1"/>
  <c r="AK307" i="28" s="1"/>
  <c r="AD307" i="28" a="1"/>
  <c r="AD307" i="28" s="1"/>
  <c r="X307" i="28" a="1"/>
  <c r="X307" i="28" s="1"/>
  <c r="AS311" i="28"/>
  <c r="C311" i="28"/>
  <c r="AE307" i="28" a="1"/>
  <c r="AE307" i="28" s="1"/>
  <c r="L307" i="28" a="1"/>
  <c r="L307" i="28" s="1"/>
  <c r="O307" i="28" a="1"/>
  <c r="O307" i="28" s="1"/>
  <c r="AA307" i="28" a="1"/>
  <c r="AA307" i="28" s="1"/>
  <c r="Y307" i="28" a="1"/>
  <c r="Y307" i="28" s="1"/>
  <c r="S308" i="28" a="1"/>
  <c r="S308" i="28" s="1"/>
  <c r="AU308" i="28"/>
  <c r="J308" i="28" s="1"/>
  <c r="AR312"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3" i="28"/>
  <c r="AS171" i="28"/>
  <c r="AR172" i="28"/>
  <c r="C171" i="28"/>
  <c r="AU171" i="28" s="1"/>
  <c r="H170" i="28"/>
  <c r="D170" i="28"/>
  <c r="E170" i="28"/>
  <c r="B170" i="28"/>
  <c r="F170" i="28"/>
  <c r="G170" i="28"/>
  <c r="I170" i="28"/>
  <c r="C60" i="9"/>
  <c r="B60" i="9"/>
  <c r="D60" i="9" s="1"/>
  <c r="C38" i="10"/>
  <c r="B38" i="10" s="1"/>
  <c r="K39" i="10"/>
  <c r="A61" i="9"/>
  <c r="AR62" i="9"/>
  <c r="AS62" i="9" s="1"/>
  <c r="I59" i="9"/>
  <c r="B32" i="35"/>
  <c r="G308" i="28"/>
  <c r="F308" i="28"/>
  <c r="E308" i="28"/>
  <c r="B308" i="28"/>
  <c r="AK308" i="28" s="1" a="1"/>
  <c r="AK308" i="28" s="1"/>
  <c r="I308" i="28"/>
  <c r="D308" i="28"/>
  <c r="H308" i="28"/>
  <c r="N35" i="39"/>
  <c r="D35" i="39" s="1"/>
  <c r="A35" i="39" s="1"/>
  <c r="O36" i="39"/>
  <c r="L36" i="39"/>
  <c r="AR34" i="35"/>
  <c r="B33" i="35"/>
  <c r="AT31" i="38"/>
  <c r="E31" i="38" s="1"/>
  <c r="E30" i="34"/>
  <c r="A30" i="34"/>
  <c r="J30" i="38"/>
  <c r="A30" i="38" s="1"/>
  <c r="L30" i="36"/>
  <c r="C30" i="36" s="1"/>
  <c r="A30" i="36" s="1"/>
  <c r="A30" i="27"/>
  <c r="D30" i="27" s="1"/>
  <c r="I28" i="37"/>
  <c r="C28" i="37" s="1"/>
  <c r="A28" i="37" s="1"/>
  <c r="D28" i="37" s="1"/>
  <c r="I31" i="34"/>
  <c r="I31" i="27"/>
  <c r="J32" i="35"/>
  <c r="J33" i="35"/>
  <c r="AA308" i="28" l="1" a="1"/>
  <c r="AA308" i="28" s="1"/>
  <c r="AE308" i="28" a="1"/>
  <c r="AE308" i="28" s="1"/>
  <c r="M308" i="28" a="1"/>
  <c r="M308" i="28" s="1"/>
  <c r="K308" i="28" a="1"/>
  <c r="K308" i="28" s="1"/>
  <c r="AO308" i="28" a="1"/>
  <c r="AO308" i="28" s="1"/>
  <c r="AI308" i="28" a="1"/>
  <c r="AI308" i="28" s="1"/>
  <c r="AJ308" i="28" a="1"/>
  <c r="AJ308" i="28" s="1"/>
  <c r="AM308" i="28" a="1"/>
  <c r="AM308" i="28" s="1"/>
  <c r="Y308" i="28" a="1"/>
  <c r="Y308" i="28" s="1"/>
  <c r="AC308" i="28" a="1"/>
  <c r="AC308" i="28" s="1"/>
  <c r="U308" i="28" a="1"/>
  <c r="U308" i="28" s="1"/>
  <c r="AP308" i="28" a="1"/>
  <c r="AP308" i="28" s="1"/>
  <c r="W308" i="28" a="1"/>
  <c r="W308" i="28" s="1"/>
  <c r="O308" i="28" a="1"/>
  <c r="O308" i="28" s="1"/>
  <c r="AD308" i="28" a="1"/>
  <c r="AD308" i="28" s="1"/>
  <c r="Q308" i="28" a="1"/>
  <c r="Q308" i="28" s="1"/>
  <c r="X308" i="28" a="1"/>
  <c r="X308" i="28" s="1"/>
  <c r="AF308" i="28" a="1"/>
  <c r="AF308" i="28" s="1"/>
  <c r="R308" i="28" a="1"/>
  <c r="R308" i="28" s="1"/>
  <c r="O311" i="28" a="1"/>
  <c r="O311" i="28" s="1"/>
  <c r="AD311" i="28" a="1"/>
  <c r="AD311" i="28" s="1"/>
  <c r="Q311" i="28" a="1"/>
  <c r="Q311" i="28" s="1"/>
  <c r="AE311" i="28" a="1"/>
  <c r="AE311" i="28" s="1"/>
  <c r="N311" i="28" a="1"/>
  <c r="N311" i="28" s="1"/>
  <c r="G311" i="28"/>
  <c r="F311" i="28"/>
  <c r="D311" i="28"/>
  <c r="E311" i="28"/>
  <c r="B311" i="28"/>
  <c r="U311" i="28" s="1" a="1"/>
  <c r="U311" i="28" s="1"/>
  <c r="H311" i="28"/>
  <c r="I311" i="28"/>
  <c r="AH308" i="28" a="1"/>
  <c r="AH308" i="28" s="1"/>
  <c r="Z308" i="28" a="1"/>
  <c r="Z308" i="28" s="1"/>
  <c r="L308" i="28" a="1"/>
  <c r="L308" i="28" s="1"/>
  <c r="T308" i="28" a="1"/>
  <c r="T308" i="28" s="1"/>
  <c r="V308" i="28" a="1"/>
  <c r="V308" i="28" s="1"/>
  <c r="N308" i="28" a="1"/>
  <c r="N308" i="28" s="1"/>
  <c r="AS312" i="28"/>
  <c r="C312" i="28"/>
  <c r="P308" i="28" a="1"/>
  <c r="P308" i="28" s="1"/>
  <c r="AU311" i="28"/>
  <c r="J311" i="28" s="1"/>
  <c r="AR313" i="28"/>
  <c r="L30" i="27"/>
  <c r="F30" i="27" s="1"/>
  <c r="L30" i="34"/>
  <c r="F30" i="34" s="1"/>
  <c r="I33" i="35"/>
  <c r="D32" i="35"/>
  <c r="J171" i="28"/>
  <c r="K218" i="29"/>
  <c r="C218" i="29" s="1"/>
  <c r="N218" i="29" s="1"/>
  <c r="C217" i="29"/>
  <c r="N217" i="29" s="1"/>
  <c r="B216" i="29"/>
  <c r="G216" i="29" s="1"/>
  <c r="E216" i="29"/>
  <c r="H216" i="29"/>
  <c r="F216" i="29"/>
  <c r="D38" i="10"/>
  <c r="D73" i="63"/>
  <c r="BA74" i="63"/>
  <c r="BB74" i="63"/>
  <c r="F74" i="63" s="1"/>
  <c r="AS172" i="28"/>
  <c r="AS173" i="28" s="1"/>
  <c r="C172" i="28"/>
  <c r="AU172" i="28" s="1"/>
  <c r="D171" i="28"/>
  <c r="I171" i="28"/>
  <c r="H171" i="28"/>
  <c r="F171" i="28"/>
  <c r="G171" i="28"/>
  <c r="E171" i="28"/>
  <c r="B171" i="28"/>
  <c r="AR174" i="28"/>
  <c r="C173" i="28"/>
  <c r="AU173"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M311" i="28" l="1" a="1"/>
  <c r="M311" i="28" s="1"/>
  <c r="L311" i="28" a="1"/>
  <c r="L311" i="28" s="1"/>
  <c r="AP311" i="28" a="1"/>
  <c r="AP311" i="28" s="1"/>
  <c r="Y311" i="28" a="1"/>
  <c r="Y311" i="28" s="1"/>
  <c r="AM311" i="28" a="1"/>
  <c r="AM311" i="28" s="1"/>
  <c r="R311" i="28" a="1"/>
  <c r="R311" i="28" s="1"/>
  <c r="AG311" i="28" a="1"/>
  <c r="AG311" i="28" s="1"/>
  <c r="AI311" i="28" a="1"/>
  <c r="AI311" i="28" s="1"/>
  <c r="AC311" i="28" a="1"/>
  <c r="AC311" i="28" s="1"/>
  <c r="W311" i="28" a="1"/>
  <c r="W311" i="28" s="1"/>
  <c r="AK311" i="28" a="1"/>
  <c r="AK311" i="28" s="1"/>
  <c r="AL311" i="28" a="1"/>
  <c r="AL311" i="28" s="1"/>
  <c r="X311" i="28" a="1"/>
  <c r="X311" i="28" s="1"/>
  <c r="Z311" i="28" a="1"/>
  <c r="Z311" i="28" s="1"/>
  <c r="P311" i="28" a="1"/>
  <c r="P311" i="28" s="1"/>
  <c r="AS313" i="28"/>
  <c r="C313" i="28"/>
  <c r="AB311" i="28" a="1"/>
  <c r="AB311" i="28" s="1"/>
  <c r="AA311" i="28" a="1"/>
  <c r="AA311" i="28" s="1"/>
  <c r="AF311" i="28" a="1"/>
  <c r="AF311" i="28" s="1"/>
  <c r="AH311" i="28" a="1"/>
  <c r="AH311" i="28" s="1"/>
  <c r="V311" i="28" a="1"/>
  <c r="V311" i="28" s="1"/>
  <c r="AO311" i="28" a="1"/>
  <c r="AO311" i="28" s="1"/>
  <c r="S311" i="28" a="1"/>
  <c r="S311" i="28" s="1"/>
  <c r="AJ311" i="28" a="1"/>
  <c r="AJ311" i="28" s="1"/>
  <c r="T311" i="28" a="1"/>
  <c r="T311" i="28" s="1"/>
  <c r="AN311" i="28" a="1"/>
  <c r="AN311" i="28" s="1"/>
  <c r="G312" i="28"/>
  <c r="I312" i="28"/>
  <c r="H312" i="28"/>
  <c r="F312" i="28"/>
  <c r="E312" i="28"/>
  <c r="D312" i="28"/>
  <c r="B312" i="28"/>
  <c r="P312" i="28" s="1" a="1"/>
  <c r="P312" i="28" s="1"/>
  <c r="K311" i="28" a="1"/>
  <c r="K311" i="28" s="1"/>
  <c r="AU312" i="28"/>
  <c r="J312" i="28" s="1"/>
  <c r="AR314" i="28"/>
  <c r="M31" i="27"/>
  <c r="N31" i="27"/>
  <c r="O31" i="27"/>
  <c r="P31" i="27"/>
  <c r="A39" i="10"/>
  <c r="J173" i="28"/>
  <c r="D74" i="63"/>
  <c r="BA75" i="63"/>
  <c r="BB75" i="63"/>
  <c r="F75" i="63" s="1"/>
  <c r="E173" i="28"/>
  <c r="D173" i="28"/>
  <c r="B173" i="28"/>
  <c r="F173" i="28"/>
  <c r="G173" i="28"/>
  <c r="AS174" i="28"/>
  <c r="AR175" i="28"/>
  <c r="C174" i="28"/>
  <c r="AU174" i="28" s="1"/>
  <c r="F172" i="28"/>
  <c r="E172" i="28"/>
  <c r="D172" i="28"/>
  <c r="I172" i="28"/>
  <c r="H172" i="28"/>
  <c r="G172" i="28"/>
  <c r="B172"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J31" i="38"/>
  <c r="A31" i="38" s="1"/>
  <c r="E30" i="36"/>
  <c r="A34" i="35"/>
  <c r="O312" i="28" l="1" a="1"/>
  <c r="O312" i="28" s="1"/>
  <c r="M312" i="28" a="1"/>
  <c r="M312" i="28" s="1"/>
  <c r="Q312" i="28" a="1"/>
  <c r="Q312" i="28" s="1"/>
  <c r="N312" i="28" a="1"/>
  <c r="N312" i="28" s="1"/>
  <c r="C314" i="28"/>
  <c r="AS314" i="28"/>
  <c r="L312" i="28" a="1"/>
  <c r="L312" i="28" s="1"/>
  <c r="AP312" i="28" a="1"/>
  <c r="AP312" i="28" s="1"/>
  <c r="Z313" i="28" a="1"/>
  <c r="Z313" i="28" s="1"/>
  <c r="L313" i="28" a="1"/>
  <c r="L313" i="28" s="1"/>
  <c r="S313" i="28" a="1"/>
  <c r="S313" i="28" s="1"/>
  <c r="O313" i="28" a="1"/>
  <c r="O313" i="28" s="1"/>
  <c r="AO313" i="28" a="1"/>
  <c r="AO313" i="28" s="1"/>
  <c r="T313" i="28" a="1"/>
  <c r="T313" i="28" s="1"/>
  <c r="AJ313" i="28" a="1"/>
  <c r="AJ313" i="28" s="1"/>
  <c r="K312" i="28" a="1"/>
  <c r="K312" i="28" s="1"/>
  <c r="D313" i="28"/>
  <c r="B313" i="28"/>
  <c r="N313" i="28" s="1" a="1"/>
  <c r="N313" i="28" s="1"/>
  <c r="H313" i="28"/>
  <c r="I313" i="28"/>
  <c r="G313" i="28"/>
  <c r="E313" i="28"/>
  <c r="F313" i="28"/>
  <c r="AU313" i="28"/>
  <c r="J313" i="28" s="1"/>
  <c r="AR315" i="28"/>
  <c r="L31" i="27"/>
  <c r="F31" i="27" s="1"/>
  <c r="M31" i="34"/>
  <c r="N31" i="34"/>
  <c r="E39" i="10"/>
  <c r="D75" i="63"/>
  <c r="AR176" i="28"/>
  <c r="AS175" i="28"/>
  <c r="C175" i="28"/>
  <c r="AU175" i="28" s="1"/>
  <c r="H174" i="28"/>
  <c r="B174" i="28"/>
  <c r="I174" i="28"/>
  <c r="D174" i="28"/>
  <c r="G174" i="28"/>
  <c r="F174" i="28"/>
  <c r="E174"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Q313" i="28" l="1" a="1"/>
  <c r="Q313" i="28" s="1"/>
  <c r="AL313" i="28" a="1"/>
  <c r="AL313" i="28" s="1"/>
  <c r="AS315" i="28"/>
  <c r="C315" i="28"/>
  <c r="U313" i="28" a="1"/>
  <c r="U313" i="28" s="1"/>
  <c r="Y313" i="28" a="1"/>
  <c r="Y313" i="28" s="1"/>
  <c r="K313" i="28" a="1"/>
  <c r="K313" i="28" s="1"/>
  <c r="AG313" i="28" a="1"/>
  <c r="AG313" i="28" s="1"/>
  <c r="AB313" i="28" a="1"/>
  <c r="AB313" i="28" s="1"/>
  <c r="AH313" i="28" a="1"/>
  <c r="AH313" i="28" s="1"/>
  <c r="R313" i="28" a="1"/>
  <c r="R313" i="28" s="1"/>
  <c r="W313" i="28" a="1"/>
  <c r="W313" i="28" s="1"/>
  <c r="AN313" i="28" a="1"/>
  <c r="AN313" i="28" s="1"/>
  <c r="AF313" i="28" a="1"/>
  <c r="AF313" i="28" s="1"/>
  <c r="AA313" i="28" a="1"/>
  <c r="AA313" i="28" s="1"/>
  <c r="V313" i="28" a="1"/>
  <c r="V313" i="28" s="1"/>
  <c r="AC313" i="28" a="1"/>
  <c r="AC313" i="28" s="1"/>
  <c r="M313" i="28" a="1"/>
  <c r="M313" i="28" s="1"/>
  <c r="AP313" i="28" a="1"/>
  <c r="AP313" i="28" s="1"/>
  <c r="P313" i="28" a="1"/>
  <c r="P313" i="28" s="1"/>
  <c r="AK313" i="28" a="1"/>
  <c r="AK313" i="28" s="1"/>
  <c r="AI313" i="28" a="1"/>
  <c r="AI313" i="28" s="1"/>
  <c r="F314" i="28"/>
  <c r="D314" i="28"/>
  <c r="E314" i="28"/>
  <c r="B314" i="28"/>
  <c r="AI314" i="28" s="1" a="1"/>
  <c r="AI314" i="28" s="1"/>
  <c r="G314" i="28"/>
  <c r="I314" i="28"/>
  <c r="H314" i="28"/>
  <c r="AD313" i="28" a="1"/>
  <c r="AD313" i="28" s="1"/>
  <c r="AM313" i="28" a="1"/>
  <c r="AM313" i="28" s="1"/>
  <c r="N314" i="28" a="1"/>
  <c r="N314" i="28" s="1"/>
  <c r="Z314" i="28" a="1"/>
  <c r="Z314" i="28" s="1"/>
  <c r="K314" i="28" a="1"/>
  <c r="K314" i="28" s="1"/>
  <c r="M314" i="28" a="1"/>
  <c r="M314" i="28" s="1"/>
  <c r="V314" i="28" a="1"/>
  <c r="V314" i="28" s="1"/>
  <c r="L314" i="28" a="1"/>
  <c r="L314" i="28" s="1"/>
  <c r="AE314" i="28" a="1"/>
  <c r="AE314" i="28" s="1"/>
  <c r="AC314" i="28" a="1"/>
  <c r="AC314" i="28" s="1"/>
  <c r="AD314" i="28" a="1"/>
  <c r="AD314" i="28" s="1"/>
  <c r="U314" i="28" a="1"/>
  <c r="U314" i="28" s="1"/>
  <c r="S314" i="28" a="1"/>
  <c r="S314" i="28" s="1"/>
  <c r="AP314" i="28" a="1"/>
  <c r="AP314" i="28" s="1"/>
  <c r="AH314" i="28" a="1"/>
  <c r="AH314" i="28" s="1"/>
  <c r="X313" i="28" a="1"/>
  <c r="X313" i="28" s="1"/>
  <c r="AE313" i="28" a="1"/>
  <c r="AE313" i="28" s="1"/>
  <c r="AU314" i="28"/>
  <c r="J314" i="28" s="1"/>
  <c r="AR316" i="28"/>
  <c r="C316" i="28" s="1"/>
  <c r="L31" i="34"/>
  <c r="F31" i="34" s="1"/>
  <c r="G34" i="35"/>
  <c r="A40" i="10"/>
  <c r="H175" i="28"/>
  <c r="G175" i="28"/>
  <c r="F175" i="28"/>
  <c r="I175" i="28"/>
  <c r="B175" i="28"/>
  <c r="AS176" i="28"/>
  <c r="E175" i="28"/>
  <c r="D175" i="28"/>
  <c r="AR177" i="28"/>
  <c r="C176" i="28"/>
  <c r="AU176"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AL314" i="28" l="1" a="1"/>
  <c r="AL314" i="28" s="1"/>
  <c r="T314" i="28" a="1"/>
  <c r="T314" i="28" s="1"/>
  <c r="Y314" i="28" a="1"/>
  <c r="Y314" i="28" s="1"/>
  <c r="AF314" i="28" a="1"/>
  <c r="AF314" i="28" s="1"/>
  <c r="AA314" i="28" a="1"/>
  <c r="AA314" i="28" s="1"/>
  <c r="R314" i="28" a="1"/>
  <c r="R314" i="28" s="1"/>
  <c r="AB314" i="28" a="1"/>
  <c r="AB314" i="28" s="1"/>
  <c r="AO314" i="28" a="1"/>
  <c r="AO314" i="28" s="1"/>
  <c r="P314" i="28" a="1"/>
  <c r="P314" i="28" s="1"/>
  <c r="O314" i="28" a="1"/>
  <c r="O314" i="28" s="1"/>
  <c r="AG314" i="28" a="1"/>
  <c r="AG314" i="28" s="1"/>
  <c r="W314" i="28" a="1"/>
  <c r="W314" i="28" s="1"/>
  <c r="AM314" i="28" a="1"/>
  <c r="AM314" i="28" s="1"/>
  <c r="AK314" i="28" a="1"/>
  <c r="AK314" i="28" s="1"/>
  <c r="AJ314" i="28" a="1"/>
  <c r="AJ314" i="28" s="1"/>
  <c r="X314" i="28" a="1"/>
  <c r="X314" i="28" s="1"/>
  <c r="AK315" i="28" a="1"/>
  <c r="AK315" i="28" s="1"/>
  <c r="P315" i="28" a="1"/>
  <c r="P315" i="28" s="1"/>
  <c r="R315" i="28" a="1"/>
  <c r="R315" i="28" s="1"/>
  <c r="AH315" i="28" a="1"/>
  <c r="AH315" i="28" s="1"/>
  <c r="AE315" i="28" a="1"/>
  <c r="AE315" i="28" s="1"/>
  <c r="AG315" i="28" a="1"/>
  <c r="AG315" i="28" s="1"/>
  <c r="AM315" i="28" a="1"/>
  <c r="AM315" i="28" s="1"/>
  <c r="AO315" i="28" a="1"/>
  <c r="AO315" i="28" s="1"/>
  <c r="AN314" i="28" a="1"/>
  <c r="AN314" i="28" s="1"/>
  <c r="Q314" i="28" a="1"/>
  <c r="Q314" i="28" s="1"/>
  <c r="AS316" i="28"/>
  <c r="D315" i="28"/>
  <c r="I315" i="28"/>
  <c r="H315" i="28"/>
  <c r="G315" i="28"/>
  <c r="B315" i="28"/>
  <c r="M315" i="28" s="1" a="1"/>
  <c r="M315" i="28" s="1"/>
  <c r="E315" i="28"/>
  <c r="F315" i="28"/>
  <c r="AU315" i="28"/>
  <c r="J315" i="28" s="1"/>
  <c r="AR317" i="28"/>
  <c r="C317" i="28" s="1"/>
  <c r="M32" i="27"/>
  <c r="N32" i="27"/>
  <c r="O32" i="27"/>
  <c r="P32" i="27"/>
  <c r="I33" i="27"/>
  <c r="J33" i="27" s="1"/>
  <c r="C33" i="27" s="1"/>
  <c r="N32" i="34"/>
  <c r="M32" i="34"/>
  <c r="G40" i="10"/>
  <c r="AR178" i="28"/>
  <c r="C177" i="28"/>
  <c r="AU177" i="28" s="1"/>
  <c r="H176" i="28"/>
  <c r="F176" i="28"/>
  <c r="B176" i="28"/>
  <c r="G176" i="28"/>
  <c r="I176" i="28"/>
  <c r="E176" i="28"/>
  <c r="D176"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J32" i="38"/>
  <c r="A32" i="38" s="1"/>
  <c r="AR36" i="35"/>
  <c r="B35" i="35"/>
  <c r="E31" i="36"/>
  <c r="D31" i="36"/>
  <c r="H31" i="37"/>
  <c r="A32" i="27"/>
  <c r="D32" i="27" s="1"/>
  <c r="K32" i="36"/>
  <c r="I33" i="34"/>
  <c r="M38" i="39"/>
  <c r="C38" i="39" s="1"/>
  <c r="AT33" i="38"/>
  <c r="C33" i="38" s="1"/>
  <c r="J35" i="35"/>
  <c r="A41" i="10" l="1"/>
  <c r="Q315" i="28" a="1"/>
  <c r="Q315" i="28" s="1"/>
  <c r="K315" i="28" a="1"/>
  <c r="K315" i="28" s="1"/>
  <c r="AB315" i="28" a="1"/>
  <c r="AB315" i="28" s="1"/>
  <c r="Z315" i="28" a="1"/>
  <c r="Z315" i="28" s="1"/>
  <c r="AP315" i="28" a="1"/>
  <c r="AP315" i="28" s="1"/>
  <c r="W315" i="28" a="1"/>
  <c r="W315" i="28" s="1"/>
  <c r="AD315" i="28" a="1"/>
  <c r="AD315" i="28" s="1"/>
  <c r="L315" i="28" a="1"/>
  <c r="L315" i="28" s="1"/>
  <c r="S315" i="28" a="1"/>
  <c r="S315" i="28" s="1"/>
  <c r="AC315" i="28" a="1"/>
  <c r="AC315" i="28" s="1"/>
  <c r="T315" i="28" a="1"/>
  <c r="T315" i="28" s="1"/>
  <c r="V315" i="28" a="1"/>
  <c r="V315" i="28" s="1"/>
  <c r="AS317" i="28"/>
  <c r="F316" i="28"/>
  <c r="B316" i="28"/>
  <c r="I316" i="28"/>
  <c r="H316" i="28"/>
  <c r="G316" i="28"/>
  <c r="E316" i="28"/>
  <c r="U315" i="28" a="1"/>
  <c r="U315" i="28" s="1"/>
  <c r="AJ315" i="28" a="1"/>
  <c r="AJ315" i="28" s="1"/>
  <c r="AN315" i="28" a="1"/>
  <c r="AN315" i="28" s="1"/>
  <c r="AI315" i="28" a="1"/>
  <c r="AI315" i="28" s="1"/>
  <c r="N315" i="28" a="1"/>
  <c r="N315" i="28" s="1"/>
  <c r="AA315" i="28" a="1"/>
  <c r="AA315" i="28" s="1"/>
  <c r="AF315" i="28" a="1"/>
  <c r="AF315" i="28" s="1"/>
  <c r="X315" i="28" a="1"/>
  <c r="X315" i="28" s="1"/>
  <c r="Y315" i="28" a="1"/>
  <c r="Y315" i="28" s="1"/>
  <c r="O315" i="28" a="1"/>
  <c r="O315" i="28" s="1"/>
  <c r="AL315" i="28" a="1"/>
  <c r="AL315" i="28" s="1"/>
  <c r="AU316" i="28"/>
  <c r="J316" i="28" s="1"/>
  <c r="AR318" i="28"/>
  <c r="C318" i="28" s="1"/>
  <c r="L32" i="27"/>
  <c r="F32" i="27" s="1"/>
  <c r="P33" i="27"/>
  <c r="M33" i="27"/>
  <c r="N33" i="27"/>
  <c r="O33" i="27"/>
  <c r="L32" i="34"/>
  <c r="F32" i="34" s="1"/>
  <c r="I35" i="35"/>
  <c r="AR179" i="28"/>
  <c r="C178" i="28"/>
  <c r="AU178" i="28" s="1"/>
  <c r="H177" i="28"/>
  <c r="G177" i="28"/>
  <c r="B177" i="28"/>
  <c r="F177" i="28"/>
  <c r="I177" i="28"/>
  <c r="E177" i="28"/>
  <c r="D177"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6" i="28" a="1"/>
  <c r="S316" i="28" s="1"/>
  <c r="Q316" i="28" a="1"/>
  <c r="Q316" i="28" s="1"/>
  <c r="AP316" i="28" a="1"/>
  <c r="AP316" i="28" s="1"/>
  <c r="AA316" i="28" a="1"/>
  <c r="AA316" i="28" s="1"/>
  <c r="T316" i="28" a="1"/>
  <c r="T316" i="28" s="1"/>
  <c r="AK316" i="28" a="1"/>
  <c r="AK316" i="28" s="1"/>
  <c r="Y316" i="28" a="1"/>
  <c r="Y316" i="28" s="1"/>
  <c r="O316" i="28" a="1"/>
  <c r="O316" i="28" s="1"/>
  <c r="AD316" i="28" a="1"/>
  <c r="AD316" i="28" s="1"/>
  <c r="W316" i="28" a="1"/>
  <c r="W316" i="28" s="1"/>
  <c r="AB316" i="28" a="1"/>
  <c r="AB316" i="28" s="1"/>
  <c r="AG316" i="28" a="1"/>
  <c r="AG316" i="28" s="1"/>
  <c r="AF316" i="28" a="1"/>
  <c r="AF316" i="28" s="1"/>
  <c r="AN316" i="28" a="1"/>
  <c r="AN316" i="28" s="1"/>
  <c r="L316" i="28" a="1"/>
  <c r="L316" i="28" s="1"/>
  <c r="M316" i="28" a="1"/>
  <c r="M316" i="28" s="1"/>
  <c r="AO316" i="28" a="1"/>
  <c r="AO316" i="28" s="1"/>
  <c r="AL316" i="28" a="1"/>
  <c r="AL316" i="28" s="1"/>
  <c r="AM316" i="28" a="1"/>
  <c r="AM316" i="28" s="1"/>
  <c r="AH316" i="28" a="1"/>
  <c r="AH316" i="28" s="1"/>
  <c r="N316" i="28" a="1"/>
  <c r="N316" i="28" s="1"/>
  <c r="P316" i="28" a="1"/>
  <c r="P316" i="28" s="1"/>
  <c r="Z316" i="28" a="1"/>
  <c r="Z316" i="28" s="1"/>
  <c r="AC316" i="28" a="1"/>
  <c r="AC316" i="28" s="1"/>
  <c r="K316" i="28" a="1"/>
  <c r="K316" i="28" s="1"/>
  <c r="R316" i="28" a="1"/>
  <c r="R316" i="28" s="1"/>
  <c r="AI316" i="28" a="1"/>
  <c r="AI316" i="28" s="1"/>
  <c r="V316" i="28" a="1"/>
  <c r="V316" i="28" s="1"/>
  <c r="X316" i="28" a="1"/>
  <c r="X316" i="28" s="1"/>
  <c r="U316" i="28" a="1"/>
  <c r="U316" i="28" s="1"/>
  <c r="AJ316" i="28" a="1"/>
  <c r="AJ316" i="28" s="1"/>
  <c r="AE316" i="28" a="1"/>
  <c r="AE316" i="28" s="1"/>
  <c r="AS318" i="28"/>
  <c r="I317" i="28"/>
  <c r="H317" i="28"/>
  <c r="G317" i="28"/>
  <c r="F317" i="28"/>
  <c r="B317" i="28"/>
  <c r="E317" i="28"/>
  <c r="D316" i="28"/>
  <c r="AU317" i="28"/>
  <c r="AR319" i="28"/>
  <c r="C319" i="28" s="1"/>
  <c r="L33" i="27"/>
  <c r="F33" i="27" s="1"/>
  <c r="AS179" i="28"/>
  <c r="G178" i="28"/>
  <c r="B178" i="28"/>
  <c r="F178" i="28"/>
  <c r="I178" i="28"/>
  <c r="H178" i="28"/>
  <c r="E178" i="28"/>
  <c r="D178" i="28"/>
  <c r="AR180" i="28"/>
  <c r="C179" i="28"/>
  <c r="AU179"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AS319" i="28" l="1"/>
  <c r="F318" i="28"/>
  <c r="B318" i="28"/>
  <c r="I318" i="28"/>
  <c r="H318" i="28"/>
  <c r="G318" i="28"/>
  <c r="E318" i="28"/>
  <c r="O317" i="28" a="1"/>
  <c r="O317" i="28" s="1"/>
  <c r="S317" i="28" a="1"/>
  <c r="S317" i="28" s="1"/>
  <c r="AB317" i="28" a="1"/>
  <c r="AB317" i="28" s="1"/>
  <c r="AG317" i="28" a="1"/>
  <c r="AG317" i="28" s="1"/>
  <c r="AN317" i="28" a="1"/>
  <c r="AN317" i="28" s="1"/>
  <c r="N317" i="28" a="1"/>
  <c r="N317" i="28" s="1"/>
  <c r="AH317" i="28" a="1"/>
  <c r="AH317" i="28" s="1"/>
  <c r="AI317" i="28" a="1"/>
  <c r="AI317" i="28" s="1"/>
  <c r="AJ317" i="28" a="1"/>
  <c r="AJ317" i="28" s="1"/>
  <c r="P317" i="28" a="1"/>
  <c r="P317" i="28" s="1"/>
  <c r="AK317" i="28" a="1"/>
  <c r="AK317" i="28" s="1"/>
  <c r="V317" i="28" a="1"/>
  <c r="V317" i="28" s="1"/>
  <c r="AC317" i="28" a="1"/>
  <c r="AC317" i="28" s="1"/>
  <c r="AF317" i="28" a="1"/>
  <c r="AF317" i="28" s="1"/>
  <c r="AD317" i="28" a="1"/>
  <c r="AD317" i="28" s="1"/>
  <c r="L317" i="28" a="1"/>
  <c r="L317" i="28" s="1"/>
  <c r="AA317" i="28" a="1"/>
  <c r="AA317" i="28" s="1"/>
  <c r="AP317" i="28" a="1"/>
  <c r="AP317" i="28" s="1"/>
  <c r="Z317" i="28" a="1"/>
  <c r="Z317" i="28" s="1"/>
  <c r="X317" i="28" a="1"/>
  <c r="X317" i="28" s="1"/>
  <c r="T317" i="28" a="1"/>
  <c r="T317" i="28" s="1"/>
  <c r="AO317" i="28" a="1"/>
  <c r="AO317" i="28" s="1"/>
  <c r="Q317" i="28" a="1"/>
  <c r="Q317" i="28" s="1"/>
  <c r="W317" i="28" a="1"/>
  <c r="W317" i="28" s="1"/>
  <c r="R317" i="28" a="1"/>
  <c r="R317" i="28" s="1"/>
  <c r="AL317" i="28" a="1"/>
  <c r="AL317" i="28" s="1"/>
  <c r="Y317" i="28" a="1"/>
  <c r="Y317" i="28" s="1"/>
  <c r="AM317" i="28" a="1"/>
  <c r="AM317" i="28" s="1"/>
  <c r="K317" i="28" a="1"/>
  <c r="K317" i="28" s="1"/>
  <c r="U317" i="28" a="1"/>
  <c r="U317" i="28" s="1"/>
  <c r="AE317" i="28" a="1"/>
  <c r="AE317" i="28" s="1"/>
  <c r="M317" i="28" a="1"/>
  <c r="M317" i="28" s="1"/>
  <c r="J317" i="28"/>
  <c r="D317" i="28"/>
  <c r="AU318" i="28"/>
  <c r="AR320" i="28"/>
  <c r="C320" i="28" s="1"/>
  <c r="I34" i="34"/>
  <c r="J34" i="34" s="1"/>
  <c r="C34" i="34" s="1"/>
  <c r="M33" i="34"/>
  <c r="N33" i="34"/>
  <c r="A42" i="10"/>
  <c r="AR181" i="28"/>
  <c r="C180" i="28"/>
  <c r="AU180" i="28" s="1"/>
  <c r="I179" i="28"/>
  <c r="B179" i="28"/>
  <c r="AS180" i="28"/>
  <c r="F179" i="28"/>
  <c r="G179" i="28"/>
  <c r="H179" i="28"/>
  <c r="E179" i="28"/>
  <c r="D179"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J33" i="38"/>
  <c r="A33" i="38" s="1"/>
  <c r="C34" i="27"/>
  <c r="H32" i="37"/>
  <c r="AS37" i="35"/>
  <c r="C37" i="35" s="1"/>
  <c r="AT34" i="38"/>
  <c r="E34" i="38" s="1"/>
  <c r="B36" i="35"/>
  <c r="A33" i="34"/>
  <c r="E33" i="34"/>
  <c r="J36" i="35"/>
  <c r="O318" i="28" l="1" a="1"/>
  <c r="O318" i="28" s="1"/>
  <c r="T318" i="28" a="1"/>
  <c r="T318" i="28" s="1"/>
  <c r="V318" i="28" a="1"/>
  <c r="V318" i="28" s="1"/>
  <c r="AA318" i="28" a="1"/>
  <c r="AA318" i="28" s="1"/>
  <c r="AO318" i="28" a="1"/>
  <c r="AO318" i="28" s="1"/>
  <c r="U318" i="28" a="1"/>
  <c r="U318" i="28" s="1"/>
  <c r="AB318" i="28" a="1"/>
  <c r="AB318" i="28" s="1"/>
  <c r="Y318" i="28" a="1"/>
  <c r="Y318" i="28" s="1"/>
  <c r="AD318" i="28" a="1"/>
  <c r="AD318" i="28" s="1"/>
  <c r="R318" i="28" a="1"/>
  <c r="R318" i="28" s="1"/>
  <c r="P318" i="28" a="1"/>
  <c r="P318" i="28" s="1"/>
  <c r="N318" i="28" a="1"/>
  <c r="N318" i="28" s="1"/>
  <c r="AF318" i="28" a="1"/>
  <c r="AF318" i="28" s="1"/>
  <c r="AI318" i="28" a="1"/>
  <c r="AI318" i="28" s="1"/>
  <c r="M318" i="28" a="1"/>
  <c r="M318" i="28" s="1"/>
  <c r="AL318" i="28" a="1"/>
  <c r="AL318" i="28" s="1"/>
  <c r="AP318" i="28" a="1"/>
  <c r="AP318" i="28" s="1"/>
  <c r="AG318" i="28" a="1"/>
  <c r="AG318" i="28" s="1"/>
  <c r="Z318" i="28" a="1"/>
  <c r="Z318" i="28" s="1"/>
  <c r="AJ318" i="28" a="1"/>
  <c r="AJ318" i="28" s="1"/>
  <c r="AC318" i="28" a="1"/>
  <c r="AC318" i="28" s="1"/>
  <c r="AM318" i="28" a="1"/>
  <c r="AM318" i="28" s="1"/>
  <c r="K318" i="28" a="1"/>
  <c r="K318" i="28" s="1"/>
  <c r="AH318" i="28" a="1"/>
  <c r="AH318" i="28" s="1"/>
  <c r="AK318" i="28" a="1"/>
  <c r="AK318" i="28" s="1"/>
  <c r="L318" i="28" a="1"/>
  <c r="L318" i="28" s="1"/>
  <c r="AE318" i="28" a="1"/>
  <c r="AE318" i="28" s="1"/>
  <c r="AN318" i="28" a="1"/>
  <c r="AN318" i="28" s="1"/>
  <c r="X318" i="28" a="1"/>
  <c r="X318" i="28" s="1"/>
  <c r="Q318" i="28" a="1"/>
  <c r="Q318" i="28" s="1"/>
  <c r="W318" i="28" a="1"/>
  <c r="W318" i="28" s="1"/>
  <c r="S318" i="28" a="1"/>
  <c r="S318" i="28" s="1"/>
  <c r="AS320" i="28"/>
  <c r="I319" i="28"/>
  <c r="F319" i="28"/>
  <c r="H319" i="28"/>
  <c r="G319" i="28"/>
  <c r="B319" i="28"/>
  <c r="E319" i="28"/>
  <c r="J318" i="28"/>
  <c r="AU319" i="28"/>
  <c r="AU320" i="28"/>
  <c r="J320" i="28" s="1"/>
  <c r="AR321" i="28"/>
  <c r="C321" i="28" s="1"/>
  <c r="M34" i="27"/>
  <c r="N34" i="27"/>
  <c r="O34" i="27"/>
  <c r="P34" i="27"/>
  <c r="L33" i="34"/>
  <c r="F33" i="34" s="1"/>
  <c r="M34" i="34"/>
  <c r="N34" i="34"/>
  <c r="H36" i="35"/>
  <c r="H42" i="10"/>
  <c r="I180" i="28"/>
  <c r="B180" i="28"/>
  <c r="F180" i="28"/>
  <c r="AS181" i="28"/>
  <c r="G180" i="28"/>
  <c r="H180" i="28"/>
  <c r="E180" i="28"/>
  <c r="D180" i="28"/>
  <c r="AR182" i="28"/>
  <c r="C182" i="28" s="1"/>
  <c r="AU182" i="28" s="1"/>
  <c r="AR183" i="28"/>
  <c r="C181" i="28"/>
  <c r="AU181"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AM319" i="28" l="1" a="1"/>
  <c r="AM319" i="28" s="1"/>
  <c r="AB319" i="28" a="1"/>
  <c r="AB319" i="28" s="1"/>
  <c r="X319" i="28" a="1"/>
  <c r="X319" i="28" s="1"/>
  <c r="AP319" i="28" a="1"/>
  <c r="AP319" i="28" s="1"/>
  <c r="AF319" i="28" a="1"/>
  <c r="AF319" i="28" s="1"/>
  <c r="T319" i="28" a="1"/>
  <c r="T319" i="28" s="1"/>
  <c r="AL319" i="28" a="1"/>
  <c r="AL319" i="28" s="1"/>
  <c r="AA319" i="28" a="1"/>
  <c r="AA319" i="28" s="1"/>
  <c r="AD319" i="28" a="1"/>
  <c r="AD319" i="28" s="1"/>
  <c r="R319" i="28" a="1"/>
  <c r="R319" i="28" s="1"/>
  <c r="AK319" i="28" a="1"/>
  <c r="AK319" i="28" s="1"/>
  <c r="K319" i="28" a="1"/>
  <c r="K319" i="28" s="1"/>
  <c r="Q319" i="28" a="1"/>
  <c r="Q319" i="28" s="1"/>
  <c r="AI319" i="28" a="1"/>
  <c r="AI319" i="28" s="1"/>
  <c r="U319" i="28" a="1"/>
  <c r="U319" i="28" s="1"/>
  <c r="M319" i="28" a="1"/>
  <c r="M319" i="28" s="1"/>
  <c r="W319" i="28" a="1"/>
  <c r="W319" i="28" s="1"/>
  <c r="AO319" i="28" a="1"/>
  <c r="AO319" i="28" s="1"/>
  <c r="AH319" i="28" a="1"/>
  <c r="AH319" i="28" s="1"/>
  <c r="Z319" i="28" a="1"/>
  <c r="Z319" i="28" s="1"/>
  <c r="S319" i="28" a="1"/>
  <c r="S319" i="28" s="1"/>
  <c r="AN319" i="28" a="1"/>
  <c r="AN319" i="28" s="1"/>
  <c r="Y319" i="28" a="1"/>
  <c r="Y319" i="28" s="1"/>
  <c r="O319" i="28" a="1"/>
  <c r="O319" i="28" s="1"/>
  <c r="V319" i="28" a="1"/>
  <c r="V319" i="28" s="1"/>
  <c r="AJ319" i="28" a="1"/>
  <c r="AJ319" i="28" s="1"/>
  <c r="L319" i="28" a="1"/>
  <c r="L319" i="28" s="1"/>
  <c r="AC319" i="28" a="1"/>
  <c r="AC319" i="28" s="1"/>
  <c r="N319" i="28" a="1"/>
  <c r="N319" i="28" s="1"/>
  <c r="AG319" i="28" a="1"/>
  <c r="AG319" i="28" s="1"/>
  <c r="P319" i="28" a="1"/>
  <c r="P319" i="28" s="1"/>
  <c r="AE319" i="28" a="1"/>
  <c r="AE319" i="28" s="1"/>
  <c r="AS321" i="28"/>
  <c r="D320" i="28"/>
  <c r="B320" i="28"/>
  <c r="I320" i="28"/>
  <c r="G320" i="28"/>
  <c r="E320" i="28"/>
  <c r="H320" i="28"/>
  <c r="F320" i="28"/>
  <c r="J319" i="28"/>
  <c r="AR322" i="28"/>
  <c r="L34" i="27"/>
  <c r="F34" i="27" s="1"/>
  <c r="L34" i="34"/>
  <c r="F34" i="34" s="1"/>
  <c r="AR184" i="28"/>
  <c r="C183" i="28"/>
  <c r="H181" i="28"/>
  <c r="G181" i="28"/>
  <c r="F181" i="28"/>
  <c r="I181" i="28"/>
  <c r="AS183" i="28"/>
  <c r="B181" i="28"/>
  <c r="AS182" i="28"/>
  <c r="E181" i="28"/>
  <c r="D181"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4" i="38"/>
  <c r="A34" i="38" s="1"/>
  <c r="J37" i="35"/>
  <c r="AS322" i="28" l="1"/>
  <c r="I321" i="28"/>
  <c r="H321" i="28"/>
  <c r="G321" i="28"/>
  <c r="F321" i="28"/>
  <c r="E321" i="28"/>
  <c r="D321" i="28"/>
  <c r="B321" i="28"/>
  <c r="AB320" i="28" a="1"/>
  <c r="AB320" i="28" s="1"/>
  <c r="O320" i="28" a="1"/>
  <c r="O320" i="28" s="1"/>
  <c r="W320" i="28" a="1"/>
  <c r="W320" i="28" s="1"/>
  <c r="AK320" i="28" a="1"/>
  <c r="AK320" i="28" s="1"/>
  <c r="AM320" i="28" a="1"/>
  <c r="AM320" i="28" s="1"/>
  <c r="AD320" i="28" a="1"/>
  <c r="AD320" i="28" s="1"/>
  <c r="AN320" i="28" a="1"/>
  <c r="AN320" i="28" s="1"/>
  <c r="U320" i="28" a="1"/>
  <c r="U320" i="28" s="1"/>
  <c r="M320" i="28" a="1"/>
  <c r="M320" i="28" s="1"/>
  <c r="AI320" i="28" a="1"/>
  <c r="AI320" i="28" s="1"/>
  <c r="P320" i="28" a="1"/>
  <c r="P320" i="28" s="1"/>
  <c r="AG320" i="28" a="1"/>
  <c r="AG320" i="28" s="1"/>
  <c r="Z320" i="28" a="1"/>
  <c r="Z320" i="28" s="1"/>
  <c r="AA320" i="28" a="1"/>
  <c r="AA320" i="28" s="1"/>
  <c r="AO320" i="28" a="1"/>
  <c r="AO320" i="28" s="1"/>
  <c r="V320" i="28" a="1"/>
  <c r="V320" i="28" s="1"/>
  <c r="AH320" i="28" a="1"/>
  <c r="AH320" i="28" s="1"/>
  <c r="AC320" i="28" a="1"/>
  <c r="AC320" i="28" s="1"/>
  <c r="AL320" i="28" a="1"/>
  <c r="AL320" i="28" s="1"/>
  <c r="L320" i="28" a="1"/>
  <c r="L320" i="28" s="1"/>
  <c r="AE320" i="28" a="1"/>
  <c r="AE320" i="28" s="1"/>
  <c r="K320" i="28" a="1"/>
  <c r="K320" i="28" s="1"/>
  <c r="T320" i="28" a="1"/>
  <c r="T320" i="28" s="1"/>
  <c r="N320" i="28" a="1"/>
  <c r="N320" i="28" s="1"/>
  <c r="AP320" i="28" a="1"/>
  <c r="AP320" i="28" s="1"/>
  <c r="R320" i="28" a="1"/>
  <c r="R320" i="28" s="1"/>
  <c r="X320" i="28" a="1"/>
  <c r="X320" i="28" s="1"/>
  <c r="S320" i="28" a="1"/>
  <c r="S320" i="28" s="1"/>
  <c r="Y320" i="28" a="1"/>
  <c r="Y320" i="28" s="1"/>
  <c r="AF320" i="28" a="1"/>
  <c r="AF320" i="28" s="1"/>
  <c r="Q320" i="28" a="1"/>
  <c r="Q320" i="28" s="1"/>
  <c r="AJ320" i="28" a="1"/>
  <c r="AJ320" i="28" s="1"/>
  <c r="AU321" i="28"/>
  <c r="J321" i="28" s="1"/>
  <c r="AR323" i="28"/>
  <c r="C322" i="28"/>
  <c r="E183" i="28"/>
  <c r="N35" i="34"/>
  <c r="M35" i="34"/>
  <c r="AU183" i="28"/>
  <c r="G37" i="35"/>
  <c r="AS184" i="28"/>
  <c r="H183" i="28"/>
  <c r="G183" i="28"/>
  <c r="B183" i="28"/>
  <c r="F183" i="28"/>
  <c r="I183" i="28"/>
  <c r="H182" i="28"/>
  <c r="I182" i="28"/>
  <c r="G182" i="28"/>
  <c r="F182" i="28"/>
  <c r="B182" i="28"/>
  <c r="E182" i="28"/>
  <c r="D182" i="28"/>
  <c r="AR185" i="28"/>
  <c r="C184"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1" i="28" l="1" a="1"/>
  <c r="AJ321" i="28" s="1"/>
  <c r="AG321" i="28" a="1"/>
  <c r="AG321" i="28" s="1"/>
  <c r="L321" i="28" a="1"/>
  <c r="L321" i="28" s="1"/>
  <c r="R321" i="28" a="1"/>
  <c r="R321" i="28" s="1"/>
  <c r="Y321" i="28" a="1"/>
  <c r="Y321" i="28" s="1"/>
  <c r="V321" i="28" a="1"/>
  <c r="V321" i="28" s="1"/>
  <c r="Q321" i="28" a="1"/>
  <c r="Q321" i="28" s="1"/>
  <c r="AI321" i="28" a="1"/>
  <c r="AI321" i="28" s="1"/>
  <c r="X321" i="28" a="1"/>
  <c r="X321" i="28" s="1"/>
  <c r="S321" i="28" a="1"/>
  <c r="S321" i="28" s="1"/>
  <c r="AB321" i="28" a="1"/>
  <c r="AB321" i="28" s="1"/>
  <c r="AM321" i="28" a="1"/>
  <c r="AM321" i="28" s="1"/>
  <c r="T321" i="28" a="1"/>
  <c r="T321" i="28" s="1"/>
  <c r="AA321" i="28" a="1"/>
  <c r="AA321" i="28" s="1"/>
  <c r="AE321" i="28" a="1"/>
  <c r="AE321" i="28" s="1"/>
  <c r="AC321" i="28" a="1"/>
  <c r="AC321" i="28" s="1"/>
  <c r="AF321" i="28" a="1"/>
  <c r="AF321" i="28" s="1"/>
  <c r="AP321" i="28" a="1"/>
  <c r="AP321" i="28" s="1"/>
  <c r="K321" i="28" a="1"/>
  <c r="K321" i="28" s="1"/>
  <c r="W321" i="28" a="1"/>
  <c r="W321" i="28" s="1"/>
  <c r="O321" i="28" a="1"/>
  <c r="O321" i="28" s="1"/>
  <c r="AN321" i="28" a="1"/>
  <c r="AN321" i="28" s="1"/>
  <c r="U321" i="28" a="1"/>
  <c r="U321" i="28" s="1"/>
  <c r="N321" i="28" a="1"/>
  <c r="N321" i="28" s="1"/>
  <c r="AL321" i="28" a="1"/>
  <c r="AL321" i="28" s="1"/>
  <c r="AO321" i="28" a="1"/>
  <c r="AO321" i="28" s="1"/>
  <c r="P321" i="28" a="1"/>
  <c r="P321" i="28" s="1"/>
  <c r="AH321" i="28" a="1"/>
  <c r="AH321" i="28" s="1"/>
  <c r="AK321" i="28" a="1"/>
  <c r="AK321" i="28" s="1"/>
  <c r="Z321" i="28" a="1"/>
  <c r="Z321" i="28" s="1"/>
  <c r="M321" i="28" a="1"/>
  <c r="M321" i="28" s="1"/>
  <c r="AD321" i="28" a="1"/>
  <c r="AD321" i="28" s="1"/>
  <c r="AS323" i="28"/>
  <c r="K322" i="28" a="1"/>
  <c r="K322" i="28" s="1"/>
  <c r="AF322" i="28" a="1"/>
  <c r="AF322" i="28" s="1"/>
  <c r="V322" i="28" a="1"/>
  <c r="V322" i="28" s="1"/>
  <c r="L322" i="28" a="1"/>
  <c r="L322" i="28" s="1"/>
  <c r="AG322" i="28" a="1"/>
  <c r="AG322" i="28" s="1"/>
  <c r="AB322" i="28" a="1"/>
  <c r="AB322" i="28" s="1"/>
  <c r="AU322" i="28"/>
  <c r="J322" i="28" s="1"/>
  <c r="E322" i="28"/>
  <c r="I322" i="28"/>
  <c r="B322" i="28"/>
  <c r="AN322" i="28" s="1" a="1"/>
  <c r="AN322" i="28" s="1"/>
  <c r="D322" i="28"/>
  <c r="H322" i="28"/>
  <c r="F322" i="28"/>
  <c r="G322" i="28"/>
  <c r="C323" i="28"/>
  <c r="M35" i="27"/>
  <c r="N35" i="27"/>
  <c r="O35" i="27"/>
  <c r="P35" i="27"/>
  <c r="I36" i="27"/>
  <c r="J36" i="27" s="1"/>
  <c r="C36" i="27" s="1"/>
  <c r="L35" i="34"/>
  <c r="F35" i="34" s="1"/>
  <c r="AU184" i="28"/>
  <c r="E184" i="28"/>
  <c r="AR187" i="28"/>
  <c r="C187" i="28" s="1"/>
  <c r="AU187" i="28" s="1"/>
  <c r="AR186" i="28"/>
  <c r="C186" i="28" s="1"/>
  <c r="AU186" i="28" s="1"/>
  <c r="C185" i="28"/>
  <c r="AU185" i="28" s="1"/>
  <c r="F184" i="28"/>
  <c r="B184" i="28"/>
  <c r="I184" i="28"/>
  <c r="H184" i="28"/>
  <c r="G184" i="28"/>
  <c r="AS185"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S322" i="28" l="1" a="1"/>
  <c r="S322" i="28" s="1"/>
  <c r="X322" i="28" a="1"/>
  <c r="X322" i="28" s="1"/>
  <c r="AJ322" i="28" a="1"/>
  <c r="AJ322" i="28" s="1"/>
  <c r="Z322" i="28" a="1"/>
  <c r="Z322" i="28" s="1"/>
  <c r="AI322" i="28" a="1"/>
  <c r="AI322" i="28" s="1"/>
  <c r="W322" i="28" a="1"/>
  <c r="W322" i="28" s="1"/>
  <c r="AL322" i="28" a="1"/>
  <c r="AL322" i="28" s="1"/>
  <c r="N322" i="28" a="1"/>
  <c r="N322" i="28" s="1"/>
  <c r="AP322" i="28" a="1"/>
  <c r="AP322" i="28" s="1"/>
  <c r="P322" i="28" a="1"/>
  <c r="P322" i="28" s="1"/>
  <c r="AE322" i="28" a="1"/>
  <c r="AE322" i="28" s="1"/>
  <c r="AK322" i="28" a="1"/>
  <c r="AK322" i="28" s="1"/>
  <c r="AH322" i="28" a="1"/>
  <c r="AH322" i="28" s="1"/>
  <c r="U322" i="28" a="1"/>
  <c r="U322" i="28" s="1"/>
  <c r="AA322" i="28" a="1"/>
  <c r="AA322" i="28" s="1"/>
  <c r="M322" i="28" a="1"/>
  <c r="M322" i="28" s="1"/>
  <c r="AO322" i="28" a="1"/>
  <c r="AO322" i="28" s="1"/>
  <c r="Q322" i="28" a="1"/>
  <c r="Q322" i="28" s="1"/>
  <c r="AM322" i="28" a="1"/>
  <c r="AM322" i="28" s="1"/>
  <c r="AD322" i="28" a="1"/>
  <c r="AD322" i="28" s="1"/>
  <c r="Y322" i="28" a="1"/>
  <c r="Y322" i="28" s="1"/>
  <c r="R322" i="28" a="1"/>
  <c r="R322" i="28" s="1"/>
  <c r="T322" i="28" a="1"/>
  <c r="T322" i="28" s="1"/>
  <c r="O322" i="28" a="1"/>
  <c r="O322" i="28" s="1"/>
  <c r="AC322" i="28" a="1"/>
  <c r="AC322" i="28" s="1"/>
  <c r="S323" i="28" a="1"/>
  <c r="S323" i="28" s="1"/>
  <c r="O323" i="28" a="1"/>
  <c r="O323" i="28" s="1"/>
  <c r="AU323" i="28"/>
  <c r="J323" i="28" s="1"/>
  <c r="E323" i="28"/>
  <c r="I323" i="28"/>
  <c r="D323" i="28"/>
  <c r="B323" i="28"/>
  <c r="AC323" i="28" s="1" a="1"/>
  <c r="AC323" i="28" s="1"/>
  <c r="H323" i="28"/>
  <c r="F323" i="28"/>
  <c r="G323" i="28"/>
  <c r="L35" i="27"/>
  <c r="F35" i="27" s="1"/>
  <c r="P36" i="27"/>
  <c r="M36" i="27"/>
  <c r="N36" i="27"/>
  <c r="O36" i="27"/>
  <c r="N36" i="34"/>
  <c r="M36" i="34"/>
  <c r="H72" i="9"/>
  <c r="H185" i="28"/>
  <c r="B185" i="28"/>
  <c r="I185" i="28"/>
  <c r="G185" i="28"/>
  <c r="AS186" i="28"/>
  <c r="D185" i="28"/>
  <c r="E185" i="28"/>
  <c r="F185"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J35" i="38"/>
  <c r="A35" i="38" s="1"/>
  <c r="L35" i="36"/>
  <c r="C35" i="36" s="1"/>
  <c r="A35" i="36" s="1"/>
  <c r="I37" i="27"/>
  <c r="M42" i="39"/>
  <c r="C42" i="39" s="1"/>
  <c r="J38" i="35"/>
  <c r="AP323" i="28" l="1" a="1"/>
  <c r="AP323" i="28" s="1"/>
  <c r="N323" i="28" a="1"/>
  <c r="N323" i="28" s="1"/>
  <c r="L323" i="28" a="1"/>
  <c r="L323" i="28" s="1"/>
  <c r="AJ323" i="28" a="1"/>
  <c r="AJ323" i="28" s="1"/>
  <c r="AF323" i="28" a="1"/>
  <c r="AF323" i="28" s="1"/>
  <c r="X323" i="28" a="1"/>
  <c r="X323" i="28" s="1"/>
  <c r="Z323" i="28" a="1"/>
  <c r="Z323" i="28" s="1"/>
  <c r="AO323" i="28" a="1"/>
  <c r="AO323" i="28" s="1"/>
  <c r="K323" i="28" a="1"/>
  <c r="K323" i="28" s="1"/>
  <c r="P323" i="28" a="1"/>
  <c r="P323" i="28" s="1"/>
  <c r="AE323" i="28" a="1"/>
  <c r="AE323" i="28" s="1"/>
  <c r="AH323" i="28" a="1"/>
  <c r="AH323" i="28" s="1"/>
  <c r="U323" i="28" a="1"/>
  <c r="U323" i="28" s="1"/>
  <c r="V323" i="28" a="1"/>
  <c r="V323" i="28" s="1"/>
  <c r="AK323" i="28" a="1"/>
  <c r="AK323" i="28" s="1"/>
  <c r="W323" i="28" a="1"/>
  <c r="W323" i="28" s="1"/>
  <c r="AD323" i="28" a="1"/>
  <c r="AD323" i="28" s="1"/>
  <c r="AA323" i="28" a="1"/>
  <c r="AA323" i="28" s="1"/>
  <c r="M323" i="28" a="1"/>
  <c r="M323" i="28" s="1"/>
  <c r="T323" i="28" a="1"/>
  <c r="T323" i="28" s="1"/>
  <c r="AI323" i="28" a="1"/>
  <c r="AI323" i="28" s="1"/>
  <c r="AM323" i="28" a="1"/>
  <c r="AM323" i="28" s="1"/>
  <c r="Q323" i="28" a="1"/>
  <c r="Q323" i="28" s="1"/>
  <c r="Y323" i="28" a="1"/>
  <c r="Y323" i="28" s="1"/>
  <c r="R323" i="28" a="1"/>
  <c r="R323" i="28" s="1"/>
  <c r="L36" i="27"/>
  <c r="F36" i="27" s="1"/>
  <c r="L36" i="34"/>
  <c r="F36" i="34" s="1"/>
  <c r="E38" i="35"/>
  <c r="A45" i="10"/>
  <c r="B186" i="28"/>
  <c r="AS187" i="28"/>
  <c r="I186" i="28"/>
  <c r="H186" i="28"/>
  <c r="G186" i="28"/>
  <c r="D186" i="28"/>
  <c r="F186" i="28"/>
  <c r="E186"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7" i="28"/>
  <c r="H187" i="28"/>
  <c r="G187" i="28"/>
  <c r="E187" i="28"/>
  <c r="D187" i="28"/>
  <c r="F187" i="28"/>
  <c r="B187" i="28"/>
  <c r="J187"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M37" i="27" l="1"/>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AV38" i="38" s="1"/>
  <c r="F39" i="35"/>
  <c r="A40" i="35"/>
  <c r="J36" i="38"/>
  <c r="A36" i="38" s="1"/>
  <c r="D39" i="35"/>
  <c r="A37" i="27"/>
  <c r="D37" i="27" s="1"/>
  <c r="L36" i="36"/>
  <c r="C36" i="36" s="1"/>
  <c r="A36" i="36" s="1"/>
  <c r="AT41" i="35"/>
  <c r="L37" i="27" l="1"/>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M38" i="27" l="1"/>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J37" i="38"/>
  <c r="A37" i="38" s="1"/>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M39" i="27" l="1"/>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J38" i="38"/>
  <c r="A38" i="38"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L40" i="34" l="1"/>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J39" i="38"/>
  <c r="A39" i="38" s="1"/>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L41" i="27" l="1"/>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0" i="38"/>
  <c r="A40"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P42" i="27" l="1"/>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J41" i="38"/>
  <c r="A41" i="38" s="1"/>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L43" i="27" l="1"/>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J42" i="38"/>
  <c r="A42" i="38"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L44" i="27" l="1"/>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J43" i="38"/>
  <c r="A43" i="38"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O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L46" i="34" l="1"/>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4" i="38"/>
  <c r="A44" i="38" s="1"/>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M97" i="9" l="1"/>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J45" i="38"/>
  <c r="A45" i="38" s="1"/>
  <c r="D47" i="34"/>
  <c r="B47" i="34"/>
  <c r="M47" i="27" l="1"/>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AM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L47" i="27" l="1"/>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J46" i="38"/>
  <c r="A46" i="38" s="1"/>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L49" i="34" l="1"/>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J47" i="38"/>
  <c r="A47"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L49" i="27" l="1"/>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J48" i="38"/>
  <c r="A48" i="38" s="1"/>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AU49" i="38" s="1"/>
  <c r="D49" i="38" s="1"/>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L50" i="27" l="1"/>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c r="A49" i="38" s="1"/>
  <c r="P51" i="27" l="1"/>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L51" i="27" l="1"/>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0" i="38"/>
  <c r="A50" i="38" s="1"/>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M53" i="27" l="1"/>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J51" i="38"/>
  <c r="A51" i="38" s="1"/>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M54" i="27" l="1"/>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2" i="38"/>
  <c r="A52" i="38" s="1"/>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M55" i="27" l="1"/>
  <c r="N55" i="27"/>
  <c r="O55" i="27"/>
  <c r="P55" i="27"/>
  <c r="G66" i="10"/>
  <c r="H66" i="10"/>
  <c r="E66" i="10"/>
  <c r="I67" i="10"/>
  <c r="L67" i="10"/>
  <c r="F67" i="10"/>
  <c r="A55" i="27"/>
  <c r="D55" i="27" s="1"/>
  <c r="I56" i="27"/>
  <c r="AT54" i="38"/>
  <c r="E54" i="38" s="1"/>
  <c r="AS55" i="35"/>
  <c r="C55" i="35" s="1"/>
  <c r="B54" i="35"/>
  <c r="J53" i="38"/>
  <c r="A53" i="38" s="1"/>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D67" i="10" l="1"/>
  <c r="M56" i="27"/>
  <c r="N56" i="27"/>
  <c r="O56" i="27"/>
  <c r="P56" i="27"/>
  <c r="L56" i="34"/>
  <c r="F56" i="34" s="1"/>
  <c r="H67" i="10"/>
  <c r="E67" i="10"/>
  <c r="G67" i="10"/>
  <c r="I68" i="10"/>
  <c r="A68" i="10" s="1"/>
  <c r="F68" i="10"/>
  <c r="L68" i="10"/>
  <c r="AR56" i="35"/>
  <c r="B55" i="35"/>
  <c r="K51" i="36"/>
  <c r="C55" i="37"/>
  <c r="A55" i="37" s="1"/>
  <c r="D55" i="37" s="1"/>
  <c r="AT55" i="38"/>
  <c r="E55" i="38" s="1"/>
  <c r="E50" i="36"/>
  <c r="I57" i="27"/>
  <c r="J54" i="38"/>
  <c r="A54" i="38" s="1"/>
  <c r="D56" i="34"/>
  <c r="B56" i="34"/>
  <c r="A56" i="27"/>
  <c r="D56" i="27" s="1"/>
  <c r="D50" i="36"/>
  <c r="M65" i="39"/>
  <c r="C65" i="39" s="1"/>
  <c r="J57" i="34"/>
  <c r="J55" i="35"/>
  <c r="L56" i="27" l="1"/>
  <c r="F56" i="27" s="1"/>
  <c r="G55" i="35"/>
  <c r="C68" i="10"/>
  <c r="B68" i="10" s="1"/>
  <c r="G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M57" i="27" l="1"/>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J55" i="38"/>
  <c r="A55" i="38"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M58" i="27" l="1"/>
  <c r="N58" i="27"/>
  <c r="O58" i="27"/>
  <c r="P58" i="27"/>
  <c r="I59" i="27"/>
  <c r="J59" i="27" s="1"/>
  <c r="C59" i="27" s="1"/>
  <c r="AT58" i="35"/>
  <c r="AR58" i="35" s="1"/>
  <c r="D70" i="10"/>
  <c r="E70" i="10"/>
  <c r="G70" i="10"/>
  <c r="H70" i="10"/>
  <c r="C70" i="10"/>
  <c r="B70" i="10" s="1"/>
  <c r="K71" i="10"/>
  <c r="N67" i="39"/>
  <c r="D67" i="39" s="1"/>
  <c r="A67" i="39" s="1"/>
  <c r="L68" i="39"/>
  <c r="O68" i="39"/>
  <c r="J56" i="38"/>
  <c r="A56" i="38" s="1"/>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L59" i="27" l="1"/>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J57" i="38"/>
  <c r="A57" i="38" s="1"/>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M61" i="27" l="1"/>
  <c r="N61" i="27"/>
  <c r="O61" i="27"/>
  <c r="P61" i="27"/>
  <c r="L60" i="34"/>
  <c r="F60" i="34" s="1"/>
  <c r="AT60" i="35"/>
  <c r="AR60" i="35" s="1"/>
  <c r="H72" i="10"/>
  <c r="E72" i="10"/>
  <c r="G72" i="10"/>
  <c r="L73" i="10"/>
  <c r="I73" i="10"/>
  <c r="A73" i="10" s="1"/>
  <c r="F73" i="10"/>
  <c r="J61" i="34"/>
  <c r="I62" i="27"/>
  <c r="A59" i="35"/>
  <c r="B60" i="34"/>
  <c r="D60" i="34"/>
  <c r="A61" i="27"/>
  <c r="D61" i="27" s="1"/>
  <c r="AT59" i="38"/>
  <c r="E59" i="38" s="1"/>
  <c r="J58" i="38"/>
  <c r="A58"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I62" i="34" l="1"/>
  <c r="J62" i="34" s="1"/>
  <c r="C62" i="34" s="1"/>
  <c r="M61" i="34"/>
  <c r="N61" i="34"/>
  <c r="AT61" i="35"/>
  <c r="AR61" i="35" s="1"/>
  <c r="E59" i="35"/>
  <c r="D73" i="10"/>
  <c r="E73" i="10"/>
  <c r="H73" i="10"/>
  <c r="L74" i="10"/>
  <c r="I74" i="10"/>
  <c r="A74" i="10" s="1"/>
  <c r="F74" i="10"/>
  <c r="D54" i="36"/>
  <c r="D59" i="35"/>
  <c r="AT60" i="38"/>
  <c r="E60" i="38" s="1"/>
  <c r="G59" i="35"/>
  <c r="A60" i="35"/>
  <c r="I59" i="35"/>
  <c r="J59" i="38"/>
  <c r="A59" i="38" s="1"/>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L62" i="27" l="1"/>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J60" i="38"/>
  <c r="A60" i="38" s="1"/>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M64" i="27" l="1"/>
  <c r="N64" i="27"/>
  <c r="O64" i="27"/>
  <c r="P64" i="27"/>
  <c r="A76" i="10"/>
  <c r="C76" i="10"/>
  <c r="B76" i="10" s="1"/>
  <c r="K77" i="10"/>
  <c r="A64" i="27"/>
  <c r="D64" i="27" s="1"/>
  <c r="N73" i="39"/>
  <c r="D73" i="39" s="1"/>
  <c r="A73" i="39" s="1"/>
  <c r="L74" i="39"/>
  <c r="O74" i="39"/>
  <c r="A62" i="35"/>
  <c r="AT63" i="35"/>
  <c r="C64" i="34"/>
  <c r="I64" i="37"/>
  <c r="J61" i="38"/>
  <c r="A61" i="38" s="1"/>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L64" i="34" l="1"/>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J62" i="38"/>
  <c r="A62" i="38" s="1"/>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P66" i="27" l="1"/>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J63" i="38"/>
  <c r="A63" i="38" s="1"/>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L67" i="27" l="1"/>
  <c r="F67" i="27" s="1"/>
  <c r="N67" i="34"/>
  <c r="M67" i="34"/>
  <c r="F64" i="35"/>
  <c r="C80" i="10"/>
  <c r="B80" i="10" s="1"/>
  <c r="G80" i="10" s="1"/>
  <c r="K81" i="10"/>
  <c r="N77" i="39"/>
  <c r="D77" i="39" s="1"/>
  <c r="A77" i="39" s="1"/>
  <c r="L78" i="39"/>
  <c r="O78" i="39"/>
  <c r="D64" i="35"/>
  <c r="E64" i="35"/>
  <c r="J64" i="38"/>
  <c r="A64" i="38" s="1"/>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M68" i="27" l="1"/>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8"/>
  <c r="A65" i="38" s="1"/>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L69" i="27" l="1"/>
  <c r="F69" i="27" s="1"/>
  <c r="M69" i="34"/>
  <c r="N69" i="34"/>
  <c r="F66" i="35"/>
  <c r="G82" i="10"/>
  <c r="D82" i="10"/>
  <c r="E82" i="10"/>
  <c r="I83" i="10"/>
  <c r="A83" i="10" s="1"/>
  <c r="F83" i="10"/>
  <c r="L83" i="10"/>
  <c r="G66" i="35"/>
  <c r="D66" i="35"/>
  <c r="I66" i="35"/>
  <c r="E66" i="35"/>
  <c r="AT67" i="38"/>
  <c r="E67" i="38" s="1"/>
  <c r="J66" i="38"/>
  <c r="A66"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L70" i="27" l="1"/>
  <c r="F70" i="27" s="1"/>
  <c r="H83" i="10"/>
  <c r="D83" i="10"/>
  <c r="G83" i="10"/>
  <c r="F84" i="10"/>
  <c r="I84" i="10"/>
  <c r="A84" i="10" s="1"/>
  <c r="L84" i="10"/>
  <c r="E61" i="36"/>
  <c r="D61" i="36"/>
  <c r="AS68" i="35"/>
  <c r="C68" i="35" s="1"/>
  <c r="I70" i="37"/>
  <c r="C70" i="34"/>
  <c r="AT68" i="38"/>
  <c r="C68" i="38" s="1"/>
  <c r="B67" i="35"/>
  <c r="J67" i="38"/>
  <c r="A67" i="38" s="1"/>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L71" i="27" l="1"/>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J68" i="38"/>
  <c r="A68"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A73" i="27" l="1"/>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J69" i="38"/>
  <c r="A69" i="38" s="1"/>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L74" i="27" l="1"/>
  <c r="F74" i="27" s="1"/>
  <c r="L74" i="34"/>
  <c r="F74" i="34" s="1"/>
  <c r="AT72" i="35"/>
  <c r="AR72" i="35" s="1"/>
  <c r="K89" i="10"/>
  <c r="C88" i="10"/>
  <c r="B88" i="10" s="1"/>
  <c r="H88" i="10" s="1"/>
  <c r="L86" i="39"/>
  <c r="D74" i="34"/>
  <c r="B74" i="34"/>
  <c r="J70" i="38"/>
  <c r="A70" i="38" s="1"/>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V72" i="38" s="1"/>
  <c r="A75" i="34"/>
  <c r="E75" i="34"/>
  <c r="A75" i="27"/>
  <c r="D75" i="27" s="1"/>
  <c r="I76" i="34"/>
  <c r="M86" i="39"/>
  <c r="C86" i="39" s="1"/>
  <c r="M66" i="36"/>
  <c r="AS72" i="35"/>
  <c r="C72" i="35" s="1"/>
  <c r="G65" i="36"/>
  <c r="F65" i="36"/>
  <c r="H65" i="36"/>
  <c r="B65" i="36"/>
  <c r="I65" i="36" s="1"/>
  <c r="B71" i="35"/>
  <c r="J71" i="35"/>
  <c r="L75" i="27" l="1"/>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C76" i="27" l="1"/>
  <c r="D89" i="10"/>
  <c r="I90" i="10"/>
  <c r="F90" i="10"/>
  <c r="L90" i="10"/>
  <c r="E89" i="10"/>
  <c r="H89" i="10"/>
  <c r="J71" i="38"/>
  <c r="A71" i="38" s="1"/>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L76" i="27" l="1"/>
  <c r="F76" i="27" s="1"/>
  <c r="L76" i="34"/>
  <c r="F76" i="34" s="1"/>
  <c r="C77" i="27"/>
  <c r="H90" i="10"/>
  <c r="E90" i="10"/>
  <c r="G90" i="10"/>
  <c r="D90" i="10"/>
  <c r="F91" i="10"/>
  <c r="I91" i="10"/>
  <c r="A91" i="10" s="1"/>
  <c r="L91" i="10"/>
  <c r="E66" i="36"/>
  <c r="J77" i="34"/>
  <c r="D66" i="36"/>
  <c r="K67" i="36"/>
  <c r="AT73" i="38"/>
  <c r="C73" i="38" s="1"/>
  <c r="A73" i="35"/>
  <c r="J72" i="38"/>
  <c r="A72" i="38" s="1"/>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N78" i="27" l="1"/>
  <c r="P78" i="27"/>
  <c r="M78" i="27"/>
  <c r="O78" i="27"/>
  <c r="L77" i="34"/>
  <c r="F77" i="34" s="1"/>
  <c r="D78" i="27"/>
  <c r="I79" i="27"/>
  <c r="AT75" i="35"/>
  <c r="AR75" i="35" s="1"/>
  <c r="D77" i="34"/>
  <c r="C78" i="34"/>
  <c r="C92" i="10"/>
  <c r="B92" i="10" s="1"/>
  <c r="E92" i="10" s="1"/>
  <c r="K93" i="10"/>
  <c r="E67" i="36"/>
  <c r="D67" i="36"/>
  <c r="N89" i="39"/>
  <c r="D89" i="39" s="1"/>
  <c r="A89" i="39" s="1"/>
  <c r="L90" i="39"/>
  <c r="O90" i="39"/>
  <c r="J73" i="38"/>
  <c r="A73" i="38" s="1"/>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M79" i="27" l="1"/>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J74" i="38"/>
  <c r="A74" i="38" s="1"/>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L80" i="34" l="1"/>
  <c r="F80" i="34" s="1"/>
  <c r="G94" i="10"/>
  <c r="E94" i="10"/>
  <c r="H94" i="10"/>
  <c r="D94" i="10"/>
  <c r="I95" i="10"/>
  <c r="A95" i="10" s="1"/>
  <c r="L95" i="10"/>
  <c r="F95" i="10"/>
  <c r="J75" i="38"/>
  <c r="A75" i="38" s="1"/>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AT78" i="35" l="1"/>
  <c r="AR78" i="35" s="1"/>
  <c r="C96" i="10"/>
  <c r="B96" i="10" s="1"/>
  <c r="H96" i="10" s="1"/>
  <c r="K97" i="10"/>
  <c r="N93" i="39"/>
  <c r="D93" i="39" s="1"/>
  <c r="A93" i="39" s="1"/>
  <c r="O94" i="39"/>
  <c r="L94" i="39"/>
  <c r="M71" i="36"/>
  <c r="G70" i="36"/>
  <c r="F70" i="36"/>
  <c r="B70" i="36"/>
  <c r="I70" i="36" s="1"/>
  <c r="H70" i="36"/>
  <c r="AT77" i="38"/>
  <c r="C77" i="38" s="1"/>
  <c r="J76" i="38"/>
  <c r="A76"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E97" i="10" l="1"/>
  <c r="G97" i="10"/>
  <c r="H97" i="10"/>
  <c r="D97" i="10"/>
  <c r="L98" i="10"/>
  <c r="F98" i="10"/>
  <c r="I98" i="10"/>
  <c r="A98" i="10" s="1"/>
  <c r="AT78" i="38"/>
  <c r="E78" i="38" s="1"/>
  <c r="J77" i="38"/>
  <c r="A77"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L99" i="10" l="1"/>
  <c r="I99" i="10"/>
  <c r="F99" i="10"/>
  <c r="B79" i="35"/>
  <c r="AT79" i="38"/>
  <c r="E79" i="38" s="1"/>
  <c r="L72" i="36"/>
  <c r="C72" i="36" s="1"/>
  <c r="A72" i="36" s="1"/>
  <c r="J78" i="38"/>
  <c r="A78" i="38"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D99" i="10" l="1"/>
  <c r="AT81" i="35"/>
  <c r="AR81" i="35" s="1"/>
  <c r="L100" i="10"/>
  <c r="F100" i="10"/>
  <c r="I100" i="10"/>
  <c r="A100" i="10" s="1"/>
  <c r="G99" i="10"/>
  <c r="H99" i="10"/>
  <c r="E99" i="10"/>
  <c r="D72" i="36"/>
  <c r="K73" i="36"/>
  <c r="A80" i="35"/>
  <c r="AT80" i="38"/>
  <c r="E80" i="38" s="1"/>
  <c r="E72" i="36"/>
  <c r="J79" i="38"/>
  <c r="A79" i="38" s="1"/>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G80" i="35" l="1"/>
  <c r="F101" i="10"/>
  <c r="L101" i="10"/>
  <c r="I101" i="10"/>
  <c r="A101" i="10" s="1"/>
  <c r="D100" i="10"/>
  <c r="G100" i="10"/>
  <c r="E100" i="10"/>
  <c r="G73" i="36"/>
  <c r="F73" i="36"/>
  <c r="H73" i="36"/>
  <c r="B73" i="36"/>
  <c r="I73" i="36" s="1"/>
  <c r="AT81" i="38"/>
  <c r="E81" i="38" s="1"/>
  <c r="A81" i="35"/>
  <c r="AT82" i="35"/>
  <c r="E80" i="35"/>
  <c r="D80" i="35"/>
  <c r="J80" i="38"/>
  <c r="A80" i="38" s="1"/>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D81" i="35" l="1"/>
  <c r="G101" i="10"/>
  <c r="I102" i="10"/>
  <c r="F102" i="10"/>
  <c r="L102" i="10"/>
  <c r="D101" i="10"/>
  <c r="E101" i="10"/>
  <c r="H81" i="35"/>
  <c r="F81" i="35"/>
  <c r="M99" i="39"/>
  <c r="C99" i="39" s="1"/>
  <c r="AT82" i="38"/>
  <c r="C82" i="38" s="1"/>
  <c r="L74" i="36"/>
  <c r="C74" i="36" s="1"/>
  <c r="A74" i="36" s="1"/>
  <c r="AS82" i="35"/>
  <c r="C82" i="35" s="1"/>
  <c r="J81" i="38"/>
  <c r="A81" i="38"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C103" i="10" l="1"/>
  <c r="B103" i="10" s="1"/>
  <c r="E103" i="10" s="1"/>
  <c r="K104" i="10"/>
  <c r="N100" i="39"/>
  <c r="D100" i="39" s="1"/>
  <c r="A100" i="39" s="1"/>
  <c r="O101" i="39"/>
  <c r="L101" i="39"/>
  <c r="L75" i="36"/>
  <c r="C75" i="36" s="1"/>
  <c r="A75" i="36" s="1"/>
  <c r="E82" i="35"/>
  <c r="H82" i="35"/>
  <c r="F82" i="35"/>
  <c r="D82" i="35"/>
  <c r="J82" i="38"/>
  <c r="A82" i="38" s="1"/>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D83" i="35" l="1"/>
  <c r="D104" i="10"/>
  <c r="G104" i="10"/>
  <c r="H104" i="10"/>
  <c r="L105" i="10"/>
  <c r="I105" i="10"/>
  <c r="F105" i="10"/>
  <c r="H83" i="35"/>
  <c r="I83" i="35"/>
  <c r="AT84" i="38"/>
  <c r="C84" i="38" s="1"/>
  <c r="G83" i="35"/>
  <c r="J83" i="38"/>
  <c r="A83" i="38" s="1"/>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C106" i="10" l="1"/>
  <c r="B106" i="10" s="1"/>
  <c r="G106" i="10" s="1"/>
  <c r="K107" i="10"/>
  <c r="N103" i="39"/>
  <c r="D103" i="39" s="1"/>
  <c r="A103" i="39" s="1"/>
  <c r="L104" i="39"/>
  <c r="O104" i="39"/>
  <c r="A85" i="35"/>
  <c r="AT86" i="35"/>
  <c r="AT85" i="38"/>
  <c r="C85" i="38" s="1"/>
  <c r="L77" i="36"/>
  <c r="C77" i="36" s="1"/>
  <c r="A77" i="36" s="1"/>
  <c r="J84" i="38"/>
  <c r="A84" i="38"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I108" i="10" l="1"/>
  <c r="A108" i="10" s="1"/>
  <c r="F108" i="10"/>
  <c r="L108" i="10"/>
  <c r="E107" i="10"/>
  <c r="G107" i="10"/>
  <c r="D107" i="10"/>
  <c r="A86" i="35"/>
  <c r="AT87" i="35"/>
  <c r="L78" i="36"/>
  <c r="C78" i="36" s="1"/>
  <c r="A78" i="36" s="1"/>
  <c r="AT86" i="38"/>
  <c r="E86" i="38" s="1"/>
  <c r="J85" i="38"/>
  <c r="A85"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D86" i="35" l="1"/>
  <c r="I109" i="10"/>
  <c r="A109" i="10" s="1"/>
  <c r="F109" i="10"/>
  <c r="L109" i="10"/>
  <c r="D78" i="36"/>
  <c r="E78" i="36"/>
  <c r="H86" i="35"/>
  <c r="G86" i="35"/>
  <c r="AT87" i="38"/>
  <c r="E87" i="38" s="1"/>
  <c r="K79" i="36"/>
  <c r="AS87" i="35"/>
  <c r="C87" i="35" s="1"/>
  <c r="J86" i="38"/>
  <c r="A86" i="38" s="1"/>
  <c r="I86" i="35"/>
  <c r="E86" i="35"/>
  <c r="M106" i="39"/>
  <c r="C106" i="39" s="1"/>
  <c r="F86" i="35"/>
  <c r="K110" i="10" l="1"/>
  <c r="C109" i="10"/>
  <c r="B109" i="10" s="1"/>
  <c r="G109" i="10" s="1"/>
  <c r="N106" i="39"/>
  <c r="D106" i="39" s="1"/>
  <c r="A106" i="39" s="1"/>
  <c r="L107" i="39"/>
  <c r="O107" i="39"/>
  <c r="AU87" i="38"/>
  <c r="D87" i="38" s="1"/>
  <c r="AS88" i="38"/>
  <c r="AV88" i="38"/>
  <c r="A87" i="35"/>
  <c r="L79" i="36"/>
  <c r="C79" i="36" s="1"/>
  <c r="A79" i="36" s="1"/>
  <c r="C87" i="38"/>
  <c r="AT88" i="35"/>
  <c r="H109" i="10" l="1"/>
  <c r="E109" i="10"/>
  <c r="D109" i="10"/>
  <c r="I110" i="10"/>
  <c r="A110" i="10" s="1"/>
  <c r="F110" i="10"/>
  <c r="L110" i="10"/>
  <c r="B87" i="35"/>
  <c r="AT88" i="38"/>
  <c r="C88" i="38" s="1"/>
  <c r="J87" i="38"/>
  <c r="A87"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K112" i="10" l="1"/>
  <c r="C111" i="10"/>
  <c r="B111" i="10" s="1"/>
  <c r="H111" i="10" s="1"/>
  <c r="N108" i="39"/>
  <c r="D108" i="39" s="1"/>
  <c r="A108" i="39" s="1"/>
  <c r="L109" i="39"/>
  <c r="O109" i="39"/>
  <c r="AT89" i="38"/>
  <c r="C89" i="38" s="1"/>
  <c r="J88" i="38"/>
  <c r="A88"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D89" i="35" l="1"/>
  <c r="G112" i="10"/>
  <c r="E112" i="10"/>
  <c r="H112" i="10"/>
  <c r="L113" i="10"/>
  <c r="F113" i="10"/>
  <c r="I113" i="10"/>
  <c r="E89" i="35"/>
  <c r="F89" i="35"/>
  <c r="H89" i="35"/>
  <c r="G89" i="35"/>
  <c r="I89" i="35"/>
  <c r="A90" i="35"/>
  <c r="F81" i="36"/>
  <c r="B81" i="36"/>
  <c r="I81" i="36" s="1"/>
  <c r="H81" i="36"/>
  <c r="G81" i="36"/>
  <c r="M82" i="36"/>
  <c r="AT91" i="35"/>
  <c r="M110" i="39"/>
  <c r="C110" i="39" s="1"/>
  <c r="AT90" i="38"/>
  <c r="E90" i="38" s="1"/>
  <c r="J89" i="38"/>
  <c r="A89" i="38" s="1"/>
  <c r="A113" i="10" l="1"/>
  <c r="C113" i="10"/>
  <c r="B113" i="10" s="1"/>
  <c r="K114" i="10"/>
  <c r="AU90" i="38"/>
  <c r="D90" i="38" s="1"/>
  <c r="AV91" i="38"/>
  <c r="AS91" i="38"/>
  <c r="N110" i="39"/>
  <c r="D110" i="39" s="1"/>
  <c r="A110" i="39" s="1"/>
  <c r="L111" i="39"/>
  <c r="O111" i="39"/>
  <c r="K82" i="36"/>
  <c r="D81" i="36"/>
  <c r="C90" i="38"/>
  <c r="AR91" i="35"/>
  <c r="E81" i="36"/>
  <c r="B90" i="35"/>
  <c r="J90" i="35"/>
  <c r="H90" i="35" l="1"/>
  <c r="D113" i="10"/>
  <c r="F114" i="10"/>
  <c r="I114" i="10"/>
  <c r="A114" i="10" s="1"/>
  <c r="L114" i="10"/>
  <c r="E113" i="10"/>
  <c r="G113" i="10"/>
  <c r="H113" i="10"/>
  <c r="F90" i="35"/>
  <c r="D90" i="35"/>
  <c r="E90" i="35"/>
  <c r="G90" i="35"/>
  <c r="L82" i="36"/>
  <c r="C82" i="36" s="1"/>
  <c r="A82" i="36" s="1"/>
  <c r="M111" i="39"/>
  <c r="C111" i="39" s="1"/>
  <c r="AT91" i="38"/>
  <c r="C91" i="38" s="1"/>
  <c r="I90" i="35"/>
  <c r="AS91" i="35"/>
  <c r="C91" i="35" s="1"/>
  <c r="J90" i="38"/>
  <c r="A90" i="38"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I91" i="35" l="1"/>
  <c r="C115" i="10"/>
  <c r="B115" i="10" s="1"/>
  <c r="G115" i="10" s="1"/>
  <c r="K116" i="10"/>
  <c r="H91" i="35"/>
  <c r="E91" i="35"/>
  <c r="G91" i="35"/>
  <c r="F91" i="35"/>
  <c r="D91" i="35"/>
  <c r="N112" i="39"/>
  <c r="D112" i="39" s="1"/>
  <c r="A112" i="39" s="1"/>
  <c r="L113" i="39"/>
  <c r="O113" i="39"/>
  <c r="AT93" i="35"/>
  <c r="A92" i="35"/>
  <c r="AT92" i="38"/>
  <c r="E92" i="38" s="1"/>
  <c r="J91" i="38"/>
  <c r="A91" i="38" s="1"/>
  <c r="L83" i="36"/>
  <c r="C83" i="36" s="1"/>
  <c r="A83" i="36" s="1"/>
  <c r="H115" i="10" l="1"/>
  <c r="D115" i="10"/>
  <c r="E115" i="10"/>
  <c r="I116" i="10"/>
  <c r="A116" i="10" s="1"/>
  <c r="L116" i="10"/>
  <c r="F116" i="10"/>
  <c r="AU92" i="38"/>
  <c r="D92" i="38" s="1"/>
  <c r="AV93" i="38"/>
  <c r="AS93" i="38"/>
  <c r="H83" i="36"/>
  <c r="B83" i="36"/>
  <c r="I83" i="36" s="1"/>
  <c r="F83" i="36"/>
  <c r="G83" i="36"/>
  <c r="C92" i="38"/>
  <c r="B92" i="35"/>
  <c r="AR93" i="35"/>
  <c r="M84" i="36"/>
  <c r="M113" i="39"/>
  <c r="C113" i="39" s="1"/>
  <c r="J92" i="35"/>
  <c r="K117" i="10" l="1"/>
  <c r="C116" i="10"/>
  <c r="B116" i="10" s="1"/>
  <c r="G116" i="10" s="1"/>
  <c r="N113" i="39"/>
  <c r="D113" i="39" s="1"/>
  <c r="A113" i="39" s="1"/>
  <c r="L114" i="39"/>
  <c r="O114" i="39"/>
  <c r="AS93" i="35"/>
  <c r="C93" i="35" s="1"/>
  <c r="D83" i="36"/>
  <c r="E83" i="36"/>
  <c r="E92" i="35"/>
  <c r="H92" i="35"/>
  <c r="AT93" i="38"/>
  <c r="C93" i="38" s="1"/>
  <c r="F92" i="35"/>
  <c r="G92" i="35"/>
  <c r="D92" i="35"/>
  <c r="J92" i="38"/>
  <c r="A92" i="38" s="1"/>
  <c r="K84" i="36"/>
  <c r="I92" i="35"/>
  <c r="H116" i="10" l="1"/>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I93" i="35" l="1"/>
  <c r="F118" i="10"/>
  <c r="L118" i="10"/>
  <c r="I118" i="10"/>
  <c r="A118" i="10" s="1"/>
  <c r="AT94" i="38"/>
  <c r="E94" i="38" s="1"/>
  <c r="G93" i="35"/>
  <c r="E93" i="35"/>
  <c r="AS94" i="35"/>
  <c r="C94" i="35" s="1"/>
  <c r="F93" i="35"/>
  <c r="H93" i="35"/>
  <c r="E84" i="36"/>
  <c r="K85" i="36"/>
  <c r="J93" i="38"/>
  <c r="A93" i="38" s="1"/>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F119" i="10" l="1"/>
  <c r="L119" i="10"/>
  <c r="I119" i="10"/>
  <c r="A119" i="10" s="1"/>
  <c r="D118" i="10"/>
  <c r="G118" i="10"/>
  <c r="H118" i="10"/>
  <c r="M86" i="36"/>
  <c r="B94" i="35"/>
  <c r="AT95" i="38"/>
  <c r="E95" i="38" s="1"/>
  <c r="AR95" i="35"/>
  <c r="J94" i="38"/>
  <c r="A94" i="38" s="1"/>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L120" i="10" l="1"/>
  <c r="I120" i="10"/>
  <c r="A120" i="10" s="1"/>
  <c r="F120" i="10"/>
  <c r="D119" i="10"/>
  <c r="G119" i="10"/>
  <c r="E119" i="10"/>
  <c r="AT96" i="38"/>
  <c r="C96" i="38" s="1"/>
  <c r="L86" i="36"/>
  <c r="C86" i="36" s="1"/>
  <c r="A86" i="36" s="1"/>
  <c r="J95" i="38"/>
  <c r="A95" i="38"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AT97" i="35" l="1"/>
  <c r="AR97" i="35" s="1"/>
  <c r="C121" i="10"/>
  <c r="B121" i="10" s="1"/>
  <c r="H121" i="10" s="1"/>
  <c r="K122" i="10"/>
  <c r="N118" i="39"/>
  <c r="D118" i="39" s="1"/>
  <c r="A118" i="39" s="1"/>
  <c r="O119" i="39"/>
  <c r="L119" i="39"/>
  <c r="J96" i="38"/>
  <c r="A96" i="38" s="1"/>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G96" i="35" l="1"/>
  <c r="K123" i="10"/>
  <c r="C122" i="10"/>
  <c r="B122" i="10" s="1"/>
  <c r="D122" i="10" s="1"/>
  <c r="N119" i="39"/>
  <c r="D119" i="39" s="1"/>
  <c r="A119" i="39" s="1"/>
  <c r="L120" i="39"/>
  <c r="O120" i="39"/>
  <c r="D96" i="35"/>
  <c r="K88" i="36"/>
  <c r="F96" i="35"/>
  <c r="H96" i="35"/>
  <c r="E96" i="35"/>
  <c r="AT98" i="38"/>
  <c r="C98" i="38" s="1"/>
  <c r="A97" i="35"/>
  <c r="I96" i="35"/>
  <c r="D87" i="36"/>
  <c r="E87" i="36"/>
  <c r="AT98" i="35"/>
  <c r="J97" i="38"/>
  <c r="A97" i="38" s="1"/>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AT99" i="35" l="1"/>
  <c r="AR99" i="35" s="1"/>
  <c r="L124" i="10"/>
  <c r="F124" i="10"/>
  <c r="I124" i="10"/>
  <c r="H123" i="10"/>
  <c r="G123" i="10"/>
  <c r="D123" i="10"/>
  <c r="D88" i="36"/>
  <c r="K89" i="36"/>
  <c r="J98" i="38"/>
  <c r="A98" i="38" s="1"/>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A125" i="10" l="1"/>
  <c r="K126" i="10"/>
  <c r="C125" i="10"/>
  <c r="B125" i="10" s="1"/>
  <c r="D89" i="36"/>
  <c r="N122" i="39"/>
  <c r="D122" i="39" s="1"/>
  <c r="A122" i="39" s="1"/>
  <c r="L123" i="39"/>
  <c r="O123" i="39"/>
  <c r="AR100" i="35"/>
  <c r="K90" i="36"/>
  <c r="AT100" i="38"/>
  <c r="E100" i="38" s="1"/>
  <c r="J99" i="38"/>
  <c r="A99"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G126" i="10" l="1"/>
  <c r="E126" i="10"/>
  <c r="D126" i="10"/>
  <c r="H126" i="10"/>
  <c r="C126" i="10"/>
  <c r="B126" i="10" s="1"/>
  <c r="K127" i="10"/>
  <c r="N123" i="39"/>
  <c r="D123" i="39" s="1"/>
  <c r="A123" i="39" s="1"/>
  <c r="O124" i="39"/>
  <c r="L124" i="39"/>
  <c r="F90" i="36"/>
  <c r="H90" i="36"/>
  <c r="B90" i="36"/>
  <c r="I90" i="36" s="1"/>
  <c r="G90" i="36"/>
  <c r="M91" i="36"/>
  <c r="A100" i="35"/>
  <c r="AT101" i="38"/>
  <c r="C101" i="38" s="1"/>
  <c r="J100" i="38"/>
  <c r="A100"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H127" i="10" l="1"/>
  <c r="G127" i="10"/>
  <c r="E127" i="10"/>
  <c r="I128" i="10"/>
  <c r="A128" i="10" s="1"/>
  <c r="L128" i="10"/>
  <c r="F128" i="10"/>
  <c r="M92" i="36"/>
  <c r="J101" i="38"/>
  <c r="A101" i="38" s="1"/>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H101" i="35" l="1"/>
  <c r="E128" i="10"/>
  <c r="H128" i="10"/>
  <c r="G128" i="10"/>
  <c r="I129" i="10"/>
  <c r="F129" i="10"/>
  <c r="L129" i="10"/>
  <c r="I101" i="35"/>
  <c r="AS102" i="35"/>
  <c r="C102" i="35" s="1"/>
  <c r="AT103" i="38"/>
  <c r="C103" i="38" s="1"/>
  <c r="L92" i="36"/>
  <c r="C92" i="36" s="1"/>
  <c r="A92" i="36" s="1"/>
  <c r="D101" i="35"/>
  <c r="E101" i="35"/>
  <c r="J102" i="38"/>
  <c r="A102" i="38" s="1"/>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F102" i="35" l="1"/>
  <c r="C130" i="10"/>
  <c r="B130" i="10" s="1"/>
  <c r="G130" i="10" s="1"/>
  <c r="K131" i="10"/>
  <c r="E102" i="35"/>
  <c r="N127" i="39"/>
  <c r="D127" i="39" s="1"/>
  <c r="A127" i="39" s="1"/>
  <c r="L128" i="39"/>
  <c r="O128" i="39"/>
  <c r="AT104" i="38"/>
  <c r="C104" i="38" s="1"/>
  <c r="G102" i="35"/>
  <c r="L93" i="36"/>
  <c r="C93" i="36" s="1"/>
  <c r="A93" i="36" s="1"/>
  <c r="D102" i="35"/>
  <c r="J103" i="38"/>
  <c r="A103" i="38" s="1"/>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G131" i="10" l="1"/>
  <c r="H131" i="10"/>
  <c r="D131" i="10"/>
  <c r="F132" i="10"/>
  <c r="I132" i="10"/>
  <c r="A132" i="10" s="1"/>
  <c r="L132" i="10"/>
  <c r="AT105" i="38"/>
  <c r="E105" i="38" s="1"/>
  <c r="J104" i="38"/>
  <c r="A104"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D104" i="35" l="1"/>
  <c r="H132" i="10"/>
  <c r="E132" i="10"/>
  <c r="D132" i="10"/>
  <c r="I133" i="10"/>
  <c r="A133" i="10" s="1"/>
  <c r="F133" i="10"/>
  <c r="L133" i="10"/>
  <c r="F104" i="35"/>
  <c r="H104" i="35"/>
  <c r="D94" i="36"/>
  <c r="E104" i="35"/>
  <c r="AT106" i="38"/>
  <c r="E106" i="38" s="1"/>
  <c r="E94" i="36"/>
  <c r="G104" i="35"/>
  <c r="AS105" i="35"/>
  <c r="C105" i="35" s="1"/>
  <c r="J105" i="38"/>
  <c r="A105" i="38"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G133" i="10" l="1"/>
  <c r="E133" i="10"/>
  <c r="H133" i="10"/>
  <c r="L134" i="10"/>
  <c r="I134" i="10"/>
  <c r="A134" i="10" s="1"/>
  <c r="F134" i="10"/>
  <c r="AT107" i="38"/>
  <c r="C107" i="38" s="1"/>
  <c r="M96" i="36"/>
  <c r="AR106" i="35"/>
  <c r="J106" i="38"/>
  <c r="A106" i="38" s="1"/>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C135" i="10" l="1"/>
  <c r="B135" i="10" s="1"/>
  <c r="H135" i="10" s="1"/>
  <c r="K136" i="10"/>
  <c r="N132" i="39"/>
  <c r="D132" i="39" s="1"/>
  <c r="A132" i="39" s="1"/>
  <c r="O133" i="39"/>
  <c r="L133" i="39"/>
  <c r="AT108" i="38"/>
  <c r="C108" i="38" s="1"/>
  <c r="J107" i="38"/>
  <c r="A107"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F137" i="10" l="1"/>
  <c r="I137" i="10"/>
  <c r="A137" i="10" s="1"/>
  <c r="L137" i="10"/>
  <c r="H136" i="10"/>
  <c r="E136" i="10"/>
  <c r="G136" i="10"/>
  <c r="AR108" i="35"/>
  <c r="H97" i="36"/>
  <c r="B97" i="36"/>
  <c r="I97" i="36" s="1"/>
  <c r="G97" i="36"/>
  <c r="F97" i="36"/>
  <c r="M98" i="36"/>
  <c r="AT109" i="38"/>
  <c r="E109" i="38" s="1"/>
  <c r="J108" i="38"/>
  <c r="A108"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G137" i="10" l="1"/>
  <c r="D137" i="10"/>
  <c r="H137" i="10"/>
  <c r="I138" i="10"/>
  <c r="A138" i="10" s="1"/>
  <c r="F138" i="10"/>
  <c r="L138" i="10"/>
  <c r="L98" i="36"/>
  <c r="C98" i="36" s="1"/>
  <c r="A98" i="36" s="1"/>
  <c r="AT110" i="38"/>
  <c r="E110" i="38" s="1"/>
  <c r="A108" i="35"/>
  <c r="J109" i="38"/>
  <c r="A109" i="38" s="1"/>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E108" i="35" l="1"/>
  <c r="L139" i="10"/>
  <c r="I139" i="10"/>
  <c r="A139" i="10" s="1"/>
  <c r="F139" i="10"/>
  <c r="G138" i="10"/>
  <c r="H138" i="10"/>
  <c r="E138" i="10"/>
  <c r="D98" i="36"/>
  <c r="F108" i="35"/>
  <c r="E98" i="36"/>
  <c r="I108" i="35"/>
  <c r="G108" i="35"/>
  <c r="H108" i="35"/>
  <c r="AT111" i="38"/>
  <c r="C111" i="38" s="1"/>
  <c r="K99" i="36"/>
  <c r="AS109" i="35"/>
  <c r="C109" i="35" s="1"/>
  <c r="J110" i="38"/>
  <c r="A110" i="38"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F109" i="35" l="1"/>
  <c r="K141" i="10"/>
  <c r="C140" i="10"/>
  <c r="B140" i="10" s="1"/>
  <c r="A140" i="10"/>
  <c r="D99" i="36"/>
  <c r="E99" i="36"/>
  <c r="N137" i="39"/>
  <c r="D137" i="39" s="1"/>
  <c r="A137" i="39" s="1"/>
  <c r="O138" i="39"/>
  <c r="L138" i="39"/>
  <c r="AT112" i="38"/>
  <c r="E112" i="38" s="1"/>
  <c r="I109" i="35"/>
  <c r="E109" i="35"/>
  <c r="J111" i="38"/>
  <c r="A111" i="38" s="1"/>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C141" i="10" l="1"/>
  <c r="B141" i="10" s="1"/>
  <c r="D141" i="10" s="1"/>
  <c r="K142" i="10"/>
  <c r="N138" i="39"/>
  <c r="D138" i="39" s="1"/>
  <c r="A138" i="39" s="1"/>
  <c r="O139" i="39"/>
  <c r="L139" i="39"/>
  <c r="AS111" i="35"/>
  <c r="C111" i="35" s="1"/>
  <c r="B100" i="36"/>
  <c r="I100" i="36" s="1"/>
  <c r="H100" i="36"/>
  <c r="F100" i="36"/>
  <c r="G100" i="36"/>
  <c r="M101" i="36"/>
  <c r="AT113" i="38"/>
  <c r="E113" i="38" s="1"/>
  <c r="B110" i="35"/>
  <c r="J112" i="38"/>
  <c r="A112" i="38" s="1"/>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K143" i="10" l="1"/>
  <c r="C142" i="10"/>
  <c r="B142" i="10" s="1"/>
  <c r="E142" i="10" s="1"/>
  <c r="N139" i="39"/>
  <c r="D139" i="39" s="1"/>
  <c r="A139" i="39" s="1"/>
  <c r="L140" i="39"/>
  <c r="O140" i="39"/>
  <c r="L101" i="36"/>
  <c r="C101" i="36" s="1"/>
  <c r="A101" i="36" s="1"/>
  <c r="AT114" i="38"/>
  <c r="C114" i="38" s="1"/>
  <c r="B111" i="35"/>
  <c r="AR112" i="35"/>
  <c r="J113" i="38"/>
  <c r="A113" i="38" s="1"/>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H143" i="10" l="1"/>
  <c r="E143" i="10"/>
  <c r="D143" i="10"/>
  <c r="F144" i="10"/>
  <c r="L144" i="10"/>
  <c r="I144" i="10"/>
  <c r="A144" i="10" s="1"/>
  <c r="B112" i="35"/>
  <c r="AS113" i="35"/>
  <c r="C113" i="35" s="1"/>
  <c r="L102" i="36"/>
  <c r="C102" i="36" s="1"/>
  <c r="A102" i="36" s="1"/>
  <c r="M141" i="39"/>
  <c r="C141" i="39" s="1"/>
  <c r="AT115" i="38"/>
  <c r="C115" i="38" s="1"/>
  <c r="J114" i="38"/>
  <c r="A114"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C145" i="10" l="1"/>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J115" i="38"/>
  <c r="A115" i="38"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G146" i="10" l="1"/>
  <c r="E146" i="10"/>
  <c r="H146" i="10"/>
  <c r="F147" i="10"/>
  <c r="L147" i="10"/>
  <c r="I147" i="10"/>
  <c r="A147" i="10" s="1"/>
  <c r="G114" i="35"/>
  <c r="K105" i="36"/>
  <c r="AT117" i="38"/>
  <c r="C117" i="38" s="1"/>
  <c r="J116" i="38"/>
  <c r="A116"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AT117" i="35" l="1"/>
  <c r="AR117" i="35" s="1"/>
  <c r="K149" i="10"/>
  <c r="C148" i="10"/>
  <c r="B148" i="10" s="1"/>
  <c r="D148" i="10" s="1"/>
  <c r="E105" i="36"/>
  <c r="N145" i="39"/>
  <c r="D145" i="39" s="1"/>
  <c r="A145" i="39" s="1"/>
  <c r="L146" i="39"/>
  <c r="O146" i="39"/>
  <c r="K106" i="36"/>
  <c r="A116" i="35"/>
  <c r="D105" i="36"/>
  <c r="AT118" i="38"/>
  <c r="E118" i="38" s="1"/>
  <c r="J117" i="38"/>
  <c r="A117"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D116" i="35" l="1"/>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J118" i="38"/>
  <c r="A118" i="38" s="1"/>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D150" i="10" l="1"/>
  <c r="G150" i="10"/>
  <c r="H150" i="10"/>
  <c r="I151" i="10"/>
  <c r="A151" i="10" s="1"/>
  <c r="L151" i="10"/>
  <c r="F151" i="10"/>
  <c r="M108" i="36"/>
  <c r="A118" i="35"/>
  <c r="AT120" i="38"/>
  <c r="C120" i="38" s="1"/>
  <c r="AT119" i="35"/>
  <c r="J119" i="38"/>
  <c r="A119" i="38" s="1"/>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C152" i="10" l="1"/>
  <c r="B152" i="10" s="1"/>
  <c r="G152" i="10" s="1"/>
  <c r="K153" i="10"/>
  <c r="N149" i="39"/>
  <c r="D149" i="39" s="1"/>
  <c r="A149" i="39" s="1"/>
  <c r="O150" i="39"/>
  <c r="L150" i="39"/>
  <c r="J120" i="38"/>
  <c r="A120" i="38" s="1"/>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F119" i="35" l="1"/>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J121" i="38"/>
  <c r="A121"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G120" i="35" l="1"/>
  <c r="F155" i="10"/>
  <c r="I155" i="10"/>
  <c r="A155" i="10" s="1"/>
  <c r="L155" i="10"/>
  <c r="H154" i="10"/>
  <c r="D154" i="10"/>
  <c r="G154" i="10"/>
  <c r="I120" i="35"/>
  <c r="H120" i="35"/>
  <c r="AT123" i="38"/>
  <c r="E123" i="38" s="1"/>
  <c r="AS121" i="35"/>
  <c r="C121" i="35" s="1"/>
  <c r="L110" i="36"/>
  <c r="C110" i="36" s="1"/>
  <c r="A110" i="36" s="1"/>
  <c r="J122" i="38"/>
  <c r="A122" i="38"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I156" i="10" l="1"/>
  <c r="A156" i="10" s="1"/>
  <c r="L156" i="10"/>
  <c r="F156" i="10"/>
  <c r="B121" i="35"/>
  <c r="K111" i="36"/>
  <c r="D110" i="36"/>
  <c r="M153" i="39"/>
  <c r="C153" i="39" s="1"/>
  <c r="E110" i="36"/>
  <c r="AT124" i="38"/>
  <c r="C124" i="38" s="1"/>
  <c r="AR122" i="35"/>
  <c r="J123" i="38"/>
  <c r="A123" i="38" s="1"/>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C157" i="10" l="1"/>
  <c r="B157" i="10" s="1"/>
  <c r="H157" i="10" s="1"/>
  <c r="K158" i="10"/>
  <c r="N154" i="39"/>
  <c r="D154" i="39" s="1"/>
  <c r="A154" i="39" s="1"/>
  <c r="O155" i="39"/>
  <c r="L155" i="39"/>
  <c r="D111" i="36"/>
  <c r="K112" i="36"/>
  <c r="E111" i="36"/>
  <c r="AT125" i="38"/>
  <c r="C125" i="38" s="1"/>
  <c r="J124" i="38"/>
  <c r="A124"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D158" i="10" l="1"/>
  <c r="G158" i="10"/>
  <c r="H158" i="10"/>
  <c r="L159" i="10"/>
  <c r="F159" i="10"/>
  <c r="I159" i="10"/>
  <c r="A159" i="10" s="1"/>
  <c r="AT126" i="38"/>
  <c r="C126" i="38" s="1"/>
  <c r="J125" i="38"/>
  <c r="A125"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C160" i="10" l="1"/>
  <c r="B160" i="10" s="1"/>
  <c r="D160" i="10" s="1"/>
  <c r="K161" i="10"/>
  <c r="N157" i="39"/>
  <c r="D157" i="39" s="1"/>
  <c r="A157" i="39" s="1"/>
  <c r="O158" i="39"/>
  <c r="L158" i="39"/>
  <c r="B124" i="35"/>
  <c r="E113" i="36"/>
  <c r="D113" i="36"/>
  <c r="AT127" i="38"/>
  <c r="E127" i="38" s="1"/>
  <c r="J126" i="38"/>
  <c r="A126"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AT126" i="35" l="1"/>
  <c r="AR126" i="35" s="1"/>
  <c r="C161" i="10"/>
  <c r="B161" i="10" s="1"/>
  <c r="K162" i="10"/>
  <c r="I161" i="10"/>
  <c r="A161" i="10" s="1"/>
  <c r="N158" i="39"/>
  <c r="D158" i="39" s="1"/>
  <c r="A158" i="39" s="1"/>
  <c r="O159" i="39"/>
  <c r="L159" i="39"/>
  <c r="F114" i="36"/>
  <c r="G114" i="36"/>
  <c r="B114" i="36"/>
  <c r="I114" i="36" s="1"/>
  <c r="H114" i="36"/>
  <c r="M115" i="36"/>
  <c r="AT128" i="38"/>
  <c r="C128" i="38" s="1"/>
  <c r="J127" i="38"/>
  <c r="A127"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F163" i="10" l="1"/>
  <c r="L163" i="10"/>
  <c r="I163" i="10"/>
  <c r="A163" i="10" s="1"/>
  <c r="G162" i="10"/>
  <c r="H162" i="10"/>
  <c r="D162" i="10"/>
  <c r="AT129" i="38"/>
  <c r="C129" i="38" s="1"/>
  <c r="B126" i="35"/>
  <c r="AS127" i="35"/>
  <c r="C127" i="35" s="1"/>
  <c r="J128" i="38"/>
  <c r="A128" i="38"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G127" i="35" l="1"/>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J129" i="38"/>
  <c r="A129" i="38" s="1"/>
  <c r="AS128" i="35"/>
  <c r="C128" i="35" s="1"/>
  <c r="M117" i="36"/>
  <c r="F165" i="10" l="1"/>
  <c r="I165" i="10"/>
  <c r="A165" i="10" s="1"/>
  <c r="L165" i="10"/>
  <c r="AU130" i="38"/>
  <c r="D130" i="38" s="1"/>
  <c r="AS131" i="38"/>
  <c r="AV131" i="38"/>
  <c r="A128" i="35"/>
  <c r="D116" i="36"/>
  <c r="K117" i="36"/>
  <c r="C130" i="38"/>
  <c r="E116" i="36"/>
  <c r="AT129" i="35"/>
  <c r="M162" i="39"/>
  <c r="C162" i="39" s="1"/>
  <c r="K166" i="10" l="1"/>
  <c r="C165" i="10"/>
  <c r="B165" i="10" s="1"/>
  <c r="D165" i="10" s="1"/>
  <c r="N162" i="39"/>
  <c r="D162" i="39" s="1"/>
  <c r="A162" i="39" s="1"/>
  <c r="O163" i="39"/>
  <c r="L163" i="39"/>
  <c r="L117" i="36"/>
  <c r="C117" i="36" s="1"/>
  <c r="A117" i="36" s="1"/>
  <c r="AT131" i="38"/>
  <c r="E131" i="38" s="1"/>
  <c r="B128" i="35"/>
  <c r="J130" i="38"/>
  <c r="A130" i="38" s="1"/>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AT130" i="35" l="1"/>
  <c r="AR130" i="35" s="1"/>
  <c r="K167" i="10"/>
  <c r="C166" i="10"/>
  <c r="B166" i="10" s="1"/>
  <c r="D166" i="10" s="1"/>
  <c r="E117" i="36"/>
  <c r="D117" i="36"/>
  <c r="N163" i="39"/>
  <c r="D163" i="39" s="1"/>
  <c r="A163" i="39" s="1"/>
  <c r="O164" i="39"/>
  <c r="L164" i="39"/>
  <c r="K118" i="36"/>
  <c r="A129" i="35"/>
  <c r="AT132" i="38"/>
  <c r="E132" i="38" s="1"/>
  <c r="J131" i="38"/>
  <c r="A131"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D129" i="35" l="1"/>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J132" i="38"/>
  <c r="A132"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F130" i="35" l="1"/>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J133" i="38"/>
  <c r="A133"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F170" i="10" l="1"/>
  <c r="I170" i="10"/>
  <c r="A170" i="10" s="1"/>
  <c r="L170" i="10"/>
  <c r="H169" i="10"/>
  <c r="D169" i="10"/>
  <c r="E169" i="10"/>
  <c r="AT135" i="38"/>
  <c r="C135" i="38" s="1"/>
  <c r="AT133" i="35"/>
  <c r="F120" i="36"/>
  <c r="B120" i="36"/>
  <c r="I120" i="36" s="1"/>
  <c r="H120" i="36"/>
  <c r="G120" i="36"/>
  <c r="A132" i="35"/>
  <c r="M121" i="36"/>
  <c r="J134" i="38"/>
  <c r="A134" i="38" s="1"/>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K172" i="10" l="1"/>
  <c r="C171" i="10"/>
  <c r="B171" i="10" s="1"/>
  <c r="H171" i="10" s="1"/>
  <c r="AT136" i="38"/>
  <c r="E136" i="38" s="1"/>
  <c r="F121" i="36"/>
  <c r="H121" i="36"/>
  <c r="B121" i="36"/>
  <c r="I121" i="36" s="1"/>
  <c r="G121" i="36"/>
  <c r="O169" i="39"/>
  <c r="AT134" i="35"/>
  <c r="M122" i="36"/>
  <c r="J135" i="38"/>
  <c r="A135" i="38" s="1"/>
  <c r="L169" i="39"/>
  <c r="A133" i="35"/>
  <c r="I172" i="10" l="1"/>
  <c r="A172" i="10" s="1"/>
  <c r="L172" i="10"/>
  <c r="F172" i="10"/>
  <c r="G171" i="10"/>
  <c r="D171" i="10"/>
  <c r="E171" i="10"/>
  <c r="AU136" i="38"/>
  <c r="D136" i="38" s="1"/>
  <c r="AV137" i="38"/>
  <c r="AS137" i="38"/>
  <c r="AR134" i="35"/>
  <c r="M169" i="39"/>
  <c r="C169" i="39" s="1"/>
  <c r="E121" i="36"/>
  <c r="D121" i="36"/>
  <c r="B133" i="35"/>
  <c r="C136" i="38"/>
  <c r="K122" i="36"/>
  <c r="I133" i="35" l="1"/>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J136" i="38"/>
  <c r="A136" i="38"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F174" i="10" l="1"/>
  <c r="L174" i="10"/>
  <c r="AT138" i="38"/>
  <c r="C138" i="38" s="1"/>
  <c r="AS135" i="35"/>
  <c r="C135" i="35" s="1"/>
  <c r="J137" i="38"/>
  <c r="A137" i="38"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F135" i="35" l="1"/>
  <c r="C175" i="10"/>
  <c r="B175" i="10" s="1"/>
  <c r="E175" i="10" s="1"/>
  <c r="K176" i="10"/>
  <c r="D135" i="35"/>
  <c r="I135" i="35"/>
  <c r="G135" i="35"/>
  <c r="N172" i="39"/>
  <c r="D172" i="39" s="1"/>
  <c r="A172" i="39" s="1"/>
  <c r="O173" i="39"/>
  <c r="L173" i="39"/>
  <c r="L124" i="36"/>
  <c r="C124" i="36" s="1"/>
  <c r="A124" i="36" s="1"/>
  <c r="AT139" i="38"/>
  <c r="E139" i="38" s="1"/>
  <c r="J138" i="38"/>
  <c r="A138"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C176" i="10" l="1"/>
  <c r="B176" i="10" s="1"/>
  <c r="H176" i="10" s="1"/>
  <c r="K177" i="10"/>
  <c r="N173" i="39"/>
  <c r="D173" i="39" s="1"/>
  <c r="A173" i="39" s="1"/>
  <c r="O174" i="39"/>
  <c r="L174" i="39"/>
  <c r="K125" i="36"/>
  <c r="D124" i="36"/>
  <c r="E124" i="36"/>
  <c r="AT140" i="38"/>
  <c r="E140" i="38" s="1"/>
  <c r="AR137" i="35"/>
  <c r="B136" i="35"/>
  <c r="J139" i="38"/>
  <c r="A139" i="38" s="1"/>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K178" i="10" l="1"/>
  <c r="C177" i="10"/>
  <c r="B177" i="10" s="1"/>
  <c r="H177" i="10" s="1"/>
  <c r="N174" i="39"/>
  <c r="D174" i="39" s="1"/>
  <c r="A174" i="39" s="1"/>
  <c r="L175" i="39"/>
  <c r="O175" i="39"/>
  <c r="M126" i="36"/>
  <c r="B125" i="36"/>
  <c r="I125" i="36" s="1"/>
  <c r="F125" i="36"/>
  <c r="G125" i="36"/>
  <c r="H125" i="36"/>
  <c r="AT138" i="35"/>
  <c r="AT141" i="38"/>
  <c r="C141" i="38" s="1"/>
  <c r="J140" i="38"/>
  <c r="A140"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AT139" i="35" l="1"/>
  <c r="AR139" i="35" s="1"/>
  <c r="G178" i="10"/>
  <c r="D178" i="10"/>
  <c r="H178" i="10"/>
  <c r="L179" i="10"/>
  <c r="F179" i="10"/>
  <c r="I179" i="10"/>
  <c r="A179" i="10" s="1"/>
  <c r="J141" i="38"/>
  <c r="A141" i="38"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E138" i="35" l="1"/>
  <c r="L180" i="10"/>
  <c r="I180" i="10"/>
  <c r="A180" i="10" s="1"/>
  <c r="F180" i="10"/>
  <c r="E179" i="10"/>
  <c r="H179" i="10"/>
  <c r="G179" i="10"/>
  <c r="G138" i="35"/>
  <c r="D138" i="35"/>
  <c r="I138" i="35"/>
  <c r="F138" i="35"/>
  <c r="H138" i="35"/>
  <c r="AT143" i="38"/>
  <c r="E143" i="38" s="1"/>
  <c r="J142" i="38"/>
  <c r="A142"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E139" i="35" l="1"/>
  <c r="L181" i="10"/>
  <c r="F181" i="10"/>
  <c r="I181" i="10"/>
  <c r="A181" i="10" s="1"/>
  <c r="D180" i="10"/>
  <c r="H180" i="10"/>
  <c r="G180" i="10"/>
  <c r="I139" i="35"/>
  <c r="D139" i="35"/>
  <c r="AT144" i="38"/>
  <c r="C144" i="38" s="1"/>
  <c r="AS140" i="35"/>
  <c r="C140" i="35" s="1"/>
  <c r="E127" i="36"/>
  <c r="D127" i="36"/>
  <c r="J143" i="38"/>
  <c r="A143" i="38" s="1"/>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E140" i="35" l="1"/>
  <c r="K183" i="10"/>
  <c r="C182" i="10"/>
  <c r="B182" i="10" s="1"/>
  <c r="D182" i="10" s="1"/>
  <c r="D128" i="36"/>
  <c r="E128" i="36"/>
  <c r="N179" i="39"/>
  <c r="D179" i="39" s="1"/>
  <c r="A179" i="39" s="1"/>
  <c r="O180" i="39"/>
  <c r="L180" i="39"/>
  <c r="F140" i="35"/>
  <c r="G140" i="35"/>
  <c r="A141" i="35"/>
  <c r="AT142" i="35"/>
  <c r="AT145" i="38"/>
  <c r="C145" i="38" s="1"/>
  <c r="I140" i="35"/>
  <c r="J144" i="38"/>
  <c r="A144" i="38" s="1"/>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L184" i="10" l="1"/>
  <c r="I184" i="10" s="1"/>
  <c r="A184" i="10" s="1"/>
  <c r="F184" i="10"/>
  <c r="E183" i="10"/>
  <c r="G183" i="10"/>
  <c r="D183" i="10"/>
  <c r="E129" i="36"/>
  <c r="AT143" i="35"/>
  <c r="AR143" i="35" s="1"/>
  <c r="AT146" i="38"/>
  <c r="C146" i="38" s="1"/>
  <c r="K130" i="36"/>
  <c r="D129" i="36"/>
  <c r="J145" i="38"/>
  <c r="A145" i="38" s="1"/>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C185" i="10" l="1"/>
  <c r="B185" i="10" s="1"/>
  <c r="H185" i="10" s="1"/>
  <c r="K186" i="10"/>
  <c r="N182" i="39"/>
  <c r="D182" i="39" s="1"/>
  <c r="A182" i="39" s="1"/>
  <c r="L183" i="39"/>
  <c r="O183" i="39"/>
  <c r="D130" i="36"/>
  <c r="B143" i="35"/>
  <c r="E130" i="36"/>
  <c r="AS144" i="35"/>
  <c r="C144" i="35" s="1"/>
  <c r="AT147" i="38"/>
  <c r="E147" i="38" s="1"/>
  <c r="K131" i="36"/>
  <c r="J146" i="38"/>
  <c r="A146" i="38" s="1"/>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C186" i="10" l="1"/>
  <c r="B186" i="10" s="1"/>
  <c r="D186" i="10" s="1"/>
  <c r="K187" i="10"/>
  <c r="N183" i="39"/>
  <c r="D183" i="39" s="1"/>
  <c r="A183" i="39" s="1"/>
  <c r="L184" i="39"/>
  <c r="O184" i="39"/>
  <c r="M132" i="36"/>
  <c r="F131" i="36"/>
  <c r="H131" i="36"/>
  <c r="G131" i="36"/>
  <c r="B131" i="36"/>
  <c r="I131" i="36" s="1"/>
  <c r="AT148" i="38"/>
  <c r="C148" i="38" s="1"/>
  <c r="AR145" i="35"/>
  <c r="J147" i="38"/>
  <c r="A147" i="38" s="1"/>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F188" i="10" l="1"/>
  <c r="L188" i="10"/>
  <c r="I188" i="10" s="1"/>
  <c r="A188" i="10" s="1"/>
  <c r="AT149" i="38"/>
  <c r="C149" i="38" s="1"/>
  <c r="AR146" i="35"/>
  <c r="B145" i="35"/>
  <c r="M185" i="39"/>
  <c r="C185" i="39" s="1"/>
  <c r="H132" i="36"/>
  <c r="G132" i="36"/>
  <c r="F132" i="36"/>
  <c r="B132" i="36"/>
  <c r="I132" i="36" s="1"/>
  <c r="M133" i="36"/>
  <c r="J148" i="38"/>
  <c r="A148" i="38" s="1"/>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K190" i="10" l="1"/>
  <c r="C189" i="10"/>
  <c r="B189" i="10" s="1"/>
  <c r="E189" i="10" s="1"/>
  <c r="N186" i="39"/>
  <c r="D186" i="39" s="1"/>
  <c r="A186" i="39" s="1"/>
  <c r="O187" i="39"/>
  <c r="L187" i="39"/>
  <c r="B146" i="35"/>
  <c r="AT150" i="38"/>
  <c r="C150" i="38" s="1"/>
  <c r="H133" i="36"/>
  <c r="F133" i="36"/>
  <c r="G133" i="36"/>
  <c r="B133" i="36"/>
  <c r="I133" i="36" s="1"/>
  <c r="J149" i="38"/>
  <c r="A149" i="38"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G147" i="35" l="1"/>
  <c r="D190" i="10"/>
  <c r="E190" i="10"/>
  <c r="H190" i="10"/>
  <c r="F191" i="10"/>
  <c r="L191" i="10"/>
  <c r="I147" i="35"/>
  <c r="F147" i="35"/>
  <c r="AT151" i="38"/>
  <c r="C151" i="38" s="1"/>
  <c r="M135" i="36"/>
  <c r="E147" i="35"/>
  <c r="AS148" i="35"/>
  <c r="C148" i="35" s="1"/>
  <c r="J150" i="38"/>
  <c r="A150" i="38"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H148" i="35" l="1"/>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J151" i="38"/>
  <c r="A151" i="38" s="1"/>
  <c r="M136" i="36"/>
  <c r="E148" i="35"/>
  <c r="F148" i="35"/>
  <c r="G148" i="35"/>
  <c r="AT150" i="35" l="1"/>
  <c r="AR150" i="35" s="1"/>
  <c r="L193" i="10"/>
  <c r="F193" i="10"/>
  <c r="I193" i="10"/>
  <c r="A193" i="10" s="1"/>
  <c r="AU152" i="38"/>
  <c r="D152" i="38" s="1"/>
  <c r="AV153" i="38"/>
  <c r="AS153" i="38"/>
  <c r="C152" i="38"/>
  <c r="K136" i="36"/>
  <c r="E135" i="36"/>
  <c r="D135" i="36"/>
  <c r="M190" i="39"/>
  <c r="C190" i="39" s="1"/>
  <c r="A149" i="35"/>
  <c r="C193" i="10" l="1"/>
  <c r="B193" i="10" s="1"/>
  <c r="E193" i="10" s="1"/>
  <c r="K194" i="10"/>
  <c r="N190" i="39"/>
  <c r="D190" i="39" s="1"/>
  <c r="A190" i="39" s="1"/>
  <c r="L191" i="39"/>
  <c r="O191" i="39"/>
  <c r="L136" i="36"/>
  <c r="C136" i="36" s="1"/>
  <c r="A136" i="36" s="1"/>
  <c r="AS150" i="35"/>
  <c r="C150" i="35" s="1"/>
  <c r="B149" i="35"/>
  <c r="AT153" i="38"/>
  <c r="C153" i="38" s="1"/>
  <c r="J152" i="38"/>
  <c r="A152"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F150" i="35" l="1"/>
  <c r="D194" i="10"/>
  <c r="G194" i="10"/>
  <c r="L195" i="10"/>
  <c r="F195" i="10"/>
  <c r="I195" i="10"/>
  <c r="A195" i="10" s="1"/>
  <c r="H194" i="10"/>
  <c r="I150" i="35"/>
  <c r="AT154" i="38"/>
  <c r="C154" i="38" s="1"/>
  <c r="G150" i="35"/>
  <c r="E150" i="35"/>
  <c r="J153" i="38"/>
  <c r="A153" i="38" s="1"/>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K197" i="10" l="1"/>
  <c r="C196" i="10"/>
  <c r="B196" i="10" s="1"/>
  <c r="D196" i="10" s="1"/>
  <c r="N193" i="39"/>
  <c r="D193" i="39" s="1"/>
  <c r="A193" i="39" s="1"/>
  <c r="O194" i="39"/>
  <c r="L194" i="39"/>
  <c r="AT155" i="38"/>
  <c r="C155" i="38" s="1"/>
  <c r="J154" i="38"/>
  <c r="A154"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G152" i="35" l="1"/>
  <c r="I198" i="10"/>
  <c r="A198" i="10" s="1"/>
  <c r="L198" i="10"/>
  <c r="F198" i="10"/>
  <c r="E197" i="10"/>
  <c r="H197" i="10"/>
  <c r="G197" i="10"/>
  <c r="F152" i="35"/>
  <c r="H152" i="35"/>
  <c r="AT156" i="38"/>
  <c r="E156" i="38" s="1"/>
  <c r="I152" i="35"/>
  <c r="AS153" i="35"/>
  <c r="C153" i="35" s="1"/>
  <c r="J155" i="38"/>
  <c r="A155" i="38"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G198" i="10" l="1"/>
  <c r="E198" i="10"/>
  <c r="D198" i="10"/>
  <c r="L199" i="10"/>
  <c r="F199" i="10"/>
  <c r="I199" i="10"/>
  <c r="A199" i="10" s="1"/>
  <c r="AR154" i="35"/>
  <c r="B153" i="35"/>
  <c r="AT157" i="38"/>
  <c r="C157" i="38" s="1"/>
  <c r="K140" i="36"/>
  <c r="J156" i="38"/>
  <c r="A156" i="38" s="1"/>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K201" i="10" l="1"/>
  <c r="C200" i="10"/>
  <c r="B200" i="10" s="1"/>
  <c r="H200" i="10" s="1"/>
  <c r="E140" i="36"/>
  <c r="D140" i="36"/>
  <c r="N197" i="39"/>
  <c r="D197" i="39" s="1"/>
  <c r="A197" i="39" s="1"/>
  <c r="O198" i="39"/>
  <c r="L198" i="39"/>
  <c r="AT158" i="38"/>
  <c r="C158" i="38" s="1"/>
  <c r="J157" i="38"/>
  <c r="A157"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F202" i="10" l="1"/>
  <c r="L202" i="10"/>
  <c r="I202" i="10"/>
  <c r="A202" i="10" s="1"/>
  <c r="H201" i="10"/>
  <c r="D201" i="10"/>
  <c r="E201" i="10"/>
  <c r="B155" i="35"/>
  <c r="J158" i="38"/>
  <c r="A158" i="38" s="1"/>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F156" i="35" l="1"/>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J159" i="38"/>
  <c r="A159"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E157" i="35" l="1"/>
  <c r="F205" i="10"/>
  <c r="L205" i="10"/>
  <c r="I205" i="10"/>
  <c r="A205" i="10" s="1"/>
  <c r="H157" i="35"/>
  <c r="D157" i="35"/>
  <c r="K144" i="36"/>
  <c r="AS158" i="35"/>
  <c r="C158" i="35" s="1"/>
  <c r="G157" i="35"/>
  <c r="F157" i="35"/>
  <c r="AT161" i="38"/>
  <c r="C161" i="38" s="1"/>
  <c r="J160" i="38"/>
  <c r="A160"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E158" i="35" l="1"/>
  <c r="D206" i="10"/>
  <c r="E206" i="10"/>
  <c r="H206" i="10"/>
  <c r="G206" i="10"/>
  <c r="C206" i="10"/>
  <c r="B206" i="10" s="1"/>
  <c r="K207" i="10"/>
  <c r="D158" i="35"/>
  <c r="G158" i="35"/>
  <c r="H158" i="35"/>
  <c r="I158" i="35"/>
  <c r="F158" i="35"/>
  <c r="N203" i="39"/>
  <c r="D203" i="39" s="1"/>
  <c r="A203" i="39" s="1"/>
  <c r="L204" i="39"/>
  <c r="O204" i="39"/>
  <c r="D144" i="36"/>
  <c r="J161" i="38"/>
  <c r="A161" i="38" s="1"/>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K208" i="10" l="1"/>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62" i="38"/>
  <c r="A162"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E160" i="35" l="1"/>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J163" i="38"/>
  <c r="A163" i="38" s="1"/>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K211" i="10" l="1"/>
  <c r="C210" i="10"/>
  <c r="B210" i="10" s="1"/>
  <c r="H210" i="10" s="1"/>
  <c r="AT165" i="38"/>
  <c r="E165" i="38" s="1"/>
  <c r="J164" i="38"/>
  <c r="A164"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C211" i="10" l="1"/>
  <c r="B211" i="10" s="1"/>
  <c r="K212" i="10"/>
  <c r="E211" i="10"/>
  <c r="H211" i="10"/>
  <c r="G211" i="10"/>
  <c r="D211" i="10"/>
  <c r="I162" i="35"/>
  <c r="F162" i="35"/>
  <c r="G162" i="35"/>
  <c r="D162" i="35"/>
  <c r="AS163" i="35"/>
  <c r="C163" i="35" s="1"/>
  <c r="AT166" i="38"/>
  <c r="E166" i="38" s="1"/>
  <c r="L148" i="36"/>
  <c r="J165" i="38"/>
  <c r="A165" i="38" s="1"/>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G148" i="36" l="1"/>
  <c r="B148" i="36"/>
  <c r="I148" i="36" s="1"/>
  <c r="F148" i="36"/>
  <c r="H148" i="36"/>
  <c r="M149" i="36"/>
  <c r="K149" i="36" s="1"/>
  <c r="E212" i="10"/>
  <c r="H212" i="10"/>
  <c r="G212" i="10"/>
  <c r="D212" i="10"/>
  <c r="C212" i="10"/>
  <c r="B212" i="10" s="1"/>
  <c r="K213" i="10"/>
  <c r="AS164" i="35"/>
  <c r="C164" i="35" s="1"/>
  <c r="B163" i="35"/>
  <c r="AT167" i="38"/>
  <c r="C167" i="38" s="1"/>
  <c r="J166" i="38"/>
  <c r="A166"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H164" i="35" l="1"/>
  <c r="F214" i="10"/>
  <c r="L214" i="10"/>
  <c r="I214" i="10"/>
  <c r="A214" i="10" s="1"/>
  <c r="N211" i="39"/>
  <c r="D211" i="39" s="1"/>
  <c r="A211" i="39" s="1"/>
  <c r="O212" i="39"/>
  <c r="L212" i="39"/>
  <c r="K150" i="36"/>
  <c r="J167" i="38"/>
  <c r="A167" i="38" s="1"/>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E165" i="35" l="1"/>
  <c r="D215" i="10"/>
  <c r="G215" i="10"/>
  <c r="E215" i="10"/>
  <c r="H215" i="10"/>
  <c r="C215" i="10"/>
  <c r="B215" i="10" s="1"/>
  <c r="K216" i="10"/>
  <c r="D150" i="36"/>
  <c r="K151" i="36"/>
  <c r="AT169" i="38"/>
  <c r="C169" i="38" s="1"/>
  <c r="J168" i="38"/>
  <c r="A168"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E166" i="35" l="1"/>
  <c r="I217" i="10"/>
  <c r="A217" i="10" s="1"/>
  <c r="L217" i="10"/>
  <c r="F217" i="10"/>
  <c r="N214" i="39"/>
  <c r="D214" i="39" s="1"/>
  <c r="A214" i="39" s="1"/>
  <c r="L215" i="39"/>
  <c r="O215" i="39"/>
  <c r="J169" i="38"/>
  <c r="A169" i="38" s="1"/>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L218" i="10" l="1"/>
  <c r="I218" i="10"/>
  <c r="A218" i="10" s="1"/>
  <c r="F218" i="10"/>
  <c r="N215" i="39"/>
  <c r="D215" i="39" s="1"/>
  <c r="A215" i="39" s="1"/>
  <c r="L216" i="39"/>
  <c r="O216" i="39"/>
  <c r="B152" i="36"/>
  <c r="I152" i="36" s="1"/>
  <c r="F152" i="36"/>
  <c r="H152" i="36"/>
  <c r="G152" i="36"/>
  <c r="M153" i="36"/>
  <c r="B167" i="35"/>
  <c r="AR168" i="35"/>
  <c r="AT171" i="38"/>
  <c r="E171" i="38" s="1"/>
  <c r="J170" i="38"/>
  <c r="A170"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L219" i="10" l="1"/>
  <c r="F219" i="10"/>
  <c r="I219" i="10"/>
  <c r="A219" i="10" s="1"/>
  <c r="N216" i="39"/>
  <c r="D216" i="39" s="1"/>
  <c r="A216" i="39" s="1"/>
  <c r="O217" i="39"/>
  <c r="L217" i="39"/>
  <c r="A168" i="35"/>
  <c r="AT169" i="35"/>
  <c r="AT172" i="38"/>
  <c r="C172" i="38" s="1"/>
  <c r="L153" i="36"/>
  <c r="C153" i="36" s="1"/>
  <c r="A153" i="36" s="1"/>
  <c r="J171" i="38"/>
  <c r="A171" i="38"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K221" i="10" l="1"/>
  <c r="C220" i="10"/>
  <c r="B220" i="10" s="1"/>
  <c r="D220" i="10"/>
  <c r="E220" i="10"/>
  <c r="H220" i="10"/>
  <c r="G220" i="10"/>
  <c r="L154" i="36"/>
  <c r="C154" i="36" s="1"/>
  <c r="A154" i="36" s="1"/>
  <c r="A169" i="35"/>
  <c r="AT170" i="35"/>
  <c r="M218" i="39"/>
  <c r="C218" i="39" s="1"/>
  <c r="AT173" i="38"/>
  <c r="E173" i="38" s="1"/>
  <c r="J172" i="38"/>
  <c r="A172"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I169" i="35" l="1"/>
  <c r="C221" i="10"/>
  <c r="B221" i="10" s="1"/>
  <c r="K222" i="10"/>
  <c r="D221" i="10"/>
  <c r="G221" i="10"/>
  <c r="H221" i="10"/>
  <c r="E221" i="10"/>
  <c r="D169" i="35"/>
  <c r="E169" i="35"/>
  <c r="F169" i="35"/>
  <c r="G169" i="35"/>
  <c r="E154" i="36"/>
  <c r="D154" i="36"/>
  <c r="M219" i="39"/>
  <c r="C219" i="39" s="1"/>
  <c r="AT174" i="38"/>
  <c r="E174" i="38" s="1"/>
  <c r="K155" i="36"/>
  <c r="AS170" i="35"/>
  <c r="C170" i="35" s="1"/>
  <c r="H169" i="35"/>
  <c r="J173" i="38"/>
  <c r="A173" i="38" s="1"/>
  <c r="AT171" i="35" l="1"/>
  <c r="AR171" i="35" s="1"/>
  <c r="F222" i="10"/>
  <c r="L222" i="10"/>
  <c r="I222" i="10"/>
  <c r="A222" i="10" s="1"/>
  <c r="AU174" i="38"/>
  <c r="D174" i="38" s="1"/>
  <c r="AS175" i="38"/>
  <c r="AV175" i="38"/>
  <c r="N219" i="39"/>
  <c r="D219" i="39" s="1"/>
  <c r="A219" i="39" s="1"/>
  <c r="O220" i="39"/>
  <c r="L220" i="39"/>
  <c r="C174" i="38"/>
  <c r="A170" i="35"/>
  <c r="L155" i="36"/>
  <c r="C155" i="36" s="1"/>
  <c r="A155" i="36" s="1"/>
  <c r="H222" i="10" l="1"/>
  <c r="D222" i="10"/>
  <c r="G222" i="10"/>
  <c r="E222" i="10"/>
  <c r="K223" i="10"/>
  <c r="C222" i="10"/>
  <c r="B222" i="10" s="1"/>
  <c r="B170" i="35"/>
  <c r="M220" i="39"/>
  <c r="C220" i="39" s="1"/>
  <c r="J174" i="38"/>
  <c r="A174" i="38" s="1"/>
  <c r="F155" i="36"/>
  <c r="H155" i="36"/>
  <c r="G155" i="36"/>
  <c r="B155" i="36"/>
  <c r="I155" i="36" s="1"/>
  <c r="M156" i="36"/>
  <c r="AT175" i="38"/>
  <c r="C175" i="38" s="1"/>
  <c r="AS171" i="35"/>
  <c r="C171" i="35" s="1"/>
  <c r="J170" i="35"/>
  <c r="D170" i="35" l="1"/>
  <c r="L223" i="10"/>
  <c r="F223" i="10"/>
  <c r="I223" i="10"/>
  <c r="A223" i="10" s="1"/>
  <c r="E175" i="38"/>
  <c r="AV176" i="38" s="1"/>
  <c r="N220" i="39"/>
  <c r="D220" i="39" s="1"/>
  <c r="A220" i="39" s="1"/>
  <c r="L221" i="39"/>
  <c r="O221" i="39"/>
  <c r="E155" i="36"/>
  <c r="G170" i="35"/>
  <c r="K156" i="36"/>
  <c r="A171" i="35"/>
  <c r="H170" i="35"/>
  <c r="D155" i="36"/>
  <c r="AT172" i="35"/>
  <c r="F170" i="35"/>
  <c r="E170" i="35"/>
  <c r="I170" i="35"/>
  <c r="E223" i="10" l="1"/>
  <c r="D223" i="10"/>
  <c r="G223" i="10"/>
  <c r="H223" i="10"/>
  <c r="K224" i="10"/>
  <c r="C223" i="10"/>
  <c r="B223" i="10" s="1"/>
  <c r="AS176" i="38"/>
  <c r="AT176" i="38" s="1"/>
  <c r="E176" i="38" s="1"/>
  <c r="AU175" i="38"/>
  <c r="D175" i="38" s="1"/>
  <c r="L156" i="36"/>
  <c r="C156" i="36" s="1"/>
  <c r="A156" i="36" s="1"/>
  <c r="B171" i="35"/>
  <c r="AR172" i="35"/>
  <c r="M221" i="39"/>
  <c r="C221" i="39" s="1"/>
  <c r="J171" i="35"/>
  <c r="F171" i="35" l="1"/>
  <c r="F224" i="10"/>
  <c r="L224" i="10"/>
  <c r="I224" i="10"/>
  <c r="A224" i="10" s="1"/>
  <c r="J175" i="38"/>
  <c r="A175" i="38"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D224" i="10" l="1"/>
  <c r="E224" i="10"/>
  <c r="G224" i="10"/>
  <c r="H224" i="10"/>
  <c r="C224" i="10"/>
  <c r="B224" i="10" s="1"/>
  <c r="K225" i="10"/>
  <c r="D156" i="36"/>
  <c r="E156" i="36"/>
  <c r="A172" i="35"/>
  <c r="AT177" i="38"/>
  <c r="C177" i="38" s="1"/>
  <c r="K157" i="36"/>
  <c r="J176" i="38"/>
  <c r="A176" i="38" s="1"/>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L226" i="10" l="1"/>
  <c r="F226" i="10"/>
  <c r="I226" i="10"/>
  <c r="A226" i="10" s="1"/>
  <c r="N223" i="39"/>
  <c r="D223" i="39" s="1"/>
  <c r="A223" i="39" s="1"/>
  <c r="O224" i="39"/>
  <c r="L224" i="39"/>
  <c r="AT178" i="38"/>
  <c r="C178" i="38" s="1"/>
  <c r="J177" i="38"/>
  <c r="A177"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K228" i="10" l="1"/>
  <c r="C227" i="10"/>
  <c r="B227" i="10" s="1"/>
  <c r="I227" i="10"/>
  <c r="A227" i="10" s="1"/>
  <c r="D158" i="36"/>
  <c r="AT175" i="35"/>
  <c r="AT179" i="38"/>
  <c r="E179" i="38" s="1"/>
  <c r="J178" i="38"/>
  <c r="A178"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D174" i="35" l="1"/>
  <c r="D228" i="10"/>
  <c r="E228" i="10"/>
  <c r="H228" i="10"/>
  <c r="G228" i="10"/>
  <c r="K229" i="10"/>
  <c r="C228" i="10"/>
  <c r="B228" i="10" s="1"/>
  <c r="M160" i="36"/>
  <c r="K160" i="36" s="1"/>
  <c r="H174" i="35"/>
  <c r="G174" i="35"/>
  <c r="E174" i="35"/>
  <c r="I174" i="35"/>
  <c r="F174" i="35"/>
  <c r="AS175" i="35"/>
  <c r="C175" i="35" s="1"/>
  <c r="AT180" i="38"/>
  <c r="E180" i="38" s="1"/>
  <c r="J179" i="38"/>
  <c r="A179"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H229" i="10" l="1"/>
  <c r="E229" i="10"/>
  <c r="D229" i="10"/>
  <c r="G229" i="10"/>
  <c r="C229" i="10"/>
  <c r="B229" i="10" s="1"/>
  <c r="K230" i="10"/>
  <c r="H160" i="36"/>
  <c r="G160" i="36"/>
  <c r="F160" i="36"/>
  <c r="B160" i="36"/>
  <c r="I160" i="36" s="1"/>
  <c r="AT181" i="38"/>
  <c r="E181" i="38" s="1"/>
  <c r="J180" i="38"/>
  <c r="A180"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K231" i="10" l="1"/>
  <c r="C230" i="10"/>
  <c r="B230" i="10" s="1"/>
  <c r="I230" i="10"/>
  <c r="A230" i="10" s="1"/>
  <c r="L161" i="36"/>
  <c r="C161" i="36" s="1"/>
  <c r="A161" i="36" s="1"/>
  <c r="M228" i="39"/>
  <c r="C228" i="39" s="1"/>
  <c r="AT182" i="38"/>
  <c r="E182" i="38" s="1"/>
  <c r="AT177" i="35"/>
  <c r="J181" i="38"/>
  <c r="A181" i="38" s="1"/>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G176" i="35" l="1"/>
  <c r="C231" i="10"/>
  <c r="B231" i="10" s="1"/>
  <c r="K232" i="10"/>
  <c r="D231" i="10"/>
  <c r="G231" i="10"/>
  <c r="E231" i="10"/>
  <c r="H231" i="10"/>
  <c r="D161" i="36"/>
  <c r="E161" i="36"/>
  <c r="D176" i="35"/>
  <c r="E176" i="35"/>
  <c r="M229" i="39"/>
  <c r="C229" i="39" s="1"/>
  <c r="AT183" i="38"/>
  <c r="C183" i="38" s="1"/>
  <c r="K162" i="36"/>
  <c r="AS177" i="35"/>
  <c r="C177" i="35" s="1"/>
  <c r="I176" i="35"/>
  <c r="F176" i="35"/>
  <c r="H176" i="35"/>
  <c r="J182" i="38"/>
  <c r="A182" i="38" s="1"/>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F177" i="35" l="1"/>
  <c r="F233" i="10"/>
  <c r="L233" i="10"/>
  <c r="N230" i="39"/>
  <c r="D230" i="39" s="1"/>
  <c r="A230" i="39" s="1"/>
  <c r="O231" i="39"/>
  <c r="L231" i="39"/>
  <c r="J183" i="38"/>
  <c r="A183" i="38" s="1"/>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E233" i="10" l="1"/>
  <c r="D233" i="10"/>
  <c r="H233" i="10"/>
  <c r="G233" i="10"/>
  <c r="F234" i="10"/>
  <c r="L234" i="10"/>
  <c r="I234" i="10"/>
  <c r="A234" i="10" s="1"/>
  <c r="N231" i="39"/>
  <c r="D231" i="39" s="1"/>
  <c r="A231" i="39" s="1"/>
  <c r="O232" i="39"/>
  <c r="L232" i="39"/>
  <c r="B178" i="35"/>
  <c r="J184" i="38"/>
  <c r="A184" i="38" s="1"/>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F235" i="10" l="1"/>
  <c r="L235" i="10"/>
  <c r="I235" i="10" s="1"/>
  <c r="A235" i="10" s="1"/>
  <c r="N232" i="39"/>
  <c r="D232" i="39" s="1"/>
  <c r="A232" i="39" s="1"/>
  <c r="L233" i="39"/>
  <c r="O233" i="39"/>
  <c r="B179" i="35"/>
  <c r="L164" i="36"/>
  <c r="C164" i="36" s="1"/>
  <c r="A164" i="36" s="1"/>
  <c r="AR180" i="35"/>
  <c r="AT186" i="38"/>
  <c r="C186" i="38" s="1"/>
  <c r="J185" i="38"/>
  <c r="A185"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E236" i="10" l="1"/>
  <c r="G236" i="10"/>
  <c r="H236" i="10"/>
  <c r="D236" i="10"/>
  <c r="K237" i="10"/>
  <c r="C236" i="10"/>
  <c r="B236" i="10" s="1"/>
  <c r="AS181" i="35"/>
  <c r="C181" i="35" s="1"/>
  <c r="B180" i="35"/>
  <c r="AT187" i="38"/>
  <c r="C187" i="38" s="1"/>
  <c r="J186" i="38"/>
  <c r="A186"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E181" i="35" l="1"/>
  <c r="H237" i="10"/>
  <c r="G237" i="10"/>
  <c r="E237" i="10"/>
  <c r="D237" i="10"/>
  <c r="L238" i="10"/>
  <c r="I238" i="10" s="1"/>
  <c r="A238" i="10" s="1"/>
  <c r="F238" i="10"/>
  <c r="F181" i="35"/>
  <c r="H181" i="35"/>
  <c r="I181" i="35"/>
  <c r="D181" i="35"/>
  <c r="L236" i="39"/>
  <c r="AT188" i="38"/>
  <c r="C188" i="38" s="1"/>
  <c r="L166" i="36"/>
  <c r="C166" i="36" s="1"/>
  <c r="A166" i="36" s="1"/>
  <c r="O236" i="39"/>
  <c r="A182" i="35"/>
  <c r="J187" i="38"/>
  <c r="A187" i="38" s="1"/>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AT184" i="35" l="1"/>
  <c r="AR184" i="35" s="1"/>
  <c r="D239" i="10"/>
  <c r="H239" i="10"/>
  <c r="G239" i="10"/>
  <c r="E239" i="10"/>
  <c r="K240" i="10"/>
  <c r="C239" i="10"/>
  <c r="B239" i="10" s="1"/>
  <c r="A183" i="35"/>
  <c r="L167" i="36"/>
  <c r="C167" i="36" s="1"/>
  <c r="A167" i="36" s="1"/>
  <c r="AT189" i="38"/>
  <c r="C189" i="38" s="1"/>
  <c r="J188" i="38"/>
  <c r="A188" i="38" s="1"/>
  <c r="M237" i="39"/>
  <c r="C237" i="39" s="1"/>
  <c r="I240" i="10" l="1"/>
  <c r="A240" i="10" s="1"/>
  <c r="L240" i="10"/>
  <c r="F240" i="10"/>
  <c r="E189" i="38"/>
  <c r="AV190" i="38" s="1"/>
  <c r="N237" i="39"/>
  <c r="D237" i="39" s="1"/>
  <c r="A237" i="39" s="1"/>
  <c r="O238" i="39"/>
  <c r="L238" i="39"/>
  <c r="F167" i="36"/>
  <c r="B167" i="36"/>
  <c r="I167" i="36" s="1"/>
  <c r="G167" i="36"/>
  <c r="H167" i="36"/>
  <c r="B183" i="35"/>
  <c r="AS184" i="35"/>
  <c r="C184" i="35" s="1"/>
  <c r="M168" i="36"/>
  <c r="J183" i="35"/>
  <c r="I183" i="35" l="1"/>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L241" i="10" l="1"/>
  <c r="F241" i="10"/>
  <c r="I241" i="10"/>
  <c r="A241" i="10" s="1"/>
  <c r="J189" i="38"/>
  <c r="A189" i="38"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AT186" i="35" l="1"/>
  <c r="AR186" i="35" s="1"/>
  <c r="L242" i="10"/>
  <c r="I242" i="10"/>
  <c r="A242" i="10" s="1"/>
  <c r="F242" i="10"/>
  <c r="N239" i="39"/>
  <c r="D239" i="39" s="1"/>
  <c r="A239" i="39" s="1"/>
  <c r="L240" i="39"/>
  <c r="O240" i="39"/>
  <c r="E168" i="36"/>
  <c r="D168" i="36"/>
  <c r="AT191" i="38"/>
  <c r="C191" i="38" s="1"/>
  <c r="K169" i="36"/>
  <c r="A185" i="35"/>
  <c r="J190" i="38"/>
  <c r="A190" i="38" s="1"/>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G243" i="10" l="1"/>
  <c r="H243" i="10"/>
  <c r="E243" i="10"/>
  <c r="D243" i="10"/>
  <c r="C243" i="10"/>
  <c r="B243" i="10" s="1"/>
  <c r="K244" i="10"/>
  <c r="K170" i="36"/>
  <c r="J191" i="38"/>
  <c r="A191" i="38" s="1"/>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D187" i="35" l="1"/>
  <c r="F245" i="10"/>
  <c r="I245" i="10"/>
  <c r="A245" i="10" s="1"/>
  <c r="L245" i="10"/>
  <c r="N242" i="39"/>
  <c r="D242" i="39" s="1"/>
  <c r="A242" i="39" s="1"/>
  <c r="L243" i="39"/>
  <c r="O243" i="39"/>
  <c r="E187" i="35"/>
  <c r="F187" i="35"/>
  <c r="AT193" i="38"/>
  <c r="C193" i="38" s="1"/>
  <c r="G187" i="35"/>
  <c r="E170" i="36"/>
  <c r="K171" i="36"/>
  <c r="AS188" i="35"/>
  <c r="C188" i="35" s="1"/>
  <c r="H187" i="35"/>
  <c r="D170" i="36"/>
  <c r="J192" i="38"/>
  <c r="A192" i="38" s="1"/>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D188" i="35" l="1"/>
  <c r="G246" i="10"/>
  <c r="E246" i="10"/>
  <c r="H246" i="10"/>
  <c r="D246" i="10"/>
  <c r="C246" i="10"/>
  <c r="B246" i="10" s="1"/>
  <c r="K247" i="10"/>
  <c r="K172" i="36"/>
  <c r="H188" i="35"/>
  <c r="G188" i="35"/>
  <c r="J193" i="38"/>
  <c r="A193" i="38" s="1"/>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K248" i="10" l="1"/>
  <c r="C247" i="10"/>
  <c r="B247" i="10" s="1"/>
  <c r="G247" i="10"/>
  <c r="E247" i="10"/>
  <c r="D247" i="10"/>
  <c r="H247" i="10"/>
  <c r="M173" i="36"/>
  <c r="K173" i="36" s="1"/>
  <c r="M245" i="39"/>
  <c r="C245" i="39" s="1"/>
  <c r="AT195" i="38"/>
  <c r="C195" i="38" s="1"/>
  <c r="B189" i="35"/>
  <c r="AR190" i="35"/>
  <c r="H172" i="36"/>
  <c r="B172" i="36"/>
  <c r="I172" i="36" s="1"/>
  <c r="F172" i="36"/>
  <c r="G172" i="36"/>
  <c r="J194" i="38"/>
  <c r="A194" i="38" s="1"/>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L249" i="10" l="1"/>
  <c r="C249" i="10" s="1"/>
  <c r="B249" i="10" s="1"/>
  <c r="F249" i="10"/>
  <c r="N246" i="39"/>
  <c r="D246" i="39" s="1"/>
  <c r="A246" i="39" s="1"/>
  <c r="O247" i="39"/>
  <c r="L247" i="39"/>
  <c r="B190" i="35"/>
  <c r="K174" i="36"/>
  <c r="D173" i="36"/>
  <c r="E173" i="36"/>
  <c r="J195" i="38"/>
  <c r="A195" i="38" s="1"/>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G249" i="10" l="1"/>
  <c r="D249" i="10"/>
  <c r="E249" i="10"/>
  <c r="N247" i="39"/>
  <c r="D247" i="39" s="1"/>
  <c r="A247" i="39" s="1"/>
  <c r="L248" i="39"/>
  <c r="O248" i="39"/>
  <c r="B174" i="36"/>
  <c r="I174" i="36" s="1"/>
  <c r="H174" i="36"/>
  <c r="F174" i="36"/>
  <c r="G174" i="36"/>
  <c r="AT197" i="38"/>
  <c r="E197" i="38" s="1"/>
  <c r="AR192" i="35"/>
  <c r="M175" i="36"/>
  <c r="J196" i="38"/>
  <c r="A196" i="38" s="1"/>
  <c r="B191" i="35"/>
  <c r="J191" i="35"/>
  <c r="E191" i="35" l="1"/>
  <c r="D174" i="36"/>
  <c r="AU197" i="38"/>
  <c r="D197" i="38" s="1"/>
  <c r="AV198" i="38"/>
  <c r="AS198" i="38"/>
  <c r="K175" i="36"/>
  <c r="C197" i="38"/>
  <c r="F191" i="35"/>
  <c r="I191" i="35"/>
  <c r="D191" i="35"/>
  <c r="AS192" i="35"/>
  <c r="C192" i="35" s="1"/>
  <c r="E174" i="36"/>
  <c r="G191" i="35"/>
  <c r="M248" i="39"/>
  <c r="C248" i="39" s="1"/>
  <c r="H191" i="35"/>
  <c r="N248" i="39" l="1"/>
  <c r="D248" i="39" s="1"/>
  <c r="A248" i="39" s="1"/>
  <c r="O249" i="39"/>
  <c r="L249" i="39"/>
  <c r="A192" i="35"/>
  <c r="L175" i="36"/>
  <c r="C175" i="36" s="1"/>
  <c r="A175" i="36" s="1"/>
  <c r="AT198" i="38"/>
  <c r="E198" i="38" s="1"/>
  <c r="J197" i="38"/>
  <c r="A197" i="38" s="1"/>
  <c r="AT193" i="35"/>
  <c r="AU198" i="38" l="1"/>
  <c r="D198" i="38" s="1"/>
  <c r="AS199" i="38"/>
  <c r="AV199" i="38"/>
  <c r="C198" i="38"/>
  <c r="B192" i="35"/>
  <c r="G175" i="36"/>
  <c r="H175" i="36"/>
  <c r="B175" i="36"/>
  <c r="I175" i="36" s="1"/>
  <c r="F175" i="36"/>
  <c r="M176" i="36"/>
  <c r="M249" i="39"/>
  <c r="C249" i="39" s="1"/>
  <c r="AR193" i="35"/>
  <c r="J192" i="35"/>
  <c r="I192" i="35" l="1"/>
  <c r="D175" i="36"/>
  <c r="N249" i="39"/>
  <c r="D249" i="39" s="1"/>
  <c r="A249" i="39" s="1"/>
  <c r="O250" i="39"/>
  <c r="L250" i="39"/>
  <c r="D192" i="35"/>
  <c r="H192" i="35"/>
  <c r="F192" i="35"/>
  <c r="K176" i="36"/>
  <c r="E192" i="35"/>
  <c r="G192" i="35"/>
  <c r="AT199" i="38"/>
  <c r="C199" i="38" s="1"/>
  <c r="E175" i="36"/>
  <c r="J198" i="38"/>
  <c r="A198" i="38" s="1"/>
  <c r="AS193" i="35"/>
  <c r="C193" i="35" s="1"/>
  <c r="A193" i="35" l="1"/>
  <c r="E199" i="38"/>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J199" i="38"/>
  <c r="A199" i="38" s="1"/>
  <c r="AS194" i="35"/>
  <c r="C194" i="35" s="1"/>
  <c r="K177" i="36"/>
  <c r="AT200" i="38"/>
  <c r="C200" i="38" s="1"/>
  <c r="E193" i="35"/>
  <c r="F193" i="35"/>
  <c r="I193" i="35"/>
  <c r="E176" i="36"/>
  <c r="D193" i="35"/>
  <c r="D176" i="36"/>
  <c r="M251" i="39"/>
  <c r="C251" i="39" s="1"/>
  <c r="AT195" i="35" l="1"/>
  <c r="AR195" i="35" s="1"/>
  <c r="E200" i="38"/>
  <c r="AS201" i="38" s="1"/>
  <c r="N251" i="39"/>
  <c r="D251" i="39" s="1"/>
  <c r="A251" i="39" s="1"/>
  <c r="O252" i="39"/>
  <c r="L252" i="39"/>
  <c r="L177" i="36"/>
  <c r="C177" i="36" s="1"/>
  <c r="A177" i="36" s="1"/>
  <c r="A194" i="35"/>
  <c r="AV201" i="38" l="1"/>
  <c r="AU200" i="38"/>
  <c r="D200" i="38" s="1"/>
  <c r="B194" i="35"/>
  <c r="H177" i="36"/>
  <c r="F177" i="36"/>
  <c r="B177" i="36"/>
  <c r="I177" i="36" s="1"/>
  <c r="G177" i="36"/>
  <c r="M178" i="36"/>
  <c r="M252" i="39"/>
  <c r="C252" i="39" s="1"/>
  <c r="AS195" i="35"/>
  <c r="C195" i="35" s="1"/>
  <c r="AT201" i="38"/>
  <c r="E201" i="38" s="1"/>
  <c r="J194" i="35"/>
  <c r="I194" i="35" l="1"/>
  <c r="J200" i="38"/>
  <c r="A200" i="38" s="1"/>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J201" i="38"/>
  <c r="A201" i="38" s="1"/>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J202" i="38"/>
  <c r="A202" i="38" s="1"/>
  <c r="J196" i="35"/>
  <c r="I196" i="35" l="1"/>
  <c r="E196" i="35"/>
  <c r="H179" i="36"/>
  <c r="G179" i="36"/>
  <c r="B179" i="36"/>
  <c r="I179" i="36" s="1"/>
  <c r="F179" i="36"/>
  <c r="A197" i="35"/>
  <c r="E203" i="38"/>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J203" i="38"/>
  <c r="A203" i="38" s="1"/>
  <c r="AT204" i="38"/>
  <c r="E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B198" i="35"/>
  <c r="J204" i="38"/>
  <c r="A204" i="38" s="1"/>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J205" i="38"/>
  <c r="A205" i="38" s="1"/>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H199" i="35" l="1"/>
  <c r="I199" i="35"/>
  <c r="D199" i="35"/>
  <c r="E199" i="35"/>
  <c r="F199" i="35"/>
  <c r="G199" i="35"/>
  <c r="L182" i="36"/>
  <c r="C182" i="36" s="1"/>
  <c r="A182" i="36" s="1"/>
  <c r="AT207" i="38"/>
  <c r="E207" i="38" s="1"/>
  <c r="J206" i="38"/>
  <c r="A206"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D182" i="36" l="1"/>
  <c r="AR201" i="35"/>
  <c r="K183" i="36"/>
  <c r="AT208" i="38"/>
  <c r="C208" i="38" s="1"/>
  <c r="B200" i="35"/>
  <c r="E182" i="36"/>
  <c r="J207" i="38"/>
  <c r="A207" i="38" s="1"/>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E183" i="36" l="1"/>
  <c r="N261" i="39"/>
  <c r="D261" i="39" s="1"/>
  <c r="A261" i="39" s="1"/>
  <c r="O262" i="39"/>
  <c r="L262" i="39"/>
  <c r="K184" i="36"/>
  <c r="D183" i="36"/>
  <c r="B201" i="35"/>
  <c r="AT209" i="38"/>
  <c r="E209" i="38" s="1"/>
  <c r="AS202" i="35"/>
  <c r="C202" i="35" s="1"/>
  <c r="J208" i="38"/>
  <c r="A208" i="38"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H184" i="36" l="1"/>
  <c r="F184" i="36"/>
  <c r="B184" i="36"/>
  <c r="I184" i="36" s="1"/>
  <c r="G184" i="36"/>
  <c r="AR203" i="35"/>
  <c r="B202" i="35"/>
  <c r="M185" i="36"/>
  <c r="O263" i="39"/>
  <c r="AT210" i="38"/>
  <c r="E210" i="38" s="1"/>
  <c r="L263" i="39"/>
  <c r="J209" i="38"/>
  <c r="A209" i="38" s="1"/>
  <c r="J202" i="35"/>
  <c r="F202" i="35" l="1"/>
  <c r="D202" i="35"/>
  <c r="H202" i="35"/>
  <c r="I202" i="35"/>
  <c r="AU210" i="38"/>
  <c r="D210" i="38" s="1"/>
  <c r="AV211" i="38"/>
  <c r="AS211" i="38"/>
  <c r="C210" i="38"/>
  <c r="AS203" i="35"/>
  <c r="C203" i="35" s="1"/>
  <c r="D184" i="36"/>
  <c r="K185" i="36"/>
  <c r="E202" i="35"/>
  <c r="E184" i="36"/>
  <c r="M263" i="39"/>
  <c r="C263" i="39" s="1"/>
  <c r="G202" i="35"/>
  <c r="N263" i="39" l="1"/>
  <c r="D263" i="39" s="1"/>
  <c r="A263" i="39" s="1"/>
  <c r="L264" i="39"/>
  <c r="O264" i="39"/>
  <c r="A203" i="35"/>
  <c r="AT204" i="35"/>
  <c r="AT211" i="38"/>
  <c r="C211" i="38" s="1"/>
  <c r="L185" i="36"/>
  <c r="C185" i="36" s="1"/>
  <c r="A185" i="36" s="1"/>
  <c r="J210" i="38"/>
  <c r="A210" i="38"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A204" i="35" l="1"/>
  <c r="AT212" i="38"/>
  <c r="C212" i="38" s="1"/>
  <c r="L186" i="36"/>
  <c r="C186" i="36" s="1"/>
  <c r="A186" i="36" s="1"/>
  <c r="AT205" i="35"/>
  <c r="J211" i="38"/>
  <c r="A211" i="38" s="1"/>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N266" i="39" l="1"/>
  <c r="D266" i="39" s="1"/>
  <c r="A266" i="39" s="1"/>
  <c r="O267" i="39"/>
  <c r="L267" i="39"/>
  <c r="AT206" i="35"/>
  <c r="L187" i="36"/>
  <c r="C187" i="36" s="1"/>
  <c r="A187" i="36" s="1"/>
  <c r="A205" i="35"/>
  <c r="AT213" i="38"/>
  <c r="C213" i="38" s="1"/>
  <c r="J212" i="38"/>
  <c r="A212"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AT207" i="35" l="1"/>
  <c r="A206" i="35"/>
  <c r="AT214" i="38"/>
  <c r="E214" i="38" s="1"/>
  <c r="J213" i="38"/>
  <c r="A213"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E206" i="35" l="1"/>
  <c r="K189" i="36"/>
  <c r="AT215" i="38"/>
  <c r="C215" i="38" s="1"/>
  <c r="H206" i="35"/>
  <c r="E188" i="36"/>
  <c r="D188" i="36"/>
  <c r="J214" i="38"/>
  <c r="A214" i="38" s="1"/>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G207" i="35" l="1"/>
  <c r="D189" i="36"/>
  <c r="E189" i="36"/>
  <c r="E207" i="35"/>
  <c r="I207" i="35"/>
  <c r="H207" i="35"/>
  <c r="D207" i="35"/>
  <c r="N270" i="39"/>
  <c r="D270" i="39" s="1"/>
  <c r="A270" i="39" s="1"/>
  <c r="L271" i="39"/>
  <c r="O271" i="39"/>
  <c r="J215" i="38"/>
  <c r="A215" i="38" s="1"/>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I208" i="35" l="1"/>
  <c r="E208" i="35"/>
  <c r="H208" i="35"/>
  <c r="G208" i="35"/>
  <c r="E190" i="36"/>
  <c r="D208" i="35"/>
  <c r="AT217" i="38"/>
  <c r="C217" i="38" s="1"/>
  <c r="J216" i="38"/>
  <c r="A216"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E209" i="35" l="1"/>
  <c r="G209" i="35"/>
  <c r="I209" i="35"/>
  <c r="D209" i="35"/>
  <c r="F209" i="35"/>
  <c r="N273" i="39"/>
  <c r="D273" i="39" s="1"/>
  <c r="A273" i="39" s="1"/>
  <c r="O274" i="39"/>
  <c r="L274" i="39"/>
  <c r="AS210" i="35"/>
  <c r="C210" i="35" s="1"/>
  <c r="H209" i="35"/>
  <c r="E191" i="36"/>
  <c r="J217" i="38"/>
  <c r="A217" i="38" s="1"/>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E210" i="35" l="1"/>
  <c r="J218" i="38"/>
  <c r="A218" i="38" s="1"/>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AR212" i="35" l="1"/>
  <c r="B211" i="35"/>
  <c r="M276" i="39"/>
  <c r="C276" i="39" s="1"/>
  <c r="N276" i="39" s="1"/>
  <c r="D276" i="39" s="1"/>
  <c r="A276" i="39" s="1"/>
  <c r="F193" i="36"/>
  <c r="H193" i="36"/>
  <c r="G193" i="36"/>
  <c r="B193" i="36"/>
  <c r="I193" i="36" s="1"/>
  <c r="M194" i="36"/>
  <c r="AT220" i="38"/>
  <c r="E220" i="38" s="1"/>
  <c r="J219" i="38"/>
  <c r="A219" i="38" s="1"/>
  <c r="J211" i="35"/>
  <c r="F211" i="35" l="1"/>
  <c r="I211" i="35"/>
  <c r="AU220" i="38"/>
  <c r="D220" i="38" s="1"/>
  <c r="AS221" i="38"/>
  <c r="AV221" i="38"/>
  <c r="H211" i="35"/>
  <c r="G211" i="35"/>
  <c r="E211" i="35"/>
  <c r="D193" i="36"/>
  <c r="D211" i="35"/>
  <c r="AS212" i="35"/>
  <c r="C212" i="35" s="1"/>
  <c r="E193" i="36"/>
  <c r="L277" i="39"/>
  <c r="C220" i="38"/>
  <c r="O277" i="39"/>
  <c r="K194" i="36"/>
  <c r="A212" i="35" l="1"/>
  <c r="AT213" i="35"/>
  <c r="L194" i="36"/>
  <c r="C194" i="36" s="1"/>
  <c r="A194" i="36" s="1"/>
  <c r="AT221" i="38"/>
  <c r="E221" i="38" s="1"/>
  <c r="M277" i="39"/>
  <c r="C277" i="39" s="1"/>
  <c r="J220" i="38"/>
  <c r="A220" i="38" s="1"/>
  <c r="N277" i="39" l="1"/>
  <c r="D277" i="39" s="1"/>
  <c r="A277" i="39" s="1"/>
  <c r="O278" i="39"/>
  <c r="L278" i="39"/>
  <c r="AU221" i="38"/>
  <c r="D221" i="38" s="1"/>
  <c r="AS222" i="38"/>
  <c r="AV222" i="38"/>
  <c r="C221" i="38"/>
  <c r="G194" i="36"/>
  <c r="B194" i="36"/>
  <c r="I194" i="36" s="1"/>
  <c r="F194" i="36"/>
  <c r="H194" i="36"/>
  <c r="M195" i="36"/>
  <c r="AR213" i="35"/>
  <c r="B212" i="35"/>
  <c r="J212" i="35"/>
  <c r="E194" i="36" l="1"/>
  <c r="I212" i="35"/>
  <c r="D194" i="36"/>
  <c r="D212" i="35"/>
  <c r="AT222" i="38"/>
  <c r="E222" i="38" s="1"/>
  <c r="AS213" i="35"/>
  <c r="C213" i="35" s="1"/>
  <c r="J221" i="38"/>
  <c r="A221" i="38"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AR214" i="35" l="1"/>
  <c r="B213" i="35"/>
  <c r="M196" i="36"/>
  <c r="H195" i="36"/>
  <c r="F195" i="36"/>
  <c r="G195" i="36"/>
  <c r="B195" i="36"/>
  <c r="I195" i="36" s="1"/>
  <c r="AT223" i="38"/>
  <c r="E223" i="38" s="1"/>
  <c r="J222" i="38"/>
  <c r="A222"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AT215" i="35" l="1"/>
  <c r="AR215" i="35" s="1"/>
  <c r="L196" i="36"/>
  <c r="C196" i="36" s="1"/>
  <c r="A196" i="36" s="1"/>
  <c r="AT224" i="38"/>
  <c r="E224" i="38" s="1"/>
  <c r="A214" i="35"/>
  <c r="J223" i="38"/>
  <c r="A223" i="38" s="1"/>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E214" i="35" l="1"/>
  <c r="I214" i="35"/>
  <c r="D214" i="35"/>
  <c r="F214" i="35"/>
  <c r="H214" i="35"/>
  <c r="AT225" i="38"/>
  <c r="E225" i="38" s="1"/>
  <c r="G214" i="35"/>
  <c r="A215" i="35"/>
  <c r="AT216" i="35"/>
  <c r="J224" i="38"/>
  <c r="A224" i="38" s="1"/>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H215" i="35" l="1"/>
  <c r="F215" i="35"/>
  <c r="D215" i="35"/>
  <c r="I215" i="35"/>
  <c r="E215" i="35"/>
  <c r="M198" i="36"/>
  <c r="G215" i="35"/>
  <c r="AT226" i="38"/>
  <c r="C226" i="38" s="1"/>
  <c r="B197" i="36"/>
  <c r="I197" i="36" s="1"/>
  <c r="G197" i="36"/>
  <c r="H197" i="36"/>
  <c r="F197" i="36"/>
  <c r="AS216" i="35"/>
  <c r="C216" i="35" s="1"/>
  <c r="J225" i="38"/>
  <c r="A225" i="38"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D216" i="35" l="1"/>
  <c r="N283" i="39"/>
  <c r="D283" i="39" s="1"/>
  <c r="A283" i="39" s="1"/>
  <c r="L284" i="39"/>
  <c r="O284" i="39"/>
  <c r="G216" i="35"/>
  <c r="I216" i="35"/>
  <c r="H216" i="35"/>
  <c r="A217" i="35"/>
  <c r="AT218" i="35"/>
  <c r="F216" i="35"/>
  <c r="AT227" i="38"/>
  <c r="C227" i="38" s="1"/>
  <c r="E216" i="35"/>
  <c r="G198" i="36"/>
  <c r="H198" i="36"/>
  <c r="B198" i="36"/>
  <c r="I198" i="36" s="1"/>
  <c r="F198" i="36"/>
  <c r="J226" i="38"/>
  <c r="A226" i="38" s="1"/>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A218" i="35" l="1"/>
  <c r="F199" i="36"/>
  <c r="B199" i="36"/>
  <c r="I199" i="36" s="1"/>
  <c r="H199" i="36"/>
  <c r="G199" i="36"/>
  <c r="AT228" i="38"/>
  <c r="E228" i="38" s="1"/>
  <c r="AT219" i="35"/>
  <c r="M200" i="36"/>
  <c r="J227" i="38"/>
  <c r="A227" i="38" s="1"/>
  <c r="M285" i="39"/>
  <c r="C285" i="39" s="1"/>
  <c r="N285" i="39" l="1"/>
  <c r="D285" i="39" s="1"/>
  <c r="A285" i="39" s="1"/>
  <c r="O286" i="39"/>
  <c r="L286" i="39"/>
  <c r="AU228" i="38"/>
  <c r="D228" i="38" s="1"/>
  <c r="AS229" i="38"/>
  <c r="AV229" i="38"/>
  <c r="C228" i="38"/>
  <c r="E199" i="36"/>
  <c r="D199" i="36"/>
  <c r="K200" i="36"/>
  <c r="AR219" i="35"/>
  <c r="B218" i="35"/>
  <c r="J218" i="35"/>
  <c r="H218" i="35" l="1"/>
  <c r="AT229" i="38"/>
  <c r="E229" i="38" s="1"/>
  <c r="E218" i="35"/>
  <c r="D218" i="35"/>
  <c r="F218" i="35"/>
  <c r="I218" i="35"/>
  <c r="AS219" i="35"/>
  <c r="C219" i="35" s="1"/>
  <c r="J228" i="38"/>
  <c r="A228" i="38"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B219" i="35" l="1"/>
  <c r="K201" i="36"/>
  <c r="AR220" i="35"/>
  <c r="AT230" i="38"/>
  <c r="C230" i="38" s="1"/>
  <c r="J229" i="38"/>
  <c r="A229" i="38" s="1"/>
  <c r="D200" i="36"/>
  <c r="M287" i="39"/>
  <c r="C287" i="39" s="1"/>
  <c r="E200" i="36"/>
  <c r="J219" i="35"/>
  <c r="F219" i="35" l="1"/>
  <c r="E230" i="38"/>
  <c r="AV231" i="38" s="1"/>
  <c r="N287" i="39"/>
  <c r="D287" i="39" s="1"/>
  <c r="A287" i="39" s="1"/>
  <c r="O288" i="39"/>
  <c r="L288" i="39"/>
  <c r="L201" i="36"/>
  <c r="C201" i="36" s="1"/>
  <c r="A201" i="36" s="1"/>
  <c r="H219" i="35"/>
  <c r="I219" i="35"/>
  <c r="D219" i="35"/>
  <c r="G219" i="35"/>
  <c r="AS220" i="35"/>
  <c r="C220" i="35" s="1"/>
  <c r="E219" i="35"/>
  <c r="AU230" i="38" l="1"/>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N289" i="39" l="1"/>
  <c r="D289" i="39" s="1"/>
  <c r="A289" i="39" s="1"/>
  <c r="L290" i="39"/>
  <c r="O290" i="39"/>
  <c r="AT232" i="38"/>
  <c r="C232" i="38" s="1"/>
  <c r="J231" i="38"/>
  <c r="A231"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AT233" i="38" l="1"/>
  <c r="C233" i="38" s="1"/>
  <c r="A222" i="35"/>
  <c r="J232" i="38"/>
  <c r="A232" i="38" s="1"/>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AT224" i="35" l="1"/>
  <c r="AR224" i="35" s="1"/>
  <c r="N292" i="39"/>
  <c r="D292" i="39" s="1"/>
  <c r="A292" i="39" s="1"/>
  <c r="O293" i="39"/>
  <c r="L293" i="39"/>
  <c r="AT234" i="38"/>
  <c r="E234" i="38" s="1"/>
  <c r="B204" i="36"/>
  <c r="I204" i="36" s="1"/>
  <c r="H204" i="36"/>
  <c r="G204" i="36"/>
  <c r="F204" i="36"/>
  <c r="J233" i="38"/>
  <c r="A233" i="38" s="1"/>
  <c r="M205" i="36"/>
  <c r="A223" i="35"/>
  <c r="AU234" i="38" l="1"/>
  <c r="D234" i="38" s="1"/>
  <c r="AV235" i="38"/>
  <c r="AS235" i="38"/>
  <c r="C234" i="38"/>
  <c r="K205" i="36"/>
  <c r="B223" i="35"/>
  <c r="AS224" i="35"/>
  <c r="C224" i="35" s="1"/>
  <c r="E204" i="36"/>
  <c r="D204" i="36"/>
  <c r="M293" i="39"/>
  <c r="C293" i="39" s="1"/>
  <c r="J223" i="35"/>
  <c r="AT225" i="35" l="1"/>
  <c r="AR225" i="35" s="1"/>
  <c r="E223" i="35"/>
  <c r="F223" i="35"/>
  <c r="G223" i="35"/>
  <c r="I223" i="35"/>
  <c r="N293" i="39"/>
  <c r="D293" i="39" s="1"/>
  <c r="A293" i="39" s="1"/>
  <c r="O294" i="39"/>
  <c r="L294" i="39"/>
  <c r="L205" i="36"/>
  <c r="C205" i="36" s="1"/>
  <c r="A205" i="36" s="1"/>
  <c r="AT235" i="38"/>
  <c r="E235" i="38" s="1"/>
  <c r="A224" i="35"/>
  <c r="D223" i="35"/>
  <c r="H223" i="35"/>
  <c r="J234" i="38"/>
  <c r="A234" i="38" s="1"/>
  <c r="AU235" i="38" l="1"/>
  <c r="D235" i="38" s="1"/>
  <c r="AS236" i="38"/>
  <c r="AV236" i="38"/>
  <c r="M206" i="36"/>
  <c r="H205" i="36"/>
  <c r="B205" i="36"/>
  <c r="I205" i="36" s="1"/>
  <c r="G205" i="36"/>
  <c r="F205" i="36"/>
  <c r="C235" i="38"/>
  <c r="B224" i="35"/>
  <c r="M294" i="39"/>
  <c r="C294" i="39" s="1"/>
  <c r="AS225" i="35"/>
  <c r="C225" i="35" s="1"/>
  <c r="J224" i="35"/>
  <c r="D224" i="35" l="1"/>
  <c r="G224" i="35"/>
  <c r="H224" i="35"/>
  <c r="N294" i="39"/>
  <c r="D294" i="39" s="1"/>
  <c r="A294" i="39" s="1"/>
  <c r="L295" i="39"/>
  <c r="O295" i="39"/>
  <c r="D205" i="36"/>
  <c r="E224" i="35"/>
  <c r="E205" i="36"/>
  <c r="I224" i="35"/>
  <c r="F224" i="35"/>
  <c r="K206" i="36"/>
  <c r="AT236" i="38"/>
  <c r="C236" i="38" s="1"/>
  <c r="A225" i="35"/>
  <c r="AT226" i="35"/>
  <c r="J235" i="38"/>
  <c r="A235" i="38" s="1"/>
  <c r="L206" i="36" l="1"/>
  <c r="C206" i="36" s="1"/>
  <c r="A206" i="36" s="1"/>
  <c r="B225" i="35"/>
  <c r="E236" i="38"/>
  <c r="AR226" i="35"/>
  <c r="M295" i="39"/>
  <c r="C295" i="39" s="1"/>
  <c r="J225" i="35"/>
  <c r="F225" i="35" l="1"/>
  <c r="N295" i="39"/>
  <c r="D295" i="39" s="1"/>
  <c r="A295" i="39" s="1"/>
  <c r="L296" i="39"/>
  <c r="O296" i="39"/>
  <c r="D225" i="35"/>
  <c r="I225" i="35"/>
  <c r="H225" i="35"/>
  <c r="AS226" i="35"/>
  <c r="C226" i="35" s="1"/>
  <c r="E225" i="35"/>
  <c r="AU236" i="38"/>
  <c r="D236" i="38" s="1"/>
  <c r="AS237" i="38"/>
  <c r="AV237" i="38"/>
  <c r="G225" i="35"/>
  <c r="M207" i="36"/>
  <c r="F206" i="36"/>
  <c r="H206" i="36"/>
  <c r="B206" i="36"/>
  <c r="I206" i="36" s="1"/>
  <c r="G206" i="36"/>
  <c r="AT227" i="35" l="1"/>
  <c r="AR227" i="35" s="1"/>
  <c r="A226" i="35"/>
  <c r="K207" i="36"/>
  <c r="J236" i="38"/>
  <c r="A236" i="38" s="1"/>
  <c r="E206" i="36"/>
  <c r="AT237" i="38"/>
  <c r="E237" i="38" s="1"/>
  <c r="D206" i="36"/>
  <c r="M296" i="39"/>
  <c r="C296" i="39" s="1"/>
  <c r="N296" i="39" l="1"/>
  <c r="D296" i="39" s="1"/>
  <c r="A296" i="39" s="1"/>
  <c r="L297" i="39"/>
  <c r="O297" i="39"/>
  <c r="AU237" i="38"/>
  <c r="D237" i="38" s="1"/>
  <c r="AV238" i="38"/>
  <c r="AS238" i="38"/>
  <c r="L207" i="36"/>
  <c r="C207" i="36" s="1"/>
  <c r="A207" i="36" s="1"/>
  <c r="B226" i="35"/>
  <c r="C237" i="38"/>
  <c r="AS227" i="35"/>
  <c r="C227" i="35" s="1"/>
  <c r="J226" i="35"/>
  <c r="AT228" i="35" l="1"/>
  <c r="AR228" i="35" s="1"/>
  <c r="E226" i="35"/>
  <c r="H226" i="35"/>
  <c r="I226" i="35"/>
  <c r="F226" i="35"/>
  <c r="M208" i="36"/>
  <c r="G207" i="36"/>
  <c r="F207" i="36"/>
  <c r="H207" i="36"/>
  <c r="B207" i="36"/>
  <c r="I207" i="36" s="1"/>
  <c r="AT238" i="38"/>
  <c r="E238" i="38" s="1"/>
  <c r="A227" i="35"/>
  <c r="J237" i="38"/>
  <c r="A237" i="38" s="1"/>
  <c r="D226" i="35"/>
  <c r="M297" i="39"/>
  <c r="C297" i="39" s="1"/>
  <c r="G226" i="35"/>
  <c r="AU238" i="38" l="1"/>
  <c r="D238" i="38" s="1"/>
  <c r="AV239" i="38"/>
  <c r="AS239" i="38"/>
  <c r="N297" i="39"/>
  <c r="D297" i="39" s="1"/>
  <c r="A297" i="39" s="1"/>
  <c r="O298" i="39"/>
  <c r="L298" i="39"/>
  <c r="D207" i="36"/>
  <c r="B227" i="35"/>
  <c r="E207" i="36"/>
  <c r="K208" i="36"/>
  <c r="C238" i="38"/>
  <c r="AS228" i="35"/>
  <c r="C228" i="35" s="1"/>
  <c r="J227" i="35"/>
  <c r="D227" i="35" l="1"/>
  <c r="H227" i="35"/>
  <c r="G227" i="35"/>
  <c r="E227" i="35"/>
  <c r="I227" i="35"/>
  <c r="F227" i="35"/>
  <c r="M298" i="39"/>
  <c r="C298" i="39" s="1"/>
  <c r="AT239" i="38"/>
  <c r="E239" i="38" s="1"/>
  <c r="AT229" i="35"/>
  <c r="A228" i="35"/>
  <c r="L208" i="36"/>
  <c r="C208" i="36" s="1"/>
  <c r="A208" i="36" s="1"/>
  <c r="J238" i="38"/>
  <c r="A238" i="38" s="1"/>
  <c r="AU239" i="38" l="1"/>
  <c r="D239" i="38" s="1"/>
  <c r="AV240" i="38"/>
  <c r="AS240" i="38"/>
  <c r="N298" i="39"/>
  <c r="D298" i="39" s="1"/>
  <c r="A298" i="39" s="1"/>
  <c r="L299" i="39"/>
  <c r="O299" i="39"/>
  <c r="AR229" i="35"/>
  <c r="C239" i="38"/>
  <c r="M209" i="36"/>
  <c r="H208" i="36"/>
  <c r="G208" i="36"/>
  <c r="F208" i="36"/>
  <c r="B208" i="36"/>
  <c r="I208" i="36" s="1"/>
  <c r="B228" i="35"/>
  <c r="J228" i="35"/>
  <c r="F228" i="35" l="1"/>
  <c r="E208" i="36"/>
  <c r="AS229" i="35"/>
  <c r="C229" i="35" s="1"/>
  <c r="G228" i="35"/>
  <c r="H228" i="35"/>
  <c r="M299" i="39"/>
  <c r="C299" i="39" s="1"/>
  <c r="N299" i="39" s="1"/>
  <c r="D299" i="39" s="1"/>
  <c r="A299" i="39" s="1"/>
  <c r="AT240" i="38"/>
  <c r="E240" i="38" s="1"/>
  <c r="E228" i="35"/>
  <c r="K209" i="36"/>
  <c r="D228" i="35"/>
  <c r="D208" i="36"/>
  <c r="I228" i="35"/>
  <c r="J239" i="38"/>
  <c r="A239" i="38" s="1"/>
  <c r="O300" i="39" l="1"/>
  <c r="L300" i="39"/>
  <c r="AU240" i="38"/>
  <c r="D240" i="38" s="1"/>
  <c r="AV241" i="38"/>
  <c r="AS241" i="38"/>
  <c r="C240" i="38"/>
  <c r="L209" i="36"/>
  <c r="C209" i="36" s="1"/>
  <c r="A209" i="36" s="1"/>
  <c r="A229" i="35"/>
  <c r="AT230" i="35"/>
  <c r="M300" i="39" l="1"/>
  <c r="C300" i="39" s="1"/>
  <c r="B229" i="35"/>
  <c r="G209" i="36"/>
  <c r="H209" i="36"/>
  <c r="F209" i="36"/>
  <c r="B209" i="36"/>
  <c r="I209" i="36" s="1"/>
  <c r="M210" i="36"/>
  <c r="AR230" i="35"/>
  <c r="AT241" i="38"/>
  <c r="C241" i="38" s="1"/>
  <c r="J240" i="38"/>
  <c r="A240" i="38" s="1"/>
  <c r="J229" i="35"/>
  <c r="F229" i="35" l="1"/>
  <c r="N300" i="39"/>
  <c r="D300" i="39" s="1"/>
  <c r="A300" i="39" s="1"/>
  <c r="L301" i="39"/>
  <c r="O301" i="39"/>
  <c r="I229" i="35"/>
  <c r="E209" i="36"/>
  <c r="D209" i="36"/>
  <c r="G229" i="35"/>
  <c r="D229" i="35"/>
  <c r="E241" i="38"/>
  <c r="AS230" i="35"/>
  <c r="C230" i="35" s="1"/>
  <c r="K210" i="36"/>
  <c r="H229" i="35"/>
  <c r="E229" i="35"/>
  <c r="M301" i="39" l="1"/>
  <c r="C301" i="39" s="1"/>
  <c r="L210" i="36"/>
  <c r="C210" i="36" s="1"/>
  <c r="A210" i="36" s="1"/>
  <c r="A230" i="35"/>
  <c r="AT231" i="35"/>
  <c r="AU241" i="38"/>
  <c r="D241" i="38" s="1"/>
  <c r="AS242" i="38"/>
  <c r="AV242" i="38"/>
  <c r="N301" i="39" l="1"/>
  <c r="D301" i="39" s="1"/>
  <c r="A301" i="39" s="1"/>
  <c r="O302" i="39"/>
  <c r="L302" i="39"/>
  <c r="AT242" i="38"/>
  <c r="C242" i="38" s="1"/>
  <c r="J241" i="38"/>
  <c r="A241" i="38" s="1"/>
  <c r="AR231" i="35"/>
  <c r="B230" i="35"/>
  <c r="M211" i="36"/>
  <c r="H210" i="36"/>
  <c r="G210" i="36"/>
  <c r="B210" i="36"/>
  <c r="I210" i="36" s="1"/>
  <c r="F210" i="36"/>
  <c r="J230" i="35"/>
  <c r="M302" i="39" l="1"/>
  <c r="C302" i="39" s="1"/>
  <c r="E210" i="36"/>
  <c r="AS231" i="35"/>
  <c r="C231" i="35" s="1"/>
  <c r="E230" i="35"/>
  <c r="K211" i="36"/>
  <c r="D210" i="36"/>
  <c r="E242" i="38"/>
  <c r="G230" i="35"/>
  <c r="H230" i="35"/>
  <c r="D230" i="35"/>
  <c r="F230" i="35"/>
  <c r="I230" i="35"/>
  <c r="AT232" i="35" l="1"/>
  <c r="AR232" i="35" s="1"/>
  <c r="N302" i="39"/>
  <c r="D302" i="39" s="1"/>
  <c r="A302" i="39" s="1"/>
  <c r="L303" i="39"/>
  <c r="O303" i="39"/>
  <c r="L211" i="36"/>
  <c r="C211" i="36" s="1"/>
  <c r="A211" i="36" s="1"/>
  <c r="A231" i="35"/>
  <c r="AU242" i="38"/>
  <c r="D242" i="38" s="1"/>
  <c r="AS243" i="38"/>
  <c r="AV243" i="38"/>
  <c r="M303" i="39" l="1"/>
  <c r="C303" i="39" s="1"/>
  <c r="B231" i="35"/>
  <c r="AT243" i="38"/>
  <c r="E243" i="38" s="1"/>
  <c r="J242" i="38"/>
  <c r="A242" i="38" s="1"/>
  <c r="M212" i="36"/>
  <c r="AS232" i="35"/>
  <c r="C232" i="35" s="1"/>
  <c r="F211" i="36"/>
  <c r="H211" i="36"/>
  <c r="B211" i="36"/>
  <c r="I211" i="36" s="1"/>
  <c r="G211" i="36"/>
  <c r="J231" i="35"/>
  <c r="AT233" i="35" l="1"/>
  <c r="AR233" i="35" s="1"/>
  <c r="F231" i="35"/>
  <c r="N303" i="39"/>
  <c r="D303" i="39" s="1"/>
  <c r="A303" i="39" s="1"/>
  <c r="L304" i="39"/>
  <c r="O304" i="39"/>
  <c r="H231" i="35"/>
  <c r="I231" i="35"/>
  <c r="D231" i="35"/>
  <c r="G231" i="35"/>
  <c r="AU243" i="38"/>
  <c r="D243" i="38" s="1"/>
  <c r="AV244" i="38"/>
  <c r="AS244" i="38"/>
  <c r="C243" i="38"/>
  <c r="E211" i="36"/>
  <c r="D211" i="36"/>
  <c r="A232" i="35"/>
  <c r="E231" i="35"/>
  <c r="K212" i="36"/>
  <c r="M304" i="39" l="1"/>
  <c r="C304" i="39" s="1"/>
  <c r="AT244" i="38"/>
  <c r="E244" i="38" s="1"/>
  <c r="B232" i="35"/>
  <c r="AS233" i="35"/>
  <c r="C233" i="35" s="1"/>
  <c r="L212" i="36"/>
  <c r="C212" i="36" s="1"/>
  <c r="A212" i="36" s="1"/>
  <c r="J243" i="38"/>
  <c r="A243" i="38" s="1"/>
  <c r="J232" i="35"/>
  <c r="E232" i="35" l="1"/>
  <c r="N304" i="39"/>
  <c r="D304" i="39" s="1"/>
  <c r="A304" i="39" s="1"/>
  <c r="L305" i="39"/>
  <c r="O305" i="39"/>
  <c r="AU244" i="38"/>
  <c r="D244" i="38" s="1"/>
  <c r="AS245" i="38"/>
  <c r="AV245" i="38"/>
  <c r="G232" i="35"/>
  <c r="D232" i="35"/>
  <c r="F232" i="35"/>
  <c r="I232" i="35"/>
  <c r="F212" i="36"/>
  <c r="H212" i="36"/>
  <c r="B212" i="36"/>
  <c r="I212" i="36" s="1"/>
  <c r="G212" i="36"/>
  <c r="C244" i="38"/>
  <c r="A233" i="35"/>
  <c r="M213" i="36"/>
  <c r="AT234" i="35"/>
  <c r="H232" i="35"/>
  <c r="M305" i="39" l="1"/>
  <c r="C305" i="39" s="1"/>
  <c r="E212" i="36"/>
  <c r="D212" i="36"/>
  <c r="AR234" i="35"/>
  <c r="K213" i="36"/>
  <c r="AT245" i="38"/>
  <c r="E245" i="38" s="1"/>
  <c r="B233" i="35"/>
  <c r="J244" i="38"/>
  <c r="A244" i="38" s="1"/>
  <c r="J233" i="35"/>
  <c r="E233" i="35" l="1"/>
  <c r="N305" i="39"/>
  <c r="D305" i="39" s="1"/>
  <c r="A305" i="39" s="1"/>
  <c r="O306" i="39"/>
  <c r="L306" i="39"/>
  <c r="H233" i="35"/>
  <c r="AU245" i="38"/>
  <c r="D245" i="38" s="1"/>
  <c r="AS246" i="38"/>
  <c r="AV246" i="38"/>
  <c r="G233" i="35"/>
  <c r="C245" i="38"/>
  <c r="D233" i="35"/>
  <c r="F233" i="35"/>
  <c r="L213" i="36"/>
  <c r="C213" i="36" s="1"/>
  <c r="A213" i="36" s="1"/>
  <c r="AS234" i="35"/>
  <c r="C234" i="35" s="1"/>
  <c r="I233" i="35"/>
  <c r="M306" i="39" l="1"/>
  <c r="C306" i="39" s="1"/>
  <c r="N306" i="39" s="1"/>
  <c r="D306" i="39" s="1"/>
  <c r="A306" i="39" s="1"/>
  <c r="M214" i="36"/>
  <c r="B213" i="36"/>
  <c r="I213" i="36" s="1"/>
  <c r="G213" i="36"/>
  <c r="F213" i="36"/>
  <c r="H213" i="36"/>
  <c r="A234" i="35"/>
  <c r="AT235" i="35"/>
  <c r="AT246" i="38"/>
  <c r="E246" i="38" s="1"/>
  <c r="J245" i="38"/>
  <c r="A245" i="38" s="1"/>
  <c r="L307" i="39" l="1"/>
  <c r="O307" i="39"/>
  <c r="E213" i="36"/>
  <c r="AU246" i="38"/>
  <c r="D246" i="38" s="1"/>
  <c r="AS247" i="38"/>
  <c r="AV247" i="38"/>
  <c r="B234" i="35"/>
  <c r="AR235" i="35"/>
  <c r="D213" i="36"/>
  <c r="C246" i="38"/>
  <c r="K214" i="36"/>
  <c r="J234" i="35"/>
  <c r="M307" i="39" l="1"/>
  <c r="C307" i="39" s="1"/>
  <c r="L214" i="36"/>
  <c r="C214" i="36" s="1"/>
  <c r="A214" i="36" s="1"/>
  <c r="G234" i="35"/>
  <c r="F234" i="35"/>
  <c r="D234" i="35"/>
  <c r="I234" i="35"/>
  <c r="AT247" i="38"/>
  <c r="E247" i="38" s="1"/>
  <c r="H234" i="35"/>
  <c r="E234" i="35"/>
  <c r="AS235" i="35"/>
  <c r="C235" i="35" s="1"/>
  <c r="J246" i="38"/>
  <c r="A246" i="38" s="1"/>
  <c r="N307" i="39" l="1"/>
  <c r="D307" i="39" s="1"/>
  <c r="A307" i="39" s="1"/>
  <c r="L308" i="39"/>
  <c r="O308" i="39"/>
  <c r="AU247" i="38"/>
  <c r="D247" i="38" s="1"/>
  <c r="AV248" i="38"/>
  <c r="AS248" i="38"/>
  <c r="C247" i="38"/>
  <c r="AT236" i="35"/>
  <c r="A235" i="35"/>
  <c r="M215" i="36"/>
  <c r="G214" i="36"/>
  <c r="H214" i="36"/>
  <c r="F214" i="36"/>
  <c r="B214" i="36"/>
  <c r="I214" i="36" s="1"/>
  <c r="M308" i="39" l="1"/>
  <c r="C308" i="39" s="1"/>
  <c r="N308" i="39" s="1"/>
  <c r="D308" i="39" s="1"/>
  <c r="A308" i="39" s="1"/>
  <c r="K215" i="36"/>
  <c r="AR236" i="35"/>
  <c r="AT248" i="38"/>
  <c r="C248" i="38" s="1"/>
  <c r="B235" i="35"/>
  <c r="D214" i="36"/>
  <c r="E214" i="36"/>
  <c r="J247" i="38"/>
  <c r="A247" i="38" s="1"/>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D215" i="36" l="1"/>
  <c r="B236" i="35"/>
  <c r="E215" i="36"/>
  <c r="K216" i="36"/>
  <c r="AT249" i="38"/>
  <c r="C249" i="38" s="1"/>
  <c r="AS237" i="35"/>
  <c r="C237" i="35" s="1"/>
  <c r="J248" i="38"/>
  <c r="A248" i="38"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A238" i="35" l="1"/>
  <c r="AT250" i="38"/>
  <c r="E250" i="38" s="1"/>
  <c r="E216" i="36"/>
  <c r="D216" i="36"/>
  <c r="G237" i="35"/>
  <c r="H237" i="35"/>
  <c r="AT239" i="35"/>
  <c r="D237" i="35"/>
  <c r="I237" i="35"/>
  <c r="F237" i="35"/>
  <c r="E237" i="35"/>
  <c r="J249" i="38"/>
  <c r="A249" i="38" s="1"/>
  <c r="K217" i="36"/>
  <c r="AU250" i="38" l="1"/>
  <c r="D250" i="38" s="1"/>
  <c r="AS251" i="38"/>
  <c r="AV251" i="38"/>
  <c r="L217" i="36"/>
  <c r="C217" i="36" s="1"/>
  <c r="A217" i="36" s="1"/>
  <c r="C250" i="38"/>
  <c r="AR239" i="35"/>
  <c r="B238" i="35"/>
  <c r="J238" i="35"/>
  <c r="E238" i="35" l="1"/>
  <c r="I238" i="35"/>
  <c r="F238" i="35"/>
  <c r="G238" i="35"/>
  <c r="AS239" i="35"/>
  <c r="C239" i="35" s="1"/>
  <c r="M218" i="36"/>
  <c r="F217" i="36"/>
  <c r="G217" i="36"/>
  <c r="H217" i="36"/>
  <c r="B217" i="36"/>
  <c r="I217" i="36" s="1"/>
  <c r="AT251" i="38"/>
  <c r="E251" i="38" s="1"/>
  <c r="D238" i="35"/>
  <c r="H238" i="35"/>
  <c r="J250" i="38"/>
  <c r="A250" i="38" s="1"/>
  <c r="AU251" i="38" l="1"/>
  <c r="D251" i="38" s="1"/>
  <c r="AV252" i="38"/>
  <c r="AS252" i="38"/>
  <c r="D217" i="36"/>
  <c r="C251" i="38"/>
  <c r="E217" i="36"/>
  <c r="A239" i="35"/>
  <c r="K218" i="36"/>
  <c r="AT240" i="35"/>
  <c r="B239" i="35" l="1"/>
  <c r="L218" i="36"/>
  <c r="C218" i="36" s="1"/>
  <c r="A218" i="36" s="1"/>
  <c r="AT252" i="38"/>
  <c r="C252" i="38" s="1"/>
  <c r="AR240" i="35"/>
  <c r="J251" i="38"/>
  <c r="A251" i="38" s="1"/>
  <c r="J239" i="35"/>
  <c r="F239" i="35" l="1"/>
  <c r="E252" i="38"/>
  <c r="AU252" i="38" s="1"/>
  <c r="D252" i="38" s="1"/>
  <c r="F218" i="36"/>
  <c r="H218" i="36"/>
  <c r="B218" i="36"/>
  <c r="I218" i="36" s="1"/>
  <c r="G218" i="36"/>
  <c r="M219" i="36"/>
  <c r="D239" i="35"/>
  <c r="H239" i="35"/>
  <c r="AS240" i="35"/>
  <c r="C240" i="35" s="1"/>
  <c r="E239" i="35"/>
  <c r="I239" i="35"/>
  <c r="G239" i="35"/>
  <c r="AV253" i="38" l="1"/>
  <c r="AS253" i="38"/>
  <c r="AT253" i="38" s="1"/>
  <c r="E253" i="38" s="1"/>
  <c r="D218" i="36"/>
  <c r="K219" i="36"/>
  <c r="E218" i="36"/>
  <c r="AT241" i="35"/>
  <c r="J252" i="38"/>
  <c r="A252" i="38" s="1"/>
  <c r="A240" i="35"/>
  <c r="AU253" i="38" l="1"/>
  <c r="D253" i="38" s="1"/>
  <c r="AS254" i="38"/>
  <c r="AV254" i="38"/>
  <c r="L219" i="36"/>
  <c r="C219" i="36" s="1"/>
  <c r="A219" i="36" s="1"/>
  <c r="AR241" i="35"/>
  <c r="C253" i="38"/>
  <c r="B240" i="35"/>
  <c r="J240" i="35"/>
  <c r="E240" i="35" l="1"/>
  <c r="F240" i="35"/>
  <c r="D240" i="35"/>
  <c r="H240" i="35"/>
  <c r="I240" i="35"/>
  <c r="AS241" i="35"/>
  <c r="C241" i="35" s="1"/>
  <c r="M220" i="36"/>
  <c r="G219" i="36"/>
  <c r="F219" i="36"/>
  <c r="H219" i="36"/>
  <c r="B219" i="36"/>
  <c r="I219" i="36" s="1"/>
  <c r="AT254" i="38"/>
  <c r="E254" i="38" s="1"/>
  <c r="G240" i="35"/>
  <c r="J253" i="38"/>
  <c r="A253" i="38" s="1"/>
  <c r="D219" i="36" l="1"/>
  <c r="AT242" i="35"/>
  <c r="AR242" i="35" s="1"/>
  <c r="AU254" i="38"/>
  <c r="D254" i="38" s="1"/>
  <c r="AS255" i="38"/>
  <c r="AV255" i="38"/>
  <c r="E219" i="36"/>
  <c r="K220" i="36"/>
  <c r="C254" i="38"/>
  <c r="A241" i="35"/>
  <c r="L220" i="36" l="1"/>
  <c r="C220" i="36" s="1"/>
  <c r="A220" i="36" s="1"/>
  <c r="AS242" i="35"/>
  <c r="C242" i="35" s="1"/>
  <c r="AT255" i="38"/>
  <c r="C255" i="38" s="1"/>
  <c r="B241" i="35"/>
  <c r="J254" i="38"/>
  <c r="A254" i="38" s="1"/>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H242" i="35" l="1"/>
  <c r="G242" i="35"/>
  <c r="D242" i="35"/>
  <c r="F242" i="35"/>
  <c r="E242" i="35"/>
  <c r="L221" i="36"/>
  <c r="C221" i="36" s="1"/>
  <c r="A221" i="36" s="1"/>
  <c r="AT256" i="38"/>
  <c r="E256" i="38" s="1"/>
  <c r="J255" i="38"/>
  <c r="A255" i="38" s="1"/>
  <c r="AS243" i="35"/>
  <c r="C243" i="35" s="1"/>
  <c r="I242" i="35"/>
  <c r="AT244" i="35" l="1"/>
  <c r="AR244" i="35" s="1"/>
  <c r="AU256" i="38"/>
  <c r="D256" i="38" s="1"/>
  <c r="AV257" i="38"/>
  <c r="AS257" i="38"/>
  <c r="G221" i="36"/>
  <c r="B221" i="36"/>
  <c r="I221" i="36" s="1"/>
  <c r="H221" i="36"/>
  <c r="F221" i="36"/>
  <c r="C256" i="38"/>
  <c r="M222" i="36"/>
  <c r="A243" i="35"/>
  <c r="D221" i="36" l="1"/>
  <c r="AT257" i="38"/>
  <c r="C257" i="38" s="1"/>
  <c r="J256" i="38"/>
  <c r="A256"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D244" i="35" l="1"/>
  <c r="K223" i="36"/>
  <c r="E222" i="36"/>
  <c r="F244" i="35"/>
  <c r="H244" i="35"/>
  <c r="I244" i="35"/>
  <c r="AS245" i="35"/>
  <c r="C245" i="35" s="1"/>
  <c r="AT258" i="38"/>
  <c r="E258" i="38" s="1"/>
  <c r="G244" i="35"/>
  <c r="E244" i="35"/>
  <c r="J257" i="38"/>
  <c r="A257" i="38" s="1"/>
  <c r="D222" i="36"/>
  <c r="C258" i="38" l="1"/>
  <c r="AU258" i="38"/>
  <c r="D258" i="38" s="1"/>
  <c r="AV259" i="38"/>
  <c r="AS259" i="38"/>
  <c r="A245" i="35"/>
  <c r="L223" i="36"/>
  <c r="C223" i="36" s="1"/>
  <c r="A223" i="36" s="1"/>
  <c r="AT246" i="35"/>
  <c r="AR246" i="35" l="1"/>
  <c r="M224" i="36"/>
  <c r="B223" i="36"/>
  <c r="I223" i="36" s="1"/>
  <c r="F223" i="36"/>
  <c r="H223" i="36"/>
  <c r="G223" i="36"/>
  <c r="B245" i="35"/>
  <c r="AT259" i="38"/>
  <c r="E259" i="38" s="1"/>
  <c r="J258" i="38"/>
  <c r="A258" i="38" s="1"/>
  <c r="J245" i="35"/>
  <c r="H245" i="35" l="1"/>
  <c r="F245" i="35"/>
  <c r="D223" i="36"/>
  <c r="AU259" i="38"/>
  <c r="D259" i="38" s="1"/>
  <c r="AV260" i="38"/>
  <c r="AS260" i="38"/>
  <c r="C259" i="38"/>
  <c r="K224" i="36"/>
  <c r="E245" i="35"/>
  <c r="I245" i="35"/>
  <c r="G245" i="35"/>
  <c r="E223" i="36"/>
  <c r="AS246" i="35"/>
  <c r="C246" i="35" s="1"/>
  <c r="D245" i="35"/>
  <c r="AT260" i="38" l="1"/>
  <c r="E260" i="38" s="1"/>
  <c r="L224" i="36"/>
  <c r="C224" i="36" s="1"/>
  <c r="A224" i="36" s="1"/>
  <c r="A246" i="35"/>
  <c r="AT247" i="35"/>
  <c r="J259" i="38"/>
  <c r="A259" i="38" s="1"/>
  <c r="AU260" i="38" l="1"/>
  <c r="D260" i="38" s="1"/>
  <c r="AV261" i="38"/>
  <c r="AS261" i="38"/>
  <c r="AR247" i="35"/>
  <c r="M225" i="36"/>
  <c r="B246" i="35"/>
  <c r="C260" i="38"/>
  <c r="G224" i="36"/>
  <c r="H224" i="36"/>
  <c r="B224" i="36"/>
  <c r="I224" i="36" s="1"/>
  <c r="F224" i="36"/>
  <c r="J246" i="35"/>
  <c r="I246" i="35" l="1"/>
  <c r="D246" i="35"/>
  <c r="G246" i="35"/>
  <c r="H246" i="35"/>
  <c r="F246" i="35"/>
  <c r="E246" i="35"/>
  <c r="AS247" i="35"/>
  <c r="C247" i="35" s="1"/>
  <c r="K225" i="36"/>
  <c r="D224" i="36"/>
  <c r="AT261" i="38"/>
  <c r="C261" i="38" s="1"/>
  <c r="E224" i="36"/>
  <c r="J260" i="38"/>
  <c r="A260" i="38" s="1"/>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AT249" i="35" l="1"/>
  <c r="AR249" i="35" s="1"/>
  <c r="AT262" i="38"/>
  <c r="E262" i="38" s="1"/>
  <c r="J261" i="38"/>
  <c r="A261"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D248" i="35" l="1"/>
  <c r="I248" i="35"/>
  <c r="G248" i="35"/>
  <c r="E248" i="35"/>
  <c r="F248" i="35"/>
  <c r="H248" i="35"/>
  <c r="AT263" i="38"/>
  <c r="E263" i="38" s="1"/>
  <c r="H226" i="36"/>
  <c r="G226" i="36"/>
  <c r="F226" i="36"/>
  <c r="B226" i="36"/>
  <c r="I226" i="36" s="1"/>
  <c r="M227" i="36"/>
  <c r="AT250" i="35"/>
  <c r="J262" i="38"/>
  <c r="A262" i="38" s="1"/>
  <c r="A249" i="35"/>
  <c r="D226" i="36" l="1"/>
  <c r="E226" i="36"/>
  <c r="AU263" i="38"/>
  <c r="D263" i="38" s="1"/>
  <c r="AV264" i="38"/>
  <c r="AS264" i="38"/>
  <c r="C263" i="38"/>
  <c r="AR250" i="35"/>
  <c r="K227" i="36"/>
  <c r="B249" i="35"/>
  <c r="J249" i="35"/>
  <c r="E249" i="35" l="1"/>
  <c r="L227" i="36"/>
  <c r="C227" i="36" s="1"/>
  <c r="A227" i="36" s="1"/>
  <c r="AS250" i="35"/>
  <c r="C250" i="35" s="1"/>
  <c r="G249" i="35"/>
  <c r="H249" i="35"/>
  <c r="AT264" i="38"/>
  <c r="C264" i="38" s="1"/>
  <c r="I249" i="35"/>
  <c r="F249" i="35"/>
  <c r="D249" i="35"/>
  <c r="J263" i="38"/>
  <c r="A263" i="38" s="1"/>
  <c r="E264" i="38" l="1"/>
  <c r="A250" i="35"/>
  <c r="AT251" i="35"/>
  <c r="M228" i="36"/>
  <c r="H227" i="36"/>
  <c r="B227" i="36"/>
  <c r="I227" i="36" s="1"/>
  <c r="F227" i="36"/>
  <c r="G227" i="36"/>
  <c r="E227" i="36" l="1"/>
  <c r="D227" i="36"/>
  <c r="B250" i="35"/>
  <c r="AR251" i="35"/>
  <c r="K228" i="36"/>
  <c r="AU264" i="38"/>
  <c r="D264" i="38" s="1"/>
  <c r="AV265" i="38"/>
  <c r="AS265" i="38"/>
  <c r="J250" i="35"/>
  <c r="D250" i="35" l="1"/>
  <c r="F250" i="35"/>
  <c r="H250" i="35"/>
  <c r="E250" i="35"/>
  <c r="I250" i="35"/>
  <c r="AT265" i="38"/>
  <c r="E265" i="38" s="1"/>
  <c r="J264" i="38"/>
  <c r="A264" i="38" s="1"/>
  <c r="G250" i="35"/>
  <c r="AS251" i="35"/>
  <c r="C251" i="35" s="1"/>
  <c r="L228" i="36"/>
  <c r="C228" i="36" s="1"/>
  <c r="A228" i="36" s="1"/>
  <c r="AU265" i="38" l="1"/>
  <c r="D265" i="38" s="1"/>
  <c r="AV266" i="38"/>
  <c r="AS266" i="38"/>
  <c r="B228" i="36"/>
  <c r="I228" i="36" s="1"/>
  <c r="H228" i="36"/>
  <c r="G228" i="36"/>
  <c r="F228" i="36"/>
  <c r="M229" i="36"/>
  <c r="A251" i="35"/>
  <c r="AT252" i="35"/>
  <c r="C265" i="38"/>
  <c r="D228" i="36" l="1"/>
  <c r="E228" i="36"/>
  <c r="K229" i="36"/>
  <c r="B251" i="35"/>
  <c r="AT266" i="38"/>
  <c r="E266" i="38" s="1"/>
  <c r="AR252" i="35"/>
  <c r="J265" i="38"/>
  <c r="A265" i="38" s="1"/>
  <c r="J251" i="35"/>
  <c r="D251" i="35" l="1"/>
  <c r="AU266" i="38"/>
  <c r="D266" i="38" s="1"/>
  <c r="AV267" i="38"/>
  <c r="AS267" i="38"/>
  <c r="AS252" i="35"/>
  <c r="C252" i="35" s="1"/>
  <c r="E251" i="35"/>
  <c r="G251" i="35"/>
  <c r="H251" i="35"/>
  <c r="F251" i="35"/>
  <c r="C266" i="38"/>
  <c r="I251" i="35"/>
  <c r="L229" i="36"/>
  <c r="C229" i="36" s="1"/>
  <c r="A229" i="36" s="1"/>
  <c r="M230" i="36" l="1"/>
  <c r="K230" i="36" s="1"/>
  <c r="A252" i="35"/>
  <c r="AT253" i="35"/>
  <c r="AT267" i="38"/>
  <c r="C267" i="38" s="1"/>
  <c r="H229" i="36"/>
  <c r="F229" i="36"/>
  <c r="B229" i="36"/>
  <c r="I229" i="36" s="1"/>
  <c r="G229" i="36"/>
  <c r="J266" i="38"/>
  <c r="A266" i="38" s="1"/>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AT254" i="35" l="1"/>
  <c r="AR254" i="35" s="1"/>
  <c r="AT268" i="38"/>
  <c r="E268" i="38" s="1"/>
  <c r="K231" i="36"/>
  <c r="D230" i="36"/>
  <c r="E230" i="36"/>
  <c r="J267" i="38"/>
  <c r="A267" i="38" s="1"/>
  <c r="A253" i="35"/>
  <c r="AU268" i="38" l="1"/>
  <c r="D268" i="38" s="1"/>
  <c r="AV269" i="38"/>
  <c r="AS269" i="38"/>
  <c r="AS254" i="35"/>
  <c r="C254" i="35" s="1"/>
  <c r="L231" i="36"/>
  <c r="C231" i="36" s="1"/>
  <c r="A231" i="36" s="1"/>
  <c r="C268" i="38"/>
  <c r="B253" i="35"/>
  <c r="J253" i="35"/>
  <c r="I253" i="35" l="1"/>
  <c r="H231" i="36"/>
  <c r="B231" i="36"/>
  <c r="I231" i="36" s="1"/>
  <c r="G231" i="36"/>
  <c r="F231" i="36"/>
  <c r="M232" i="36"/>
  <c r="AT269" i="38"/>
  <c r="C269" i="38" s="1"/>
  <c r="A254" i="35"/>
  <c r="AT255" i="35"/>
  <c r="D253" i="35"/>
  <c r="E253" i="35"/>
  <c r="H253" i="35"/>
  <c r="J268" i="38"/>
  <c r="A268" i="38" s="1"/>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AT256" i="35" l="1"/>
  <c r="AR256" i="35" s="1"/>
  <c r="B232" i="36"/>
  <c r="I232" i="36" s="1"/>
  <c r="F232" i="36"/>
  <c r="H232" i="36"/>
  <c r="G232" i="36"/>
  <c r="M233" i="36"/>
  <c r="J269" i="38"/>
  <c r="A269" i="38" s="1"/>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M234" i="36" l="1"/>
  <c r="B233" i="36"/>
  <c r="I233" i="36" s="1"/>
  <c r="F233" i="36"/>
  <c r="H233" i="36"/>
  <c r="G233" i="36"/>
  <c r="AT271" i="38"/>
  <c r="C271" i="38" s="1"/>
  <c r="J270" i="38"/>
  <c r="A270" i="38" s="1"/>
  <c r="B256" i="35"/>
  <c r="AR257" i="35"/>
  <c r="J256" i="35"/>
  <c r="D256" i="35" l="1"/>
  <c r="E233" i="36"/>
  <c r="E271" i="38"/>
  <c r="AV272" i="38" s="1"/>
  <c r="H256" i="35"/>
  <c r="G256" i="35"/>
  <c r="E256" i="35"/>
  <c r="F256" i="35"/>
  <c r="I256" i="35"/>
  <c r="AS257" i="35"/>
  <c r="C257" i="35" s="1"/>
  <c r="D233" i="36"/>
  <c r="K234" i="36"/>
  <c r="AS272" i="38" l="1"/>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I257" i="35" l="1"/>
  <c r="H257" i="35"/>
  <c r="E257" i="35"/>
  <c r="F257" i="35"/>
  <c r="AS258" i="35"/>
  <c r="C258" i="35" s="1"/>
  <c r="D234" i="36"/>
  <c r="E234" i="36"/>
  <c r="AT273" i="38"/>
  <c r="C273" i="38" s="1"/>
  <c r="K235" i="36"/>
  <c r="D257" i="35"/>
  <c r="J272" i="38"/>
  <c r="A272" i="38" s="1"/>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G258" i="35" l="1"/>
  <c r="D258" i="35"/>
  <c r="AT274" i="38"/>
  <c r="E274" i="38" s="1"/>
  <c r="I258" i="35"/>
  <c r="D235" i="36"/>
  <c r="E235" i="36"/>
  <c r="F258" i="35"/>
  <c r="K236" i="36"/>
  <c r="H258" i="35"/>
  <c r="J273" i="38"/>
  <c r="A273" i="38" s="1"/>
  <c r="A259" i="35"/>
  <c r="AT260" i="35"/>
  <c r="E258" i="35"/>
  <c r="AU274" i="38" l="1"/>
  <c r="D274" i="38" s="1"/>
  <c r="AV275" i="38"/>
  <c r="AS275" i="38"/>
  <c r="L236" i="36"/>
  <c r="C236" i="36" s="1"/>
  <c r="A236" i="36" s="1"/>
  <c r="C274" i="38"/>
  <c r="B259" i="35"/>
  <c r="AR260" i="35"/>
  <c r="J259" i="35"/>
  <c r="E259" i="35" l="1"/>
  <c r="F259" i="35"/>
  <c r="D259" i="35"/>
  <c r="H259" i="35"/>
  <c r="M237" i="36"/>
  <c r="F236" i="36"/>
  <c r="B236" i="36"/>
  <c r="I236" i="36" s="1"/>
  <c r="G236" i="36"/>
  <c r="H236" i="36"/>
  <c r="AS260" i="35"/>
  <c r="C260" i="35" s="1"/>
  <c r="AT275" i="38"/>
  <c r="C275" i="38" s="1"/>
  <c r="G259" i="35"/>
  <c r="I259" i="35"/>
  <c r="J274" i="38"/>
  <c r="A274" i="38" s="1"/>
  <c r="E275" i="38" l="1"/>
  <c r="AS276" i="38" s="1"/>
  <c r="AT276" i="38" s="1"/>
  <c r="E276" i="38" s="1"/>
  <c r="D236" i="36"/>
  <c r="A260" i="35"/>
  <c r="E236" i="36"/>
  <c r="AT261" i="35"/>
  <c r="K237" i="36"/>
  <c r="AV276" i="38" l="1"/>
  <c r="AU276" i="38" s="1"/>
  <c r="D276" i="38" s="1"/>
  <c r="AU275" i="38"/>
  <c r="D275" i="38" s="1"/>
  <c r="AR261" i="35"/>
  <c r="B260" i="35"/>
  <c r="C276" i="38"/>
  <c r="L237" i="36"/>
  <c r="C237" i="36" s="1"/>
  <c r="A237" i="36" s="1"/>
  <c r="J260" i="35"/>
  <c r="G260" i="35" l="1"/>
  <c r="AS277" i="38"/>
  <c r="AT277" i="38" s="1"/>
  <c r="C277" i="38" s="1"/>
  <c r="AV277" i="38"/>
  <c r="J275" i="38"/>
  <c r="A275" i="38" s="1"/>
  <c r="F260" i="35"/>
  <c r="H260" i="35"/>
  <c r="D260" i="35"/>
  <c r="M238" i="36"/>
  <c r="AS261" i="35"/>
  <c r="C261" i="35" s="1"/>
  <c r="H237" i="36"/>
  <c r="G237" i="36"/>
  <c r="F237" i="36"/>
  <c r="B237" i="36"/>
  <c r="I237" i="36" s="1"/>
  <c r="E260" i="35"/>
  <c r="J276" i="38"/>
  <c r="A276" i="38" s="1"/>
  <c r="I260" i="35"/>
  <c r="AT262" i="35" l="1"/>
  <c r="AR262" i="35" s="1"/>
  <c r="K238" i="36"/>
  <c r="D237" i="36"/>
  <c r="E277" i="38"/>
  <c r="A261" i="35"/>
  <c r="E237" i="36"/>
  <c r="AU277" i="38" l="1"/>
  <c r="D277" i="38" s="1"/>
  <c r="AS278" i="38"/>
  <c r="AV278" i="38"/>
  <c r="L238" i="36"/>
  <c r="C238" i="36" s="1"/>
  <c r="A238" i="36" s="1"/>
  <c r="B261" i="35"/>
  <c r="AS262" i="35"/>
  <c r="C262" i="35" s="1"/>
  <c r="J261" i="35"/>
  <c r="I261" i="35" l="1"/>
  <c r="G261" i="35"/>
  <c r="E261" i="35"/>
  <c r="H261" i="35"/>
  <c r="D261" i="35"/>
  <c r="F261" i="35"/>
  <c r="H238" i="36"/>
  <c r="F238" i="36"/>
  <c r="G238" i="36"/>
  <c r="B238" i="36"/>
  <c r="I238" i="36" s="1"/>
  <c r="M239" i="36"/>
  <c r="AT278" i="38"/>
  <c r="C278" i="38" s="1"/>
  <c r="A262" i="35"/>
  <c r="AT263" i="35"/>
  <c r="J277" i="38"/>
  <c r="A277" i="38" s="1"/>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G263" i="35" l="1"/>
  <c r="F263" i="35"/>
  <c r="I263" i="35"/>
  <c r="AT280" i="38"/>
  <c r="E280" i="38" s="1"/>
  <c r="AS264" i="35"/>
  <c r="C264" i="35" s="1"/>
  <c r="L240" i="36"/>
  <c r="C240" i="36" s="1"/>
  <c r="A240" i="36" s="1"/>
  <c r="E263" i="35"/>
  <c r="D263" i="35"/>
  <c r="H263" i="35"/>
  <c r="J279" i="38"/>
  <c r="A279" i="38" s="1"/>
  <c r="AT265" i="35" l="1"/>
  <c r="AR265" i="35" s="1"/>
  <c r="AU280" i="38"/>
  <c r="D280" i="38" s="1"/>
  <c r="AV281" i="38"/>
  <c r="AS281" i="38"/>
  <c r="M241" i="36"/>
  <c r="G240" i="36"/>
  <c r="H240" i="36"/>
  <c r="B240" i="36"/>
  <c r="I240" i="36" s="1"/>
  <c r="F240" i="36"/>
  <c r="A264" i="35"/>
  <c r="C280" i="38"/>
  <c r="K241" i="36" l="1"/>
  <c r="D240" i="36"/>
  <c r="AT281" i="38"/>
  <c r="E281" i="38" s="1"/>
  <c r="AS265" i="35"/>
  <c r="C265" i="35" s="1"/>
  <c r="J280" i="38"/>
  <c r="A280" i="38" s="1"/>
  <c r="B264" i="35"/>
  <c r="E240" i="36"/>
  <c r="J264" i="35"/>
  <c r="AU281" i="38" l="1"/>
  <c r="D281" i="38" s="1"/>
  <c r="AS282" i="38"/>
  <c r="AV282" i="38"/>
  <c r="A265" i="35"/>
  <c r="G264" i="35"/>
  <c r="AT266" i="35"/>
  <c r="E264" i="35"/>
  <c r="C281" i="38"/>
  <c r="L241" i="36"/>
  <c r="C241" i="36" s="1"/>
  <c r="A241" i="36" s="1"/>
  <c r="F264" i="35"/>
  <c r="I264" i="35"/>
  <c r="D264" i="35"/>
  <c r="H264" i="35"/>
  <c r="AR266" i="35" l="1"/>
  <c r="M242" i="36"/>
  <c r="H241" i="36"/>
  <c r="G241" i="36"/>
  <c r="B241" i="36"/>
  <c r="I241" i="36" s="1"/>
  <c r="F241" i="36"/>
  <c r="B265" i="35"/>
  <c r="AT282" i="38"/>
  <c r="C282" i="38" s="1"/>
  <c r="J281" i="38"/>
  <c r="A281"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B266" i="35" l="1"/>
  <c r="M243" i="36"/>
  <c r="H242" i="36"/>
  <c r="G242" i="36"/>
  <c r="F242" i="36"/>
  <c r="B242" i="36"/>
  <c r="I242" i="36" s="1"/>
  <c r="J282" i="38"/>
  <c r="A282" i="38" s="1"/>
  <c r="AT283" i="38"/>
  <c r="E283" i="38" s="1"/>
  <c r="AS267" i="35"/>
  <c r="C267" i="35" s="1"/>
  <c r="J266" i="35"/>
  <c r="E266" i="35" l="1"/>
  <c r="E242" i="36"/>
  <c r="D242" i="36"/>
  <c r="AU283" i="38"/>
  <c r="D283" i="38" s="1"/>
  <c r="AS284" i="38"/>
  <c r="AV284" i="38"/>
  <c r="AT268" i="35"/>
  <c r="C283" i="38"/>
  <c r="K243" i="36"/>
  <c r="A267" i="35"/>
  <c r="H266" i="35"/>
  <c r="D266" i="35"/>
  <c r="F266" i="35"/>
  <c r="G266" i="35"/>
  <c r="I266" i="35"/>
  <c r="L243" i="36" l="1"/>
  <c r="C243" i="36" s="1"/>
  <c r="A243" i="36" s="1"/>
  <c r="AR268" i="35"/>
  <c r="AT284" i="38"/>
  <c r="E284" i="38" s="1"/>
  <c r="B267" i="35"/>
  <c r="J283" i="38"/>
  <c r="A283" i="38" s="1"/>
  <c r="J267" i="35"/>
  <c r="G267" i="35" l="1"/>
  <c r="H267" i="35"/>
  <c r="F267" i="35"/>
  <c r="D267" i="35"/>
  <c r="AU284" i="38"/>
  <c r="D284" i="38" s="1"/>
  <c r="AV285" i="38"/>
  <c r="AS285" i="38"/>
  <c r="C284" i="38"/>
  <c r="AS268" i="35"/>
  <c r="C268" i="35" s="1"/>
  <c r="F243" i="36"/>
  <c r="G243" i="36"/>
  <c r="B243" i="36"/>
  <c r="I243" i="36" s="1"/>
  <c r="H243" i="36"/>
  <c r="E267" i="35"/>
  <c r="I267" i="35"/>
  <c r="M244" i="36"/>
  <c r="AT269" i="35" l="1"/>
  <c r="AR269" i="35" s="1"/>
  <c r="A268" i="35"/>
  <c r="AT285" i="38"/>
  <c r="E285" i="38" s="1"/>
  <c r="K244" i="36"/>
  <c r="J284" i="38"/>
  <c r="A284" i="38" s="1"/>
  <c r="E243" i="36"/>
  <c r="D243" i="36"/>
  <c r="AU285" i="38" l="1"/>
  <c r="D285" i="38" s="1"/>
  <c r="AV286" i="38"/>
  <c r="AS286" i="38"/>
  <c r="B268" i="35"/>
  <c r="AS269" i="35"/>
  <c r="C269" i="35" s="1"/>
  <c r="C285" i="38"/>
  <c r="L244" i="36"/>
  <c r="C244" i="36" s="1"/>
  <c r="A244" i="36" s="1"/>
  <c r="J268" i="35"/>
  <c r="A269" i="35" l="1"/>
  <c r="E268" i="35"/>
  <c r="I268" i="35"/>
  <c r="H268" i="35"/>
  <c r="G268" i="35"/>
  <c r="F268" i="35"/>
  <c r="D268" i="35"/>
  <c r="AT286" i="38"/>
  <c r="E286" i="38" s="1"/>
  <c r="H244" i="36"/>
  <c r="B244" i="36"/>
  <c r="I244" i="36" s="1"/>
  <c r="F244" i="36"/>
  <c r="G244" i="36"/>
  <c r="J285" i="38"/>
  <c r="A285" i="38" s="1"/>
  <c r="M245" i="36"/>
  <c r="AT270" i="35"/>
  <c r="D244" i="36" l="1"/>
  <c r="AU286" i="38"/>
  <c r="D286" i="38" s="1"/>
  <c r="AS287" i="38"/>
  <c r="AV287" i="38"/>
  <c r="C286" i="38"/>
  <c r="K245" i="36"/>
  <c r="AR270" i="35"/>
  <c r="E244" i="36"/>
  <c r="B269" i="35"/>
  <c r="J269" i="35"/>
  <c r="G269" i="35" l="1"/>
  <c r="AS270" i="35"/>
  <c r="C270" i="35" s="1"/>
  <c r="L245" i="36"/>
  <c r="C245" i="36" s="1"/>
  <c r="A245" i="36" s="1"/>
  <c r="AT287" i="38"/>
  <c r="E287" i="38" s="1"/>
  <c r="D269" i="35"/>
  <c r="F269" i="35"/>
  <c r="E269" i="35"/>
  <c r="I269" i="35"/>
  <c r="J286" i="38"/>
  <c r="A286" i="38" s="1"/>
  <c r="H269" i="35"/>
  <c r="AT271" i="35" l="1"/>
  <c r="AR271" i="35" s="1"/>
  <c r="AU287" i="38"/>
  <c r="D287" i="38" s="1"/>
  <c r="AS288" i="38"/>
  <c r="AV288" i="38"/>
  <c r="G245" i="36"/>
  <c r="H245" i="36"/>
  <c r="B245" i="36"/>
  <c r="I245" i="36" s="1"/>
  <c r="F245" i="36"/>
  <c r="M246" i="36"/>
  <c r="C287" i="38"/>
  <c r="A270" i="35"/>
  <c r="AS271" i="35" l="1"/>
  <c r="C271" i="35" s="1"/>
  <c r="E245" i="36"/>
  <c r="B270" i="35"/>
  <c r="AT288" i="38"/>
  <c r="C288" i="38" s="1"/>
  <c r="D245" i="36"/>
  <c r="K246" i="36"/>
  <c r="J287" i="38"/>
  <c r="A287" i="38" s="1"/>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F271" i="35" l="1"/>
  <c r="G271" i="35"/>
  <c r="AT289" i="38"/>
  <c r="E289" i="38" s="1"/>
  <c r="J288" i="38"/>
  <c r="A288" i="38" s="1"/>
  <c r="K247" i="36"/>
  <c r="D246" i="36"/>
  <c r="E271" i="35"/>
  <c r="E246" i="36"/>
  <c r="A272" i="35"/>
  <c r="I271" i="35"/>
  <c r="AT273" i="35"/>
  <c r="D271" i="35"/>
  <c r="H271" i="35"/>
  <c r="AU289" i="38" l="1"/>
  <c r="D289" i="38" s="1"/>
  <c r="AS290" i="38"/>
  <c r="AV290" i="38"/>
  <c r="C289" i="38"/>
  <c r="B272" i="35"/>
  <c r="L247" i="36"/>
  <c r="C247" i="36" s="1"/>
  <c r="A247" i="36" s="1"/>
  <c r="AR273" i="35"/>
  <c r="J272" i="35"/>
  <c r="D272" i="35" l="1"/>
  <c r="M248" i="36"/>
  <c r="K248" i="36" s="1"/>
  <c r="F272" i="35"/>
  <c r="I272" i="35"/>
  <c r="G272" i="35"/>
  <c r="H272" i="35"/>
  <c r="E272" i="35"/>
  <c r="AS273" i="35"/>
  <c r="C273" i="35" s="1"/>
  <c r="AT290" i="38"/>
  <c r="E290" i="38" s="1"/>
  <c r="H247" i="36"/>
  <c r="B247" i="36"/>
  <c r="I247" i="36" s="1"/>
  <c r="G247" i="36"/>
  <c r="F247" i="36"/>
  <c r="J289" i="38"/>
  <c r="A289" i="38" s="1"/>
  <c r="E247" i="36" l="1"/>
  <c r="AU290" i="38"/>
  <c r="D290" i="38" s="1"/>
  <c r="AS291" i="38"/>
  <c r="AV291" i="38"/>
  <c r="L248" i="36"/>
  <c r="C248" i="36" s="1"/>
  <c r="A248" i="36" s="1"/>
  <c r="A273" i="35"/>
  <c r="AT274" i="35"/>
  <c r="C290" i="38"/>
  <c r="D247" i="36"/>
  <c r="AR274" i="35" l="1"/>
  <c r="B273" i="35"/>
  <c r="G248" i="36"/>
  <c r="H248" i="36"/>
  <c r="B248" i="36"/>
  <c r="I248" i="36" s="1"/>
  <c r="F248" i="36"/>
  <c r="M249" i="36"/>
  <c r="AT291" i="38"/>
  <c r="C291" i="38" s="1"/>
  <c r="J290" i="38"/>
  <c r="A290"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AT292" i="38" l="1"/>
  <c r="E292" i="38" s="1"/>
  <c r="J291" i="38"/>
  <c r="A291"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B275" i="35" l="1"/>
  <c r="AR276" i="35"/>
  <c r="L250" i="36"/>
  <c r="C250" i="36" s="1"/>
  <c r="A250" i="36" s="1"/>
  <c r="AT293" i="38"/>
  <c r="E293" i="38" s="1"/>
  <c r="J292" i="38"/>
  <c r="A292" i="38" s="1"/>
  <c r="J275" i="35"/>
  <c r="AU293" i="38" l="1"/>
  <c r="D293" i="38" s="1"/>
  <c r="AV294" i="38"/>
  <c r="AS294" i="38"/>
  <c r="M251" i="36"/>
  <c r="AS276" i="35"/>
  <c r="C276" i="35" s="1"/>
  <c r="F275" i="35"/>
  <c r="G275" i="35"/>
  <c r="H250" i="36"/>
  <c r="B250" i="36"/>
  <c r="I250" i="36" s="1"/>
  <c r="F250" i="36"/>
  <c r="G250" i="36"/>
  <c r="D275" i="35"/>
  <c r="C293" i="38"/>
  <c r="E275" i="35"/>
  <c r="H275" i="35"/>
  <c r="I275" i="35"/>
  <c r="A276" i="35" l="1"/>
  <c r="AT277" i="35"/>
  <c r="K251" i="36"/>
  <c r="AT294" i="38"/>
  <c r="E294" i="38" s="1"/>
  <c r="E250" i="36"/>
  <c r="D250" i="36"/>
  <c r="J293" i="38"/>
  <c r="A293" i="38" s="1"/>
  <c r="AU294" i="38" l="1"/>
  <c r="D294" i="38" s="1"/>
  <c r="AV295" i="38"/>
  <c r="AS295" i="38"/>
  <c r="L251" i="36"/>
  <c r="C251" i="36" s="1"/>
  <c r="A251" i="36" s="1"/>
  <c r="AR277" i="35"/>
  <c r="C294" i="38"/>
  <c r="B276" i="35"/>
  <c r="J276" i="35"/>
  <c r="I276" i="35" l="1"/>
  <c r="H276" i="35"/>
  <c r="E276" i="35"/>
  <c r="F276" i="35"/>
  <c r="AS277" i="35"/>
  <c r="C277" i="35" s="1"/>
  <c r="M252" i="36"/>
  <c r="G251" i="36"/>
  <c r="H251" i="36"/>
  <c r="B251" i="36"/>
  <c r="I251" i="36" s="1"/>
  <c r="F251" i="36"/>
  <c r="AT295" i="38"/>
  <c r="C295" i="38" s="1"/>
  <c r="D276" i="35"/>
  <c r="G276" i="35"/>
  <c r="J294" i="38"/>
  <c r="A294" i="38" s="1"/>
  <c r="E295" i="38" l="1"/>
  <c r="AU295" i="38" s="1"/>
  <c r="D295" i="38" s="1"/>
  <c r="E251" i="36"/>
  <c r="D251" i="36"/>
  <c r="K252" i="36"/>
  <c r="A277" i="35"/>
  <c r="AT278" i="35"/>
  <c r="AV296" i="38" l="1"/>
  <c r="AS296" i="38"/>
  <c r="AT296" i="38" s="1"/>
  <c r="C296" i="38" s="1"/>
  <c r="AR278" i="35"/>
  <c r="L252" i="36"/>
  <c r="C252" i="36" s="1"/>
  <c r="A252" i="36" s="1"/>
  <c r="J295" i="38"/>
  <c r="A295" i="38" s="1"/>
  <c r="B277" i="35"/>
  <c r="J277" i="35"/>
  <c r="G277" i="35" l="1"/>
  <c r="F277" i="35"/>
  <c r="H277" i="35"/>
  <c r="D277" i="35"/>
  <c r="B252" i="36"/>
  <c r="I252" i="36" s="1"/>
  <c r="F252" i="36"/>
  <c r="H252" i="36"/>
  <c r="G252" i="36"/>
  <c r="M253" i="36"/>
  <c r="AS278" i="35"/>
  <c r="C278" i="35" s="1"/>
  <c r="E296" i="38"/>
  <c r="E277" i="35"/>
  <c r="I277" i="35"/>
  <c r="D252" i="36" l="1"/>
  <c r="K253" i="36"/>
  <c r="AT279" i="35"/>
  <c r="A278" i="35"/>
  <c r="E252" i="36"/>
  <c r="AU296" i="38"/>
  <c r="D296" i="38" s="1"/>
  <c r="AV297" i="38"/>
  <c r="AS297" i="38"/>
  <c r="AT297" i="38" l="1"/>
  <c r="E297" i="38" s="1"/>
  <c r="J296" i="38"/>
  <c r="A296" i="38" s="1"/>
  <c r="B278" i="35"/>
  <c r="AR279" i="35"/>
  <c r="L253" i="36"/>
  <c r="C253" i="36" s="1"/>
  <c r="A253" i="36" s="1"/>
  <c r="J278" i="35"/>
  <c r="E278" i="35" l="1"/>
  <c r="AU297" i="38"/>
  <c r="D297" i="38" s="1"/>
  <c r="AV298" i="38"/>
  <c r="AS298" i="38"/>
  <c r="H278" i="35"/>
  <c r="H253" i="36"/>
  <c r="F253" i="36"/>
  <c r="B253" i="36"/>
  <c r="I253" i="36" s="1"/>
  <c r="G253" i="36"/>
  <c r="F278" i="35"/>
  <c r="I278" i="35"/>
  <c r="M254" i="36"/>
  <c r="AS279" i="35"/>
  <c r="C279" i="35" s="1"/>
  <c r="C297" i="38"/>
  <c r="D278" i="35"/>
  <c r="G278" i="35"/>
  <c r="D253" i="36" l="1"/>
  <c r="AT298" i="38"/>
  <c r="E298" i="38" s="1"/>
  <c r="A279" i="35"/>
  <c r="AT280" i="35"/>
  <c r="K254" i="36"/>
  <c r="J297" i="38"/>
  <c r="A297" i="38" s="1"/>
  <c r="E253" i="36"/>
  <c r="AU298" i="38" l="1"/>
  <c r="D298" i="38" s="1"/>
  <c r="AS299" i="38"/>
  <c r="AV299" i="38"/>
  <c r="B279" i="35"/>
  <c r="C298" i="38"/>
  <c r="AR280" i="35"/>
  <c r="L254" i="36"/>
  <c r="C254" i="36" s="1"/>
  <c r="A254" i="36" s="1"/>
  <c r="J279" i="35"/>
  <c r="F279" i="35" l="1"/>
  <c r="G279" i="35"/>
  <c r="H279" i="35"/>
  <c r="E279" i="35"/>
  <c r="I279" i="35"/>
  <c r="D279" i="35"/>
  <c r="AT299" i="38"/>
  <c r="E299" i="38" s="1"/>
  <c r="AS300" i="38" s="1"/>
  <c r="G254" i="36"/>
  <c r="B254" i="36"/>
  <c r="I254" i="36" s="1"/>
  <c r="H254" i="36"/>
  <c r="F254" i="36"/>
  <c r="M255" i="36"/>
  <c r="AS280" i="35"/>
  <c r="C280" i="35" s="1"/>
  <c r="J298" i="38"/>
  <c r="A298" i="38" s="1"/>
  <c r="AT300" i="38" l="1"/>
  <c r="C300" i="38" s="1"/>
  <c r="AV300" i="38"/>
  <c r="E254" i="36"/>
  <c r="D254" i="36"/>
  <c r="AU299" i="38"/>
  <c r="D299" i="38" s="1"/>
  <c r="C299" i="38"/>
  <c r="K255" i="36"/>
  <c r="A280" i="35"/>
  <c r="AT281" i="35"/>
  <c r="E300" i="38" l="1"/>
  <c r="AV301" i="38" s="1"/>
  <c r="L255" i="36"/>
  <c r="C255" i="36" s="1"/>
  <c r="A255" i="36" s="1"/>
  <c r="AR281" i="35"/>
  <c r="B280" i="35"/>
  <c r="J299" i="38"/>
  <c r="A299" i="38" s="1"/>
  <c r="J280" i="35"/>
  <c r="D280" i="35" l="1"/>
  <c r="AS301" i="38"/>
  <c r="AU300" i="38"/>
  <c r="D300" i="38" s="1"/>
  <c r="G280" i="35"/>
  <c r="H280" i="35"/>
  <c r="F280" i="35"/>
  <c r="E280" i="35"/>
  <c r="I280" i="35"/>
  <c r="AS281" i="35"/>
  <c r="C281" i="35" s="1"/>
  <c r="M256" i="36"/>
  <c r="G255" i="36"/>
  <c r="F255" i="36"/>
  <c r="B255" i="36"/>
  <c r="I255" i="36" s="1"/>
  <c r="H255" i="36"/>
  <c r="AT282" i="35" l="1"/>
  <c r="AR282" i="35" s="1"/>
  <c r="J300" i="38"/>
  <c r="A300" i="38" s="1"/>
  <c r="AT301" i="38"/>
  <c r="C301" i="38" s="1"/>
  <c r="D255" i="36"/>
  <c r="A281" i="35"/>
  <c r="K256" i="36"/>
  <c r="E255" i="36"/>
  <c r="E301" i="38" l="1"/>
  <c r="B281" i="35"/>
  <c r="L256" i="36"/>
  <c r="C256" i="36" s="1"/>
  <c r="A256" i="36" s="1"/>
  <c r="AS282" i="35"/>
  <c r="C282" i="35" s="1"/>
  <c r="J281" i="35"/>
  <c r="AT283" i="35" l="1"/>
  <c r="AR283" i="35" s="1"/>
  <c r="I281" i="35"/>
  <c r="AU301" i="38"/>
  <c r="D301" i="38" s="1"/>
  <c r="AV302" i="38"/>
  <c r="AS302" i="38"/>
  <c r="A282" i="35"/>
  <c r="D281" i="35"/>
  <c r="B256" i="36"/>
  <c r="I256" i="36" s="1"/>
  <c r="H256" i="36"/>
  <c r="F256" i="36"/>
  <c r="G256" i="36"/>
  <c r="M257" i="36"/>
  <c r="E281" i="35"/>
  <c r="H281" i="35"/>
  <c r="F281" i="35"/>
  <c r="G281" i="35"/>
  <c r="AT302" i="38" l="1"/>
  <c r="C302" i="38" s="1"/>
  <c r="J301" i="38"/>
  <c r="A301" i="38" s="1"/>
  <c r="D256" i="36"/>
  <c r="E256" i="36"/>
  <c r="B282" i="35"/>
  <c r="AS283" i="35"/>
  <c r="C283" i="35" s="1"/>
  <c r="K257" i="36"/>
  <c r="J282" i="35"/>
  <c r="I282" i="35" l="1"/>
  <c r="E302" i="38"/>
  <c r="AT284" i="35"/>
  <c r="A283" i="35"/>
  <c r="E282" i="35"/>
  <c r="F282" i="35"/>
  <c r="D282" i="35"/>
  <c r="G282" i="35"/>
  <c r="H282" i="35"/>
  <c r="L257" i="36"/>
  <c r="C257" i="36" s="1"/>
  <c r="A257" i="36" s="1"/>
  <c r="AU302" i="38" l="1"/>
  <c r="D302" i="38" s="1"/>
  <c r="AV303" i="38"/>
  <c r="AS303" i="38"/>
  <c r="M258" i="36"/>
  <c r="F257" i="36"/>
  <c r="G257" i="36"/>
  <c r="H257" i="36"/>
  <c r="B257" i="36"/>
  <c r="I257" i="36" s="1"/>
  <c r="B283" i="35"/>
  <c r="AR284" i="35"/>
  <c r="J283" i="35"/>
  <c r="F283" i="35" l="1"/>
  <c r="AT303" i="38"/>
  <c r="C303" i="38" s="1"/>
  <c r="J302" i="38"/>
  <c r="A302" i="38" s="1"/>
  <c r="I283" i="35"/>
  <c r="AS284" i="35"/>
  <c r="C284" i="35" s="1"/>
  <c r="G283" i="35"/>
  <c r="E283" i="35"/>
  <c r="H283" i="35"/>
  <c r="E257" i="36"/>
  <c r="D257" i="36"/>
  <c r="D283" i="35"/>
  <c r="K258" i="36"/>
  <c r="E303" i="38" l="1"/>
  <c r="L258" i="36"/>
  <c r="C258" i="36" s="1"/>
  <c r="A258" i="36" s="1"/>
  <c r="AT285" i="35"/>
  <c r="A284" i="35"/>
  <c r="AU303" i="38" l="1"/>
  <c r="D303" i="38" s="1"/>
  <c r="AS304" i="38"/>
  <c r="AV304" i="38"/>
  <c r="B284" i="35"/>
  <c r="AR285" i="35"/>
  <c r="M259" i="36"/>
  <c r="B258" i="36"/>
  <c r="I258" i="36" s="1"/>
  <c r="F258" i="36"/>
  <c r="H258" i="36"/>
  <c r="G258" i="36"/>
  <c r="J284" i="35"/>
  <c r="E284" i="35" l="1"/>
  <c r="AT304" i="38"/>
  <c r="C304" i="38" s="1"/>
  <c r="J303" i="38"/>
  <c r="A303" i="38" s="1"/>
  <c r="I284" i="35"/>
  <c r="F284" i="35"/>
  <c r="G284" i="35"/>
  <c r="H284" i="35"/>
  <c r="D284" i="35"/>
  <c r="K259" i="36"/>
  <c r="AS285" i="35"/>
  <c r="C285" i="35" s="1"/>
  <c r="D258" i="36"/>
  <c r="E258" i="36"/>
  <c r="AT286" i="35" l="1"/>
  <c r="AR286" i="35" s="1"/>
  <c r="E304" i="38"/>
  <c r="L259" i="36"/>
  <c r="C259" i="36" s="1"/>
  <c r="A259" i="36" s="1"/>
  <c r="A285" i="35"/>
  <c r="AU304" i="38" l="1"/>
  <c r="D304" i="38" s="1"/>
  <c r="AS305" i="38"/>
  <c r="AV305" i="38"/>
  <c r="AS286" i="35"/>
  <c r="C286" i="35" s="1"/>
  <c r="B285" i="35"/>
  <c r="F259" i="36"/>
  <c r="G259" i="36"/>
  <c r="H259" i="36"/>
  <c r="B259" i="36"/>
  <c r="I259" i="36" s="1"/>
  <c r="M260" i="36"/>
  <c r="J285" i="35"/>
  <c r="AT287" i="35" l="1"/>
  <c r="AR287" i="35" s="1"/>
  <c r="I285" i="35"/>
  <c r="AT305" i="38"/>
  <c r="E305" i="38" s="1"/>
  <c r="J304" i="38"/>
  <c r="A304" i="38" s="1"/>
  <c r="A286" i="35"/>
  <c r="B286" i="35" s="1"/>
  <c r="E259" i="36"/>
  <c r="G285" i="35"/>
  <c r="D259" i="36"/>
  <c r="D285" i="35"/>
  <c r="E285" i="35"/>
  <c r="H285" i="35"/>
  <c r="F285" i="35"/>
  <c r="K260" i="36"/>
  <c r="J286" i="35"/>
  <c r="H286" i="35" l="1"/>
  <c r="AU305" i="38"/>
  <c r="D305" i="38" s="1"/>
  <c r="AS306" i="38"/>
  <c r="AV306" i="38"/>
  <c r="C305" i="38"/>
  <c r="AS287" i="35"/>
  <c r="C287" i="35" s="1"/>
  <c r="F286" i="35"/>
  <c r="G286" i="35"/>
  <c r="D286" i="35"/>
  <c r="E286" i="35"/>
  <c r="I286" i="35"/>
  <c r="L260" i="36"/>
  <c r="C260" i="36" s="1"/>
  <c r="A260" i="36" s="1"/>
  <c r="AT306" i="38" l="1"/>
  <c r="C306" i="38" s="1"/>
  <c r="J305" i="38"/>
  <c r="A305" i="38" s="1"/>
  <c r="A287" i="35"/>
  <c r="AT288" i="35"/>
  <c r="G260" i="36"/>
  <c r="B260" i="36"/>
  <c r="I260" i="36" s="1"/>
  <c r="F260" i="36"/>
  <c r="H260" i="36"/>
  <c r="M261" i="36"/>
  <c r="E306" i="38" l="1"/>
  <c r="AR288" i="35"/>
  <c r="B287" i="35"/>
  <c r="K261" i="36"/>
  <c r="D260" i="36"/>
  <c r="E260" i="36"/>
  <c r="J287" i="35"/>
  <c r="E287" i="35" l="1"/>
  <c r="AU306" i="38"/>
  <c r="D306" i="38" s="1"/>
  <c r="AV307" i="38"/>
  <c r="AS307" i="38"/>
  <c r="G287" i="35"/>
  <c r="I287" i="35"/>
  <c r="F287" i="35"/>
  <c r="D287" i="35"/>
  <c r="AS288" i="35"/>
  <c r="C288" i="35" s="1"/>
  <c r="H287" i="35"/>
  <c r="L261" i="36"/>
  <c r="C261" i="36" s="1"/>
  <c r="A261" i="36" s="1"/>
  <c r="AT307" i="38" l="1"/>
  <c r="C307" i="38" s="1"/>
  <c r="J306" i="38"/>
  <c r="A306" i="38" s="1"/>
  <c r="A288" i="35"/>
  <c r="AT289" i="35"/>
  <c r="G261" i="36"/>
  <c r="F261" i="36"/>
  <c r="H261" i="36"/>
  <c r="B261" i="36"/>
  <c r="I261" i="36" s="1"/>
  <c r="M262" i="36"/>
  <c r="E307" i="38" l="1"/>
  <c r="AR289" i="35"/>
  <c r="B288" i="35"/>
  <c r="K262" i="36"/>
  <c r="D261" i="36"/>
  <c r="E261" i="36"/>
  <c r="J288" i="35"/>
  <c r="I288" i="35" l="1"/>
  <c r="AU307" i="38"/>
  <c r="D307" i="38" s="1"/>
  <c r="AS308" i="38"/>
  <c r="AV308" i="38"/>
  <c r="H288" i="35"/>
  <c r="G288" i="35"/>
  <c r="E288" i="35"/>
  <c r="D288" i="35"/>
  <c r="AS289" i="35"/>
  <c r="C289" i="35" s="1"/>
  <c r="F288" i="35"/>
  <c r="L262" i="36"/>
  <c r="C262" i="36" s="1"/>
  <c r="A262" i="36" s="1"/>
  <c r="AT308" i="38" l="1"/>
  <c r="E308" i="38" s="1"/>
  <c r="J307" i="38"/>
  <c r="A307" i="38" s="1"/>
  <c r="A289" i="35"/>
  <c r="AT290" i="35"/>
  <c r="H262" i="36"/>
  <c r="F262" i="36"/>
  <c r="B262" i="36"/>
  <c r="I262" i="36" s="1"/>
  <c r="G262" i="36"/>
  <c r="M263" i="36"/>
  <c r="AU308" i="38" l="1"/>
  <c r="D308" i="38" s="1"/>
  <c r="AV309" i="38"/>
  <c r="AS309" i="38"/>
  <c r="C308" i="38"/>
  <c r="B289" i="35"/>
  <c r="AR290" i="35"/>
  <c r="E262" i="36"/>
  <c r="K263" i="36"/>
  <c r="D262" i="36"/>
  <c r="J289" i="35"/>
  <c r="F289" i="35" l="1"/>
  <c r="AT309" i="38"/>
  <c r="C309" i="38" s="1"/>
  <c r="J308" i="38"/>
  <c r="A308" i="38" s="1"/>
  <c r="I289" i="35"/>
  <c r="AS290" i="35"/>
  <c r="C290" i="35" s="1"/>
  <c r="H289" i="35"/>
  <c r="G289" i="35"/>
  <c r="E289" i="35"/>
  <c r="D289" i="35"/>
  <c r="L263" i="36"/>
  <c r="C263" i="36" s="1"/>
  <c r="A263" i="36" s="1"/>
  <c r="AT291" i="35" l="1"/>
  <c r="E309" i="38"/>
  <c r="A290" i="35"/>
  <c r="M264" i="36"/>
  <c r="F263" i="36"/>
  <c r="B263" i="36"/>
  <c r="I263" i="36" s="1"/>
  <c r="G263" i="36"/>
  <c r="H263" i="36"/>
  <c r="AR291" i="35" l="1"/>
  <c r="AU309" i="38"/>
  <c r="D309" i="38" s="1"/>
  <c r="B290" i="35"/>
  <c r="E263" i="36"/>
  <c r="D263" i="36"/>
  <c r="K264" i="36"/>
  <c r="J290" i="35"/>
  <c r="AS291" i="35" l="1"/>
  <c r="C291" i="35" s="1"/>
  <c r="A291" i="35" s="1"/>
  <c r="D290" i="35"/>
  <c r="J309" i="38"/>
  <c r="A309" i="38" s="1"/>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I29" i="6"/>
  <c r="H100" i="6"/>
  <c r="M55" i="9" s="1"/>
  <c r="H82" i="6"/>
  <c r="M37" i="9" s="1"/>
  <c r="I28" i="6"/>
  <c r="G103" i="6"/>
  <c r="J58" i="9" s="1"/>
  <c r="G86" i="6"/>
  <c r="J41" i="9"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4" i="28" s="1"/>
  <c r="M45" i="7"/>
  <c r="M85" i="7"/>
  <c r="M44" i="7"/>
  <c r="M103" i="7"/>
  <c r="M107" i="7"/>
  <c r="T114" i="7"/>
  <c r="J184"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5" i="28" s="1"/>
  <c r="O60" i="7"/>
  <c r="J69" i="28" s="1"/>
  <c r="K43" i="7"/>
  <c r="J37" i="28" s="1"/>
  <c r="K55" i="7"/>
  <c r="J58" i="28" s="1"/>
  <c r="S49" i="7"/>
  <c r="J62" i="28" s="1"/>
  <c r="O114" i="7"/>
  <c r="J172" i="28" s="1"/>
  <c r="K119" i="7"/>
  <c r="J50" i="7"/>
  <c r="J53" i="28" s="1"/>
  <c r="P70" i="7"/>
  <c r="M114" i="7"/>
  <c r="K52" i="7"/>
  <c r="J55" i="28" s="1"/>
  <c r="K107" i="7"/>
  <c r="K108" i="7"/>
  <c r="J118" i="28" s="1"/>
  <c r="J60" i="28"/>
  <c r="G114" i="7"/>
  <c r="J174" i="28" s="1"/>
  <c r="K120" i="7"/>
  <c r="N47" i="26"/>
  <c r="M123" i="7"/>
  <c r="M68" i="7"/>
  <c r="M87" i="7"/>
  <c r="H102" i="7"/>
  <c r="J107" i="28" s="1"/>
  <c r="M118" i="7"/>
  <c r="M72" i="7"/>
  <c r="M84" i="7"/>
  <c r="N51" i="26"/>
  <c r="K41" i="7"/>
  <c r="F70" i="7"/>
  <c r="N46" i="26"/>
  <c r="N49" i="26"/>
  <c r="K99" i="7" s="1"/>
  <c r="J49" i="7"/>
  <c r="O102" i="7"/>
  <c r="J109" i="28" s="1"/>
  <c r="O90" i="7"/>
  <c r="J88" i="28" s="1"/>
  <c r="K53" i="7"/>
  <c r="J56" i="28" s="1"/>
  <c r="K42" i="7"/>
  <c r="J36" i="28" s="1"/>
  <c r="K44" i="7"/>
  <c r="J38" i="28" s="1"/>
  <c r="T38" i="7"/>
  <c r="J43" i="28" s="1"/>
  <c r="T49" i="7"/>
  <c r="J63" i="28" s="1"/>
  <c r="J115" i="7"/>
  <c r="K121" i="7"/>
  <c r="F114" i="7"/>
  <c r="J186" i="28" s="1"/>
  <c r="N50" i="26"/>
  <c r="K96" i="7" s="1"/>
  <c r="J39" i="7"/>
  <c r="J33" i="28" s="1"/>
  <c r="N56" i="26"/>
  <c r="R35" i="26" s="1"/>
  <c r="K106" i="7"/>
  <c r="J116" i="28" s="1"/>
  <c r="K97" i="7"/>
  <c r="J98" i="28" s="1"/>
  <c r="K56" i="7"/>
  <c r="J59" i="28" s="1"/>
  <c r="K98" i="7"/>
  <c r="J99" i="28" s="1"/>
  <c r="K110" i="7"/>
  <c r="L102" i="7"/>
  <c r="I146" i="29" s="1"/>
  <c r="J116" i="7"/>
  <c r="K122" i="7"/>
  <c r="M51" i="7"/>
  <c r="M100" i="7"/>
  <c r="O70" i="7"/>
  <c r="M70" i="7"/>
  <c r="K95" i="7"/>
  <c r="J96" i="28" s="1"/>
  <c r="K45" i="7"/>
  <c r="J39" i="28" s="1"/>
  <c r="K46" i="7"/>
  <c r="J40" i="28" s="1"/>
  <c r="J61" i="28"/>
  <c r="K112" i="7"/>
  <c r="H114" i="7"/>
  <c r="J170" i="28" s="1"/>
  <c r="K117" i="7"/>
  <c r="J177" i="28" s="1"/>
  <c r="S114" i="7"/>
  <c r="J183" i="28" s="1"/>
  <c r="U49" i="7"/>
  <c r="J38" i="7"/>
  <c r="L70" i="7"/>
  <c r="O49" i="7"/>
  <c r="J49" i="28" s="1"/>
  <c r="K54" i="7"/>
  <c r="J57" i="28" s="1"/>
  <c r="K109" i="7"/>
  <c r="J119" i="28" s="1"/>
  <c r="J42" i="28"/>
  <c r="K111" i="7"/>
  <c r="L114" i="7"/>
  <c r="I218" i="29" s="1"/>
  <c r="K118" i="7"/>
  <c r="J178" i="28" s="1"/>
  <c r="M297" i="36" l="1"/>
  <c r="B296" i="36"/>
  <c r="I296" i="36" s="1"/>
  <c r="H296" i="36"/>
  <c r="F296" i="36"/>
  <c r="G296" i="36"/>
  <c r="J181" i="28"/>
  <c r="J175" i="28"/>
  <c r="J180" i="28"/>
  <c r="J121" i="28"/>
  <c r="J122" i="28"/>
  <c r="J120" i="28"/>
  <c r="J179" i="28"/>
  <c r="J182" i="28"/>
  <c r="J97" i="28"/>
  <c r="J100" i="28"/>
  <c r="J176" i="28"/>
  <c r="J117" i="28"/>
  <c r="K100" i="7"/>
  <c r="J101" i="28" s="1"/>
  <c r="V38" i="7"/>
  <c r="K44" i="28" s="1"/>
  <c r="K47" i="7"/>
  <c r="J41" i="28" s="1"/>
  <c r="J35" i="28"/>
  <c r="K34" i="26"/>
  <c r="I170" i="29"/>
  <c r="L80" i="7"/>
  <c r="I194" i="29" s="1"/>
  <c r="J32" i="28"/>
  <c r="J40" i="7"/>
  <c r="J34" i="28" s="1"/>
  <c r="J64" i="28"/>
  <c r="V49" i="7"/>
  <c r="J185" i="28"/>
  <c r="L29" i="76"/>
  <c r="L30" i="76" s="1"/>
  <c r="J51" i="7"/>
  <c r="J54" i="28" s="1"/>
  <c r="J52" i="28"/>
  <c r="P80" i="7"/>
  <c r="J149" i="28" s="1"/>
  <c r="J129" i="28"/>
  <c r="J145" i="28"/>
  <c r="M80" i="7"/>
  <c r="J165" i="28" s="1"/>
  <c r="J132" i="28"/>
  <c r="O80" i="7"/>
  <c r="J152" i="28" s="1"/>
  <c r="N122" i="26"/>
  <c r="D255" i="26"/>
  <c r="U90" i="7"/>
  <c r="F80" i="7"/>
  <c r="J166" i="28" s="1"/>
  <c r="J146" i="28"/>
  <c r="E296" i="36" l="1"/>
  <c r="D296" i="36"/>
  <c r="K297" i="36"/>
  <c r="W38" i="7"/>
  <c r="X38" i="7" s="1"/>
  <c r="J110" i="28"/>
  <c r="J104" i="28"/>
  <c r="V90" i="7"/>
  <c r="H255" i="26"/>
  <c r="W49" i="7"/>
  <c r="K64" i="28"/>
  <c r="L297" i="36" l="1"/>
  <c r="C297" i="36" s="1"/>
  <c r="A297" i="36" s="1"/>
  <c r="B297" i="36" s="1"/>
  <c r="I297" i="36" s="1"/>
  <c r="L44" i="28"/>
  <c r="X49" i="7"/>
  <c r="L64" i="28"/>
  <c r="M44" i="28"/>
  <c r="Y38" i="7"/>
  <c r="W90" i="7"/>
  <c r="K104" i="28"/>
  <c r="F297" i="36" l="1"/>
  <c r="H297" i="36"/>
  <c r="G297" i="36"/>
  <c r="E297" i="36"/>
  <c r="D297" i="36"/>
  <c r="X90" i="7"/>
  <c r="L104" i="28"/>
  <c r="Z38" i="7"/>
  <c r="N44" i="28"/>
  <c r="M64" i="28"/>
  <c r="Y49" i="7"/>
  <c r="N64" i="28" l="1"/>
  <c r="Z49" i="7"/>
  <c r="O44" i="28"/>
  <c r="AA38" i="7"/>
  <c r="Y90" i="7"/>
  <c r="M104" i="28"/>
  <c r="N104" i="28" l="1"/>
  <c r="Z90" i="7"/>
  <c r="AB38" i="7"/>
  <c r="P44" i="28"/>
  <c r="O64" i="28"/>
  <c r="AA49" i="7"/>
  <c r="AE38" i="7" l="1"/>
  <c r="AC38" i="7"/>
  <c r="AD38" i="7"/>
  <c r="AM38" i="7"/>
  <c r="AW38" i="7" a="1"/>
  <c r="AW38" i="7" s="1"/>
  <c r="P64" i="28"/>
  <c r="AB49" i="7"/>
  <c r="Q44" i="28"/>
  <c r="AA90" i="7"/>
  <c r="O104" i="28"/>
  <c r="P104" i="28" l="1"/>
  <c r="AB90" i="7"/>
  <c r="R44" i="28"/>
  <c r="Q64" i="28"/>
  <c r="AC49" i="7"/>
  <c r="R64" i="28" l="1"/>
  <c r="AD49" i="7"/>
  <c r="S44" i="28"/>
  <c r="Q104" i="28"/>
  <c r="AC90" i="7"/>
  <c r="R104" i="28" l="1"/>
  <c r="AD90" i="7"/>
  <c r="T44" i="28"/>
  <c r="AF38" i="7"/>
  <c r="S64" i="28"/>
  <c r="AE49" i="7"/>
  <c r="T64" i="28" l="1"/>
  <c r="AF49" i="7"/>
  <c r="AG38" i="7"/>
  <c r="U44" i="28"/>
  <c r="AE90" i="7"/>
  <c r="S104" i="28"/>
  <c r="AF90" i="7" l="1"/>
  <c r="T104" i="28"/>
  <c r="AH38" i="7"/>
  <c r="V44" i="28"/>
  <c r="U64" i="28"/>
  <c r="AG49" i="7"/>
  <c r="AH49" i="7" l="1"/>
  <c r="V64" i="28"/>
  <c r="AI38" i="7"/>
  <c r="W44" i="28"/>
  <c r="AG90" i="7"/>
  <c r="U104" i="28"/>
  <c r="AH90" i="7" l="1"/>
  <c r="V104" i="28"/>
  <c r="X44" i="28"/>
  <c r="AJ38" i="7"/>
  <c r="AI49" i="7"/>
  <c r="W64" i="28"/>
  <c r="X64" i="28" l="1"/>
  <c r="AJ49" i="7"/>
  <c r="AK38" i="7"/>
  <c r="Y44" i="28"/>
  <c r="W104" i="28"/>
  <c r="AI90" i="7"/>
  <c r="AJ90" i="7" l="1"/>
  <c r="X104" i="28"/>
  <c r="AL38" i="7"/>
  <c r="Z44" i="28"/>
  <c r="Y64" i="28"/>
  <c r="AK49" i="7"/>
  <c r="Z64" i="28" l="1"/>
  <c r="AL49" i="7"/>
  <c r="AA44" i="28"/>
  <c r="Y104" i="28"/>
  <c r="AK90" i="7"/>
  <c r="AL90" i="7" l="1"/>
  <c r="Z104" i="28"/>
  <c r="AN38" i="7"/>
  <c r="AB44" i="28"/>
  <c r="AA64" i="28"/>
  <c r="AM49" i="7"/>
  <c r="AB64" i="28" l="1"/>
  <c r="AN49" i="7"/>
  <c r="AC44" i="28"/>
  <c r="AO38" i="7"/>
  <c r="AA104" i="28"/>
  <c r="AM90" i="7"/>
  <c r="AB104" i="28" l="1"/>
  <c r="AN90" i="7"/>
  <c r="AP38" i="7"/>
  <c r="AD44" i="28"/>
  <c r="AO49" i="7"/>
  <c r="AC64" i="28"/>
  <c r="AP49" i="7" l="1"/>
  <c r="AD64" i="28"/>
  <c r="AQ38" i="7"/>
  <c r="AE44" i="28"/>
  <c r="AO90" i="7"/>
  <c r="AC104" i="28"/>
  <c r="AD104" i="28" l="1"/>
  <c r="AP90" i="7"/>
  <c r="AF44" i="28"/>
  <c r="AR38" i="7"/>
  <c r="AE64" i="28"/>
  <c r="AQ49" i="7"/>
  <c r="AR49" i="7" l="1"/>
  <c r="AF64" i="28"/>
  <c r="AS38" i="7"/>
  <c r="AG44" i="28"/>
  <c r="AE104" i="28"/>
  <c r="AQ90" i="7"/>
  <c r="AF104" i="28" l="1"/>
  <c r="AR90" i="7"/>
  <c r="AH44" i="28"/>
  <c r="AT38" i="7"/>
  <c r="AG64" i="28"/>
  <c r="AS49" i="7"/>
  <c r="AT49" i="7" l="1"/>
  <c r="AH64" i="28"/>
  <c r="AI44" i="28"/>
  <c r="AU38" i="7"/>
  <c r="AG104" i="28"/>
  <c r="AS90" i="7"/>
  <c r="AH104" i="28" l="1"/>
  <c r="AT90" i="7"/>
  <c r="AJ44" i="28"/>
  <c r="AV38" i="7"/>
  <c r="AI64" i="28"/>
  <c r="AU49" i="7"/>
  <c r="AV49" i="7" l="1"/>
  <c r="AJ64" i="28"/>
  <c r="AK44" i="28"/>
  <c r="AU90" i="7"/>
  <c r="AI104" i="28"/>
  <c r="AJ104" i="28" l="1"/>
  <c r="AV90" i="7"/>
  <c r="AX38" i="7"/>
  <c r="AL44" i="28"/>
  <c r="AK64" i="28"/>
  <c r="AW49" i="7"/>
  <c r="AX49" i="7" l="1"/>
  <c r="AL64" i="28"/>
  <c r="AM44" i="28"/>
  <c r="AY38" i="7"/>
  <c r="AW90" i="7"/>
  <c r="AK104" i="28"/>
  <c r="AL104" i="28" l="1"/>
  <c r="AX90" i="7"/>
  <c r="AZ38" i="7"/>
  <c r="AN44" i="28"/>
  <c r="AM64" i="28"/>
  <c r="AY49" i="7"/>
  <c r="AY90" i="7" l="1"/>
  <c r="AM104" i="28"/>
  <c r="AN64" i="28"/>
  <c r="AZ49" i="7"/>
  <c r="AO44" i="28"/>
  <c r="BA38" i="7"/>
  <c r="AP44" i="28" s="1"/>
  <c r="AZ90" i="7" l="1"/>
  <c r="AN104" i="28"/>
  <c r="AO64" i="28"/>
  <c r="BA49" i="7"/>
  <c r="AP64" i="28" s="1"/>
  <c r="BA90" i="7" l="1"/>
  <c r="AP104" i="28" s="1"/>
  <c r="AO104" i="28"/>
  <c r="J86" i="28"/>
  <c r="J30" i="72" s="1"/>
  <c r="K86" i="28" l="1"/>
  <c r="L86" i="28" s="1"/>
  <c r="M86" i="28" s="1"/>
  <c r="N86" i="28" s="1"/>
  <c r="O86" i="28" s="1"/>
  <c r="N141" i="26" l="1"/>
  <c r="T102" i="7" s="1"/>
  <c r="J124" i="28" s="1"/>
  <c r="T90" i="7"/>
  <c r="J103" i="28" s="1"/>
  <c r="F102" i="7"/>
  <c r="J126" i="28" s="1"/>
  <c r="N14" i="26"/>
  <c r="F30" i="80"/>
  <c r="F48" i="80"/>
  <c r="H31" i="26"/>
  <c r="D32" i="26" s="1"/>
  <c r="N124" i="26" l="1"/>
  <c r="G174" i="7" s="1"/>
  <c r="S174" i="7" s="1"/>
  <c r="J193" i="28" s="1"/>
  <c r="D33" i="26"/>
  <c r="S173" i="7" s="1"/>
  <c r="Z160" i="7"/>
  <c r="J192" i="28"/>
  <c r="AA160" i="7"/>
  <c r="AC160" i="7"/>
  <c r="T174" i="7"/>
  <c r="J194"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0" i="28"/>
  <c r="T173" i="7"/>
  <c r="J191" i="28" s="1"/>
  <c r="J189"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5" i="28" s="1"/>
  <c r="N145" i="26"/>
  <c r="D257" i="26"/>
  <c r="N42" i="26"/>
  <c r="O23" i="26"/>
  <c r="O20" i="26"/>
  <c r="N102" i="26"/>
  <c r="O25" i="26" l="1"/>
  <c r="N53" i="26" s="1"/>
  <c r="H257" i="26"/>
  <c r="P102" i="7"/>
  <c r="J106" i="28" s="1"/>
  <c r="U40" i="26"/>
  <c r="U41" i="26"/>
  <c r="U39" i="26"/>
  <c r="U43" i="26"/>
  <c r="U37" i="26"/>
  <c r="J92" i="7"/>
  <c r="J93" i="28" s="1"/>
  <c r="N130" i="26"/>
  <c r="J104" i="7" s="1"/>
  <c r="J114" i="28" s="1"/>
  <c r="U42" i="26"/>
  <c r="J90" i="7"/>
  <c r="J91" i="28" s="1"/>
  <c r="N126" i="26"/>
  <c r="G90" i="7"/>
  <c r="J90" i="28" s="1"/>
  <c r="D256" i="26"/>
  <c r="N123" i="26"/>
  <c r="J93" i="7"/>
  <c r="J94" i="28" s="1"/>
  <c r="N129" i="26"/>
  <c r="J105" i="7" s="1"/>
  <c r="J115" i="28" s="1"/>
  <c r="N127" i="26"/>
  <c r="J103" i="7" s="1"/>
  <c r="J91" i="7"/>
  <c r="J92" i="28" s="1"/>
  <c r="R12" i="26" l="1"/>
  <c r="R14" i="26" s="1"/>
  <c r="S90" i="7"/>
  <c r="J102" i="28" s="1"/>
  <c r="N140" i="26"/>
  <c r="S102" i="7" s="1"/>
  <c r="J123" i="28" s="1"/>
  <c r="N147" i="26"/>
  <c r="N149" i="26"/>
  <c r="J102" i="7"/>
  <c r="J112" i="28" s="1"/>
  <c r="H256" i="26"/>
  <c r="G102" i="7"/>
  <c r="J111" i="28" s="1"/>
  <c r="J113" i="28" l="1"/>
  <c r="R54" i="26"/>
  <c r="N59" i="26"/>
  <c r="D260" i="26" s="1"/>
  <c r="N58" i="26"/>
  <c r="D259" i="26" s="1"/>
  <c r="R55" i="26" l="1"/>
  <c r="I90" i="7"/>
  <c r="J87" i="28" s="1"/>
  <c r="K87" i="28" l="1"/>
  <c r="L87" i="28" s="1"/>
  <c r="M87" i="28" s="1"/>
  <c r="N87" i="28" s="1"/>
  <c r="O87" i="28" s="1"/>
  <c r="J31" i="72"/>
  <c r="X31" i="72" s="1"/>
  <c r="Q87" i="28"/>
  <c r="Q86" i="28"/>
  <c r="R86" i="28" s="1"/>
  <c r="S86" i="28" s="1"/>
  <c r="T86" i="28" s="1"/>
  <c r="U86" i="28" s="1"/>
  <c r="V86" i="28" s="1"/>
  <c r="W86" i="28" s="1"/>
  <c r="X86" i="28" s="1"/>
  <c r="Y86" i="28" s="1"/>
  <c r="Z86" i="28" s="1"/>
  <c r="AA86" i="28" s="1"/>
  <c r="AB86" i="28" s="1"/>
  <c r="R87" i="28" l="1"/>
  <c r="S87" i="28" s="1"/>
  <c r="T87" i="28" s="1"/>
  <c r="U87" i="28" s="1"/>
  <c r="V87" i="28" s="1"/>
  <c r="W87" i="28" s="1"/>
  <c r="X87" i="28" s="1"/>
  <c r="Y87" i="28" s="1"/>
  <c r="Z87" i="28" s="1"/>
  <c r="AA87" i="28" s="1"/>
  <c r="AB87"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2" i="28" s="1"/>
  <c r="K88" i="7"/>
  <c r="J162" i="28" s="1"/>
  <c r="K75" i="7"/>
  <c r="J139" i="28" s="1"/>
  <c r="K85" i="7"/>
  <c r="J159" i="28" s="1"/>
  <c r="K83" i="7"/>
  <c r="K73" i="7"/>
  <c r="U232" i="26"/>
  <c r="N217" i="26"/>
  <c r="N237" i="26" s="1"/>
  <c r="AG232" i="26"/>
  <c r="D204" i="26"/>
  <c r="J140" i="28" l="1"/>
  <c r="J160" i="28"/>
  <c r="J141" i="28"/>
  <c r="J161" i="28"/>
  <c r="J158" i="28"/>
  <c r="J138" i="28"/>
  <c r="E204" i="26"/>
  <c r="E208" i="26" s="1"/>
  <c r="G208" i="26" s="1"/>
  <c r="D208" i="26" s="1"/>
  <c r="N206" i="26"/>
  <c r="N226" i="26" s="1"/>
  <c r="N205" i="26" l="1"/>
  <c r="J62" i="7"/>
  <c r="J74" i="28" s="1"/>
  <c r="N208" i="26"/>
  <c r="G207" i="26"/>
  <c r="D207" i="26" s="1"/>
  <c r="J72" i="7"/>
  <c r="J137" i="28" s="1"/>
  <c r="J82" i="7"/>
  <c r="J157" i="28" s="1"/>
  <c r="G216" i="26"/>
  <c r="G211" i="26"/>
  <c r="G213" i="26"/>
  <c r="G214" i="26"/>
  <c r="G215" i="26"/>
  <c r="G212" i="26"/>
  <c r="G60" i="7"/>
  <c r="J71" i="28" s="1"/>
  <c r="G256" i="26"/>
  <c r="N228" i="26"/>
  <c r="G210" i="26" l="1"/>
  <c r="N204" i="26"/>
  <c r="N225" i="26"/>
  <c r="J61" i="7"/>
  <c r="J73" i="28" s="1"/>
  <c r="J256" i="26"/>
  <c r="G70" i="7"/>
  <c r="D214" i="26"/>
  <c r="J79" i="28" s="1"/>
  <c r="D212" i="26"/>
  <c r="D211" i="26"/>
  <c r="J76" i="28" s="1"/>
  <c r="D216" i="26"/>
  <c r="D213" i="26"/>
  <c r="J78" i="28" s="1"/>
  <c r="D215" i="26"/>
  <c r="J77" i="28" s="1"/>
  <c r="J71" i="7" l="1"/>
  <c r="J81" i="7"/>
  <c r="J60" i="7"/>
  <c r="J72" i="28" s="1"/>
  <c r="N224" i="26"/>
  <c r="J75" i="28"/>
  <c r="J80" i="28"/>
  <c r="U60" i="7"/>
  <c r="G255" i="26"/>
  <c r="J134" i="28"/>
  <c r="G80" i="7"/>
  <c r="J154" i="28" s="1"/>
  <c r="J156" i="28" l="1"/>
  <c r="J136" i="28"/>
  <c r="N245" i="26"/>
  <c r="J260" i="26" s="1"/>
  <c r="N244" i="26"/>
  <c r="J259" i="26" s="1"/>
  <c r="J80" i="7"/>
  <c r="J70" i="7" s="1"/>
  <c r="J135" i="28" s="1"/>
  <c r="J83" i="28"/>
  <c r="V60" i="7"/>
  <c r="J155" i="28" l="1"/>
  <c r="W60" i="7"/>
  <c r="K83" i="28"/>
  <c r="X60" i="7" l="1"/>
  <c r="L83" i="28"/>
  <c r="Y60" i="7" l="1"/>
  <c r="M83" i="28"/>
  <c r="Z60" i="7" l="1"/>
  <c r="N83" i="28"/>
  <c r="AA60" i="7" l="1"/>
  <c r="O83" i="28"/>
  <c r="P83" i="28" l="1"/>
  <c r="AB60" i="7"/>
  <c r="AC60" i="7" l="1"/>
  <c r="Q83" i="28"/>
  <c r="AD60" i="7" l="1"/>
  <c r="R83" i="28"/>
  <c r="AE60" i="7" l="1"/>
  <c r="S83" i="28"/>
  <c r="AF60" i="7" l="1"/>
  <c r="T83" i="28"/>
  <c r="AG60" i="7" l="1"/>
  <c r="U83" i="28"/>
  <c r="V83" i="28" l="1"/>
  <c r="AH60" i="7"/>
  <c r="AI60" i="7" l="1"/>
  <c r="W83" i="28"/>
  <c r="AJ60" i="7" l="1"/>
  <c r="X83" i="28"/>
  <c r="AK60" i="7" l="1"/>
  <c r="Y83" i="28"/>
  <c r="AL60" i="7" l="1"/>
  <c r="Z83" i="28"/>
  <c r="AM60" i="7" l="1"/>
  <c r="AB83" i="28" s="1"/>
  <c r="AA83" i="28"/>
  <c r="U217" i="26" l="1"/>
  <c r="U227" i="26" s="1"/>
  <c r="T227" i="26" s="1"/>
  <c r="T228" i="26" s="1"/>
  <c r="U228" i="26" s="1"/>
  <c r="U216" i="26"/>
  <c r="AB323" i="28" l="1" a="1"/>
  <c r="AB323" i="28" s="1"/>
  <c r="AB308" i="28" a="1"/>
  <c r="AB308" i="28" s="1"/>
  <c r="H16" i="79"/>
  <c r="I16" i="79" s="1"/>
  <c r="AG308" i="28" a="1"/>
  <c r="AG308" i="28" s="1"/>
  <c r="J16" i="79" l="1"/>
  <c r="I17" i="79"/>
  <c r="AL323" i="28" s="1" a="1"/>
  <c r="AL323" i="28" s="1"/>
  <c r="AL308" i="28" a="1"/>
  <c r="AL308" i="28" s="1"/>
  <c r="H17" i="79"/>
  <c r="AG323" i="28" s="1" a="1"/>
  <c r="AG323" i="28" s="1"/>
  <c r="AN308" i="28" l="1" a="1"/>
  <c r="AN308" i="28" s="1"/>
  <c r="J17" i="79"/>
  <c r="AN323" i="28" s="1" a="1"/>
  <c r="AN323"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69" i="28" s="1"/>
  <c r="N201" i="26"/>
  <c r="I260" i="26" s="1"/>
  <c r="I257" i="26"/>
  <c r="N200" i="26"/>
  <c r="I259" i="26" s="1"/>
  <c r="N175" i="26"/>
  <c r="F260" i="26" s="1"/>
  <c r="N174" i="26"/>
  <c r="F259" i="26" s="1"/>
  <c r="P38" i="7"/>
  <c r="J26" i="28" s="1"/>
  <c r="F257" i="26"/>
  <c r="N89" i="26"/>
  <c r="E260" i="26" s="1"/>
  <c r="N88" i="26"/>
  <c r="P49" i="7"/>
  <c r="J46" i="28" s="1"/>
  <c r="E257" i="26"/>
  <c r="N150" i="26"/>
  <c r="H260" i="26" s="1"/>
  <c r="H258" i="26"/>
  <c r="M102" i="7"/>
  <c r="N148" i="26"/>
  <c r="H259" i="26" s="1"/>
  <c r="N221" i="26"/>
  <c r="G260" i="26" s="1"/>
  <c r="N220" i="26"/>
  <c r="G259" i="26" s="1"/>
  <c r="P60" i="7"/>
  <c r="J66" i="28" s="1"/>
  <c r="G257" i="26"/>
  <c r="E259" i="26" l="1"/>
  <c r="O88" i="26"/>
  <c r="L33" i="76"/>
  <c r="L35" i="76" s="1"/>
  <c r="J125"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E16" authorId="0"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0" shapeId="0" xr:uid="{810C286E-38BF-407C-AAF0-09447E9DE0BD}">
      <text>
        <r>
          <rPr>
            <b/>
            <sz val="9"/>
            <color indexed="81"/>
            <rFont val="Tahoma"/>
            <family val="2"/>
          </rPr>
          <t>Fadiel:</t>
        </r>
        <r>
          <rPr>
            <sz val="9"/>
            <color indexed="81"/>
            <rFont val="Tahoma"/>
            <family val="2"/>
          </rPr>
          <t xml:space="preserve">
Guessitmate
</t>
        </r>
      </text>
    </comment>
    <comment ref="G21" authorId="0" shapeId="0" xr:uid="{80838D66-21FC-45A4-9951-B0C4B98038AB}">
      <text>
        <r>
          <rPr>
            <b/>
            <sz val="9"/>
            <color indexed="81"/>
            <rFont val="Tahoma"/>
            <family val="2"/>
          </rPr>
          <t>Fadiel:</t>
        </r>
        <r>
          <rPr>
            <sz val="9"/>
            <color indexed="81"/>
            <rFont val="Tahoma"/>
            <family val="2"/>
          </rPr>
          <t xml:space="preserve">
From SATIM for new GTL
</t>
        </r>
      </text>
    </comment>
    <comment ref="C46" authorId="0"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0" shapeId="0" xr:uid="{77376628-426B-43E7-A7CC-FA2A2B3F8D4B}">
      <text>
        <r>
          <rPr>
            <b/>
            <sz val="9"/>
            <color indexed="81"/>
            <rFont val="Tahoma"/>
            <family val="2"/>
          </rPr>
          <t>Fadiel:</t>
        </r>
        <r>
          <rPr>
            <sz val="9"/>
            <color indexed="81"/>
            <rFont val="Tahoma"/>
            <family val="2"/>
          </rPr>
          <t xml:space="preserve">
JetFuel</t>
        </r>
      </text>
    </comment>
    <comment ref="A59" authorId="0" shapeId="0" xr:uid="{73C728B6-F449-4589-959D-5464C6DADFF2}">
      <text>
        <r>
          <rPr>
            <b/>
            <sz val="9"/>
            <color indexed="81"/>
            <rFont val="Tahoma"/>
            <family val="2"/>
          </rPr>
          <t>Fadiel:</t>
        </r>
        <r>
          <rPr>
            <sz val="9"/>
            <color indexed="81"/>
            <rFont val="Tahoma"/>
            <family val="2"/>
          </rPr>
          <t xml:space="preserve">
No DAC</t>
        </r>
      </text>
    </comment>
    <comment ref="A66" authorId="0" shapeId="0" xr:uid="{81FF0514-D35E-4462-863A-9469730E364D}">
      <text>
        <r>
          <rPr>
            <b/>
            <sz val="9"/>
            <color indexed="81"/>
            <rFont val="Tahoma"/>
            <family val="2"/>
          </rPr>
          <t>Fadiel:</t>
        </r>
        <r>
          <rPr>
            <sz val="9"/>
            <color indexed="81"/>
            <rFont val="Tahoma"/>
            <family val="2"/>
          </rPr>
          <t xml:space="preserve">
JetFuel</t>
        </r>
      </text>
    </comment>
    <comment ref="B66" authorId="0" shapeId="0" xr:uid="{EF9485C9-826B-4046-B6EB-555B5AAEC60B}">
      <text>
        <r>
          <rPr>
            <b/>
            <sz val="9"/>
            <color indexed="81"/>
            <rFont val="Tahoma"/>
            <family val="2"/>
          </rPr>
          <t>Fadiel:</t>
        </r>
        <r>
          <rPr>
            <sz val="9"/>
            <color indexed="81"/>
            <rFont val="Tahoma"/>
            <family val="2"/>
          </rPr>
          <t xml:space="preserve">
JetFuel</t>
        </r>
      </text>
    </comment>
    <comment ref="C66" authorId="0"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0" shapeId="0" xr:uid="{351DC354-0ADB-4336-B9FE-A980AA839529}">
      <text>
        <r>
          <rPr>
            <b/>
            <sz val="9"/>
            <color indexed="81"/>
            <rFont val="Tahoma"/>
            <family val="2"/>
          </rPr>
          <t>Fadiel:</t>
        </r>
        <r>
          <rPr>
            <sz val="9"/>
            <color indexed="81"/>
            <rFont val="Tahoma"/>
            <family val="2"/>
          </rPr>
          <t xml:space="preserve">
JetFuel</t>
        </r>
      </text>
    </comment>
    <comment ref="A97" authorId="0" shapeId="0" xr:uid="{C8476D86-8EF6-4F85-992F-D01594F23919}">
      <text>
        <r>
          <rPr>
            <b/>
            <sz val="9"/>
            <color indexed="81"/>
            <rFont val="Tahoma"/>
            <family val="2"/>
          </rPr>
          <t>Fadiel:</t>
        </r>
        <r>
          <rPr>
            <sz val="9"/>
            <color indexed="81"/>
            <rFont val="Tahoma"/>
            <family val="2"/>
          </rPr>
          <t xml:space="preserve">
JetFuel</t>
        </r>
      </text>
    </comment>
    <comment ref="D109" authorId="0" shapeId="0" xr:uid="{ECFD87FA-B514-498A-A090-83A43396BF65}">
      <text>
        <r>
          <rPr>
            <b/>
            <sz val="9"/>
            <color indexed="81"/>
            <rFont val="Tahoma"/>
            <family val="2"/>
          </rPr>
          <t>Fadiel:</t>
        </r>
        <r>
          <rPr>
            <sz val="9"/>
            <color indexed="81"/>
            <rFont val="Tahoma"/>
            <family val="2"/>
          </rPr>
          <t xml:space="preserve">
Chem Eng Eco (1989)</t>
        </r>
      </text>
    </comment>
    <comment ref="T136" authorId="0"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0"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D3314965-1DC0-4B6A-8D64-47125F2C2B6A}">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tc={8D281F20-C49E-4119-B3FE-83CD993F6A61}</author>
  </authors>
  <commentList>
    <comment ref="Z173" authorId="0"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5" authorId="0" shapeId="0" xr:uid="{00000000-0006-0000-3100-000001000000}">
      <text>
        <r>
          <rPr>
            <b/>
            <sz val="9"/>
            <color indexed="81"/>
            <rFont val="Tahoma"/>
            <family val="2"/>
          </rPr>
          <t>bruno merven:</t>
        </r>
        <r>
          <rPr>
            <sz val="9"/>
            <color indexed="81"/>
            <rFont val="Tahoma"/>
            <family val="2"/>
          </rPr>
          <t xml:space="preserve">
based on IPPC AR4 working group 1 - physical science basis 2007.</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<sst xmlns="http://schemas.openxmlformats.org/spreadsheetml/2006/main" count="28977" uniqueCount="14790">
  <si>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</si>
  <si>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</si>
  <si>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</si>
  <si>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</si>
  <si>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</si>
  <si>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</si>
  <si>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</si>
  <si>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</si>
  <si>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</si>
  <si>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</si>
  <si>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</si>
  <si>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</si>
  <si>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</si>
  <si>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</si>
  <si>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</si>
  <si>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</si>
  <si>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</si>
  <si>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</si>
  <si>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</si>
  <si>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</si>
  <si>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</si>
  <si>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</si>
  <si>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</si>
  <si>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</si>
  <si>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</si>
  <si>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</si>
  <si>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</si>
  <si>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</si>
  <si>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</si>
  <si>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</si>
  <si>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</si>
  <si>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</si>
  <si>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</si>
  <si>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</si>
  <si>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</si>
  <si>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</si>
  <si>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</si>
  <si>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</si>
  <si>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</si>
  <si>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</si>
  <si>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</si>
  <si>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</si>
  <si>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</si>
  <si>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</si>
  <si>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</si>
  <si>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</si>
  <si>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</si>
  <si>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</si>
  <si>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</si>
  <si>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</si>
  <si>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</si>
  <si>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</si>
  <si>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</si>
  <si>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</si>
  <si>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</si>
  <si>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</si>
  <si>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</si>
  <si>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</si>
  <si>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</si>
  <si>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</si>
  <si>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</si>
  <si>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</si>
  <si>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</si>
  <si>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</si>
  <si>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</si>
  <si>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</si>
  <si>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</si>
  <si>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</si>
  <si>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</si>
  <si>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</si>
  <si>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</si>
  <si>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</si>
  <si>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</si>
  <si>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</si>
  <si>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</si>
  <si>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</si>
  <si>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</si>
  <si>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</si>
  <si>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</si>
  <si>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</si>
  <si>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</si>
  <si>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</si>
  <si>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</si>
  <si>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</si>
  <si>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</si>
  <si>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</si>
  <si>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</si>
  <si>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</si>
  <si>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</si>
  <si>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</si>
  <si>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</si>
  <si>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</si>
  <si>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</si>
  <si>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</si>
  <si>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</si>
  <si>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</si>
  <si>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</si>
  <si>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</si>
  <si>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</si>
  <si>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</si>
  <si>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</si>
  <si>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</si>
  <si>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</si>
  <si>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</si>
  <si>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</si>
  <si>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</si>
  <si>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</si>
  <si>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</si>
  <si>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</si>
  <si>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</si>
  <si>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</si>
  <si>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</si>
  <si>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</si>
  <si>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</si>
  <si>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</si>
  <si>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</si>
  <si>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</si>
  <si>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</si>
  <si>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</si>
  <si>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</si>
  <si>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</si>
  <si>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</si>
  <si>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</si>
  <si>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</si>
  <si>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</si>
  <si>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</si>
  <si>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</si>
  <si>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</si>
  <si>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</si>
  <si>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</si>
  <si>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</si>
  <si>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</si>
  <si>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</si>
  <si>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</si>
  <si>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</si>
  <si>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</si>
  <si>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</si>
  <si>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</si>
  <si>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</si>
  <si>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</si>
  <si>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</si>
  <si>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</si>
  <si>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</si>
  <si>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</si>
  <si>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</si>
  <si>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</si>
  <si>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</si>
  <si>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</si>
  <si>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</si>
  <si>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</si>
  <si>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</si>
  <si>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</si>
  <si>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</si>
  <si>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</si>
  <si>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</si>
  <si>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</si>
  <si>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</si>
  <si>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</si>
  <si>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</si>
  <si>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</si>
  <si>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</si>
  <si>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</si>
  <si>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</si>
  <si>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</si>
  <si>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</si>
  <si>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</si>
  <si>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</si>
  <si>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</si>
  <si>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</si>
  <si>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</si>
  <si>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</si>
  <si>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</si>
  <si>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</si>
  <si>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</si>
  <si>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</si>
  <si>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</si>
  <si>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</si>
  <si>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</si>
  <si>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</si>
  <si>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</si>
  <si>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</si>
  <si>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</si>
  <si>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</si>
  <si>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</si>
  <si>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</si>
  <si>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</si>
  <si>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</si>
  <si>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</si>
  <si>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</si>
  <si>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</si>
  <si>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</si>
  <si>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</si>
  <si>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</si>
  <si>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</si>
  <si>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</si>
  <si>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</si>
  <si>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</si>
  <si>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</si>
  <si>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</si>
  <si>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</si>
  <si>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</si>
  <si>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</si>
  <si>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</si>
  <si>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</si>
  <si>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</si>
  <si>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</si>
  <si>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</si>
  <si>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</si>
  <si>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</si>
  <si>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</si>
  <si>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</si>
  <si>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</si>
  <si>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</si>
  <si>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</si>
  <si>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</si>
  <si>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</si>
  <si>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</si>
  <si>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</si>
  <si>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</si>
  <si>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</si>
  <si>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</si>
  <si>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</si>
  <si>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</si>
  <si>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</si>
  <si>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</si>
  <si>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</si>
  <si>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</si>
  <si>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</si>
  <si>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</si>
  <si>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</si>
  <si>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</si>
  <si>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</si>
  <si>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</si>
  <si>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</si>
  <si>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</si>
  <si>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</si>
  <si>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</si>
  <si>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</si>
  <si>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</si>
  <si>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</si>
  <si>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</si>
  <si>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</si>
  <si>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</si>
  <si>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</si>
  <si>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</si>
  <si>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</si>
  <si>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</si>
  <si>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</si>
  <si>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</si>
  <si>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</si>
  <si>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</si>
  <si>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</si>
  <si>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</si>
  <si>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</si>
  <si>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</si>
  <si>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</si>
  <si>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</si>
  <si>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</si>
  <si>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</si>
  <si>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</si>
  <si>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</si>
  <si>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</si>
  <si>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</si>
  <si>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</si>
  <si>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</si>
  <si>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</si>
  <si>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</si>
  <si>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</si>
  <si>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</si>
  <si>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</si>
  <si>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</si>
  <si>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</si>
  <si>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</si>
  <si>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</si>
  <si>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</si>
  <si>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</si>
  <si>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</si>
  <si>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</si>
  <si>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</si>
  <si>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</si>
  <si>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</si>
  <si>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</si>
  <si>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</si>
  <si>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</si>
  <si>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</si>
  <si>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</si>
  <si>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</si>
  <si>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</si>
  <si>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</si>
  <si>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</si>
  <si>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</si>
  <si>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</si>
  <si>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</si>
  <si>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</si>
  <si>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</si>
  <si>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</si>
  <si>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</si>
  <si>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</si>
  <si>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</si>
  <si>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</si>
  <si>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</si>
  <si>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</si>
  <si>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</si>
  <si>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</si>
  <si>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</si>
  <si>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</si>
  <si>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</si>
  <si>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</si>
  <si>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</si>
  <si>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</si>
  <si>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</si>
  <si>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</si>
  <si>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</si>
  <si>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</si>
  <si>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</si>
  <si>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</si>
  <si>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</si>
  <si>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</si>
  <si>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</si>
  <si>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</si>
  <si>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</si>
  <si>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</si>
  <si>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</si>
  <si>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</si>
  <si>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</si>
  <si>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</si>
  <si>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</si>
  <si>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</si>
  <si>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</si>
  <si>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</si>
  <si>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</si>
  <si>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</si>
  <si>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</si>
  <si>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</si>
  <si>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</si>
  <si>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</si>
  <si>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</si>
  <si>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</si>
  <si>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</si>
  <si>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</si>
  <si>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</si>
  <si>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</si>
  <si>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</si>
  <si>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</si>
  <si>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</si>
  <si>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</si>
  <si>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</si>
  <si>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</si>
  <si>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</si>
  <si>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</si>
  <si>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</si>
  <si>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</si>
  <si>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</si>
  <si>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</si>
  <si>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</si>
  <si>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</si>
  <si>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</si>
  <si>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</si>
  <si>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</si>
  <si>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</si>
  <si>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</si>
  <si>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</si>
  <si>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</si>
  <si>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</si>
  <si>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</si>
  <si>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</si>
  <si>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</si>
  <si>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</si>
  <si>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</si>
  <si>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</si>
  <si>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</si>
  <si>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</si>
  <si>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</si>
  <si>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</si>
  <si>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</si>
  <si>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</si>
  <si>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</si>
  <si>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</si>
  <si>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</si>
  <si>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</si>
  <si>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</si>
  <si>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</si>
  <si>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</si>
  <si>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</si>
  <si>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</si>
  <si>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</si>
  <si>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</si>
  <si>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</si>
  <si>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</si>
  <si>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</si>
  <si>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</si>
  <si>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</si>
  <si>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</si>
  <si>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</si>
  <si>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</si>
  <si>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</si>
  <si>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</si>
  <si>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</si>
  <si>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</si>
  <si>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</si>
  <si>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</si>
  <si>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</si>
  <si>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</si>
  <si>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</si>
  <si>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</si>
  <si>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</si>
  <si>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</si>
  <si>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</si>
  <si>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</si>
  <si>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</si>
  <si>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</si>
  <si>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</si>
  <si>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</si>
  <si>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</si>
  <si>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</si>
  <si>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</si>
  <si>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</si>
  <si>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</si>
  <si>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</si>
  <si>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</si>
  <si>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</si>
  <si>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</si>
  <si>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</si>
  <si>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</si>
  <si>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</si>
  <si>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</si>
  <si>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</si>
  <si>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</si>
  <si>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</si>
  <si>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</si>
  <si>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</si>
  <si>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</si>
  <si>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</si>
  <si>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</si>
  <si>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</si>
  <si>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</si>
  <si>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</si>
  <si>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</si>
  <si>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</si>
  <si>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</si>
  <si>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</si>
  <si>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</si>
  <si>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</si>
  <si>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</si>
  <si>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</si>
  <si>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</si>
  <si>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</si>
  <si>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</si>
  <si>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</si>
  <si>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</si>
  <si>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</si>
  <si>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</si>
  <si>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</si>
  <si>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</si>
  <si>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</si>
  <si>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</si>
  <si>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</si>
  <si>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</si>
  <si>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</si>
  <si>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</si>
  <si>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</si>
  <si>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</si>
  <si>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</si>
  <si>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</si>
  <si>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</si>
  <si>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</si>
  <si>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</si>
  <si>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</si>
  <si>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</si>
  <si>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</si>
  <si>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</si>
  <si>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</si>
  <si>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</si>
  <si>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</si>
  <si>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</si>
  <si>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</si>
  <si>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</si>
  <si>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</si>
  <si>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</si>
  <si>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</si>
  <si>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</si>
  <si>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</si>
  <si>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</si>
  <si>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</si>
  <si>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</si>
  <si>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</si>
  <si>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</si>
  <si>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</si>
  <si>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</si>
  <si>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</si>
  <si>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</si>
  <si>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</si>
  <si>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</si>
  <si>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</si>
  <si>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</si>
  <si>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</si>
  <si>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</si>
  <si>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</si>
  <si>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</si>
  <si>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</si>
  <si>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</si>
  <si>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</si>
  <si>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</si>
  <si>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</si>
  <si>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</si>
  <si>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</si>
  <si>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</si>
  <si>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</si>
  <si>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</si>
  <si>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</si>
  <si>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</si>
  <si>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</si>
  <si>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</si>
  <si>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</si>
  <si>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</si>
  <si>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</si>
  <si>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</si>
  <si>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</si>
  <si>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</si>
  <si>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</si>
  <si>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</si>
  <si>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</si>
  <si>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</si>
  <si>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</si>
  <si>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</si>
  <si>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</si>
  <si>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</si>
  <si>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</si>
  <si>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</si>
  <si>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</si>
  <si>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</si>
  <si>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</si>
  <si>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</si>
  <si>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</si>
  <si>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</si>
  <si>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</si>
  <si>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</si>
  <si>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</si>
  <si>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</si>
  <si>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</si>
  <si>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</si>
  <si>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</si>
  <si>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</si>
  <si>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</si>
  <si>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</si>
  <si>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</si>
  <si>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</si>
  <si>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</si>
  <si>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</si>
  <si>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</si>
  <si>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</si>
  <si>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</si>
  <si>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</si>
  <si>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</si>
  <si>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</si>
  <si>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</si>
  <si>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</si>
  <si>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</si>
  <si>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</si>
  <si>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</si>
  <si>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</si>
  <si>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</si>
  <si>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</si>
  <si>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</si>
  <si>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</si>
  <si>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</si>
  <si>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</si>
  <si>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</si>
  <si>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</si>
  <si>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</si>
  <si>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</si>
  <si>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</si>
  <si>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</si>
  <si>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</si>
  <si>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</si>
  <si>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</si>
  <si>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</si>
  <si>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</si>
  <si>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</si>
  <si>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</si>
  <si>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</si>
  <si>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</si>
  <si>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</si>
  <si>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</si>
  <si>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</si>
  <si>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</si>
  <si>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</si>
  <si>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</si>
  <si>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</si>
  <si>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</si>
  <si>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</si>
  <si>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</si>
  <si>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</si>
  <si>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</si>
  <si>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</si>
  <si>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</si>
  <si>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</si>
  <si>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</si>
  <si>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</si>
  <si>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</si>
  <si>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</si>
  <si>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</si>
  <si>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</si>
  <si>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</si>
  <si>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</si>
  <si>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</si>
  <si>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</si>
  <si>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</si>
  <si>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</si>
  <si>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</si>
  <si>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</si>
  <si>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</si>
  <si>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</si>
  <si>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</si>
  <si>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</si>
  <si>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</si>
  <si>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</si>
  <si>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</si>
  <si>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</si>
  <si>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</si>
  <si>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</si>
  <si>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</si>
  <si>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</si>
  <si>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</si>
  <si>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</si>
  <si>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</si>
  <si>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</si>
  <si>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</si>
  <si>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</si>
  <si>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</si>
  <si>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</si>
  <si>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</si>
  <si>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</si>
  <si>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</si>
  <si>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</si>
  <si>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</si>
  <si>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</si>
  <si>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</si>
  <si>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</si>
  <si>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</si>
  <si>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</si>
  <si>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</si>
  <si>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</si>
  <si>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</si>
  <si>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</si>
  <si>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</si>
  <si>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</si>
  <si>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</si>
  <si>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</si>
  <si>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</si>
  <si>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</si>
  <si>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</si>
  <si>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</si>
  <si>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</si>
  <si>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</si>
  <si>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</si>
  <si>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</si>
  <si>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</si>
  <si>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</si>
  <si>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</si>
  <si>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</si>
  <si>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</si>
  <si>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</si>
  <si>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</si>
  <si>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</si>
  <si>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</si>
  <si>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</si>
  <si>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</si>
  <si>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</si>
  <si>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</si>
  <si>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</si>
  <si>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</si>
  <si>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</si>
  <si>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</si>
  <si>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</si>
  <si>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</si>
  <si>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</si>
  <si>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</si>
  <si>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</si>
  <si>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</si>
  <si>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</si>
  <si>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</si>
  <si>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</si>
  <si>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</si>
  <si>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</si>
  <si>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</si>
  <si>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</si>
  <si>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</si>
  <si>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</si>
  <si>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</si>
  <si>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</si>
  <si>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</si>
  <si>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</si>
  <si>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</si>
  <si>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</si>
  <si>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</si>
  <si>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</si>
  <si>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</si>
  <si>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</si>
  <si>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</si>
  <si>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</si>
  <si>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</si>
  <si>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</si>
  <si>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</si>
  <si>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</si>
  <si>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</si>
  <si>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</si>
  <si>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</si>
  <si>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</si>
  <si>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</si>
  <si>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</si>
  <si>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</si>
  <si>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</si>
  <si>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</si>
  <si>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</si>
  <si>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</si>
  <si>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</si>
  <si>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</si>
  <si>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</si>
  <si>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</si>
  <si>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</si>
  <si>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</si>
  <si>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</si>
  <si>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</si>
  <si>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</si>
  <si>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</si>
  <si>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</si>
  <si>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</si>
  <si>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</si>
  <si>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</si>
  <si>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</si>
  <si>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</si>
  <si>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</si>
  <si>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</si>
  <si>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</si>
  <si>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</si>
  <si>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</si>
  <si>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</si>
  <si>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</si>
  <si>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</si>
  <si>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</si>
  <si>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</si>
  <si>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</si>
  <si>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</si>
  <si>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</si>
  <si>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</si>
  <si>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</si>
  <si>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</si>
  <si>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</si>
  <si>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</si>
  <si>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</si>
  <si>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</si>
  <si>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</si>
  <si>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</si>
  <si>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</si>
  <si>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</si>
  <si>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</si>
  <si>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</si>
  <si>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</si>
  <si>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</si>
  <si>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</si>
  <si>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</si>
  <si>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</si>
  <si>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</si>
  <si>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</si>
  <si>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</si>
  <si>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</si>
  <si>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</si>
  <si>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</si>
  <si>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</si>
  <si>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</si>
  <si>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</si>
  <si>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</si>
  <si>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</si>
  <si>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</si>
  <si>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</si>
  <si>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</si>
  <si>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</si>
  <si>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</si>
  <si>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</si>
  <si>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</si>
  <si>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</si>
  <si>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</si>
  <si>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</si>
  <si>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</si>
  <si>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</si>
  <si>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</si>
  <si>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</si>
  <si>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</si>
  <si>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</si>
  <si>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</si>
  <si>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</si>
  <si>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</si>
  <si>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</si>
  <si>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</si>
  <si>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</si>
  <si>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</si>
  <si>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</si>
  <si>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</si>
  <si>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</si>
  <si>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</si>
  <si>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</si>
  <si>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</si>
  <si>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</si>
  <si>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</si>
  <si>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</si>
  <si>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</si>
  <si>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</si>
  <si>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</si>
  <si>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</si>
  <si>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</si>
  <si>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</si>
  <si>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</si>
  <si>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</si>
  <si>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</si>
  <si>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</si>
  <si>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</si>
  <si>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</si>
  <si>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</si>
  <si>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</si>
  <si>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</si>
  <si>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</si>
  <si>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</si>
  <si>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</si>
  <si>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</si>
  <si>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</si>
  <si>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</si>
  <si>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</si>
  <si>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</si>
  <si>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</si>
  <si>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</si>
  <si>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</si>
  <si>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</si>
  <si>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</si>
  <si>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</si>
  <si>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</si>
  <si>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</si>
  <si>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</si>
  <si>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</si>
  <si>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</si>
  <si>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</si>
  <si>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</si>
  <si>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</si>
  <si>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</si>
  <si>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</si>
  <si>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</si>
  <si>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</si>
  <si>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</si>
  <si>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</si>
  <si>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</si>
  <si>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</si>
  <si>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</si>
  <si>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</si>
  <si>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</si>
  <si>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</si>
  <si>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</si>
  <si>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</si>
  <si>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</si>
  <si>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</si>
  <si>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</si>
  <si>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</si>
  <si>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</si>
  <si>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</si>
  <si>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</si>
  <si>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</si>
  <si>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</si>
  <si>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</si>
  <si>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</si>
  <si>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</si>
  <si>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</si>
  <si>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</si>
  <si>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</si>
  <si>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</si>
  <si>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</si>
  <si>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</si>
  <si>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</si>
  <si>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</si>
  <si>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</si>
  <si>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</si>
  <si>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</si>
  <si>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</si>
  <si>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</si>
  <si>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</si>
  <si>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</si>
  <si>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</si>
  <si>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</si>
  <si>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</si>
  <si>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</si>
  <si>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</si>
  <si>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</si>
  <si>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</si>
  <si>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</si>
  <si>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</si>
  <si>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</si>
  <si>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</si>
  <si>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</si>
  <si>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</si>
  <si>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</si>
  <si>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</si>
  <si>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</si>
  <si>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</si>
  <si>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</si>
  <si>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</si>
  <si>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</si>
  <si>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</si>
  <si>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</si>
  <si>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</si>
  <si>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</si>
  <si>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</si>
  <si>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</si>
  <si>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</si>
  <si>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</si>
  <si>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</si>
  <si>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</si>
  <si>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</si>
  <si>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</si>
  <si>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</si>
  <si>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</si>
  <si>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</si>
  <si>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</si>
  <si>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</si>
  <si>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</si>
  <si>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</si>
  <si>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</si>
  <si>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</si>
  <si>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</si>
  <si>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</si>
  <si>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</si>
  <si>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</si>
  <si>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</si>
  <si>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</si>
  <si>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</si>
  <si>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</si>
  <si>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</si>
  <si>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</si>
  <si>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</si>
  <si>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</si>
  <si>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</si>
  <si>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</si>
  <si>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</si>
  <si>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</si>
  <si>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</si>
  <si>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</si>
  <si>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</si>
  <si>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</si>
  <si>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</si>
  <si>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</si>
  <si>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</si>
  <si>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</si>
  <si>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</si>
  <si>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</si>
  <si>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</si>
  <si>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</si>
  <si>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</si>
  <si>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</si>
  <si>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</si>
  <si>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</si>
  <si>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</si>
  <si>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</si>
  <si>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</si>
  <si>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</si>
  <si>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</si>
  <si>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</si>
  <si>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</si>
  <si>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</si>
  <si>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</si>
  <si>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</si>
  <si>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</si>
  <si>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</si>
  <si>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</si>
  <si>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</si>
  <si>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</si>
  <si>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</si>
  <si>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</si>
  <si>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</si>
  <si>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</si>
  <si>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</si>
  <si>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</si>
  <si>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</si>
  <si>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</si>
  <si>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</si>
  <si>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</si>
  <si>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</si>
  <si>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</si>
  <si>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</si>
  <si>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</si>
  <si>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</si>
  <si>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</si>
  <si>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</si>
  <si>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</si>
  <si>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</si>
  <si>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</si>
  <si>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</si>
  <si>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</si>
  <si>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</si>
  <si>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</si>
  <si>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</si>
  <si>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</si>
  <si>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</si>
  <si>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</si>
  <si>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</si>
  <si>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</si>
  <si>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</si>
  <si>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</si>
  <si>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</si>
  <si>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</si>
  <si>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</si>
  <si>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</si>
  <si>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</si>
  <si>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</si>
  <si>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</si>
  <si>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</si>
  <si>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</si>
  <si>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</si>
  <si>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</si>
  <si>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</si>
  <si>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</si>
  <si>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</si>
  <si>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</si>
  <si>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</si>
  <si>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</si>
  <si>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</si>
  <si>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</si>
  <si>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</si>
  <si>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</si>
  <si>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</si>
  <si>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</si>
  <si>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</si>
  <si>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</si>
  <si>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</si>
  <si>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</si>
  <si>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</si>
  <si>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</si>
  <si>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</si>
  <si>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</si>
  <si>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</si>
  <si>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</si>
  <si>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</si>
  <si>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</si>
  <si>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</si>
  <si>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</si>
  <si>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</si>
  <si>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</si>
  <si>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</si>
  <si>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</si>
  <si>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</si>
  <si>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</si>
  <si>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</si>
  <si>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</si>
  <si>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</si>
  <si>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</si>
  <si>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</si>
  <si>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</si>
  <si>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</si>
  <si>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</si>
  <si>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</si>
  <si>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</si>
  <si>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</si>
  <si>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</si>
  <si>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</si>
  <si>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</si>
  <si>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</si>
  <si>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</si>
  <si>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</si>
  <si>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</si>
  <si>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</si>
  <si>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</si>
  <si>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</si>
  <si>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</si>
  <si>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</si>
  <si>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</si>
  <si>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</si>
  <si>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</si>
  <si>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</si>
  <si>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</si>
  <si>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</si>
  <si>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</si>
  <si>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</si>
  <si>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</si>
  <si>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</si>
  <si>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</si>
  <si>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</si>
  <si>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</si>
  <si>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</si>
  <si>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</si>
  <si>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</si>
  <si>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</si>
  <si>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</si>
  <si>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</si>
  <si>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</si>
  <si>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</si>
  <si>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</si>
  <si>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</si>
  <si>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</si>
  <si>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</si>
  <si>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</si>
  <si>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</si>
  <si>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</si>
  <si>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</si>
  <si>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</si>
  <si>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</si>
  <si>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</si>
  <si>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</si>
  <si>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</si>
  <si>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</si>
  <si>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</si>
  <si>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</si>
  <si>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</si>
  <si>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</si>
  <si>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</si>
  <si>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</si>
  <si>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</si>
  <si>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</si>
  <si>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</si>
  <si>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</si>
  <si>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</si>
  <si>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</si>
  <si>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</si>
  <si>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</si>
  <si>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</si>
  <si>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</si>
  <si>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</si>
  <si>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</si>
  <si>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</si>
  <si>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</si>
  <si>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</si>
  <si>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</si>
  <si>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</si>
  <si>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</si>
  <si>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</si>
  <si>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</si>
  <si>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</si>
  <si>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</si>
  <si>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</si>
  <si>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</si>
  <si>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</si>
  <si>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</si>
  <si>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</si>
  <si>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</si>
  <si>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</si>
  <si>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</si>
  <si>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</si>
  <si>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</si>
  <si>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</si>
  <si>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</si>
  <si>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</si>
  <si>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</si>
  <si>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</si>
  <si>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</si>
  <si>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</si>
  <si>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</si>
  <si>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</si>
  <si>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</si>
  <si>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</si>
  <si>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</si>
  <si>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</si>
  <si>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</si>
  <si>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</si>
  <si>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</si>
  <si>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</si>
  <si>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</si>
  <si>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</si>
  <si>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</si>
  <si>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</si>
  <si>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</si>
  <si>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</si>
  <si>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</si>
  <si>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</si>
  <si>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</si>
  <si>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</si>
  <si>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</si>
  <si>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</si>
  <si>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</si>
  <si>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</si>
  <si>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</si>
  <si>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</si>
  <si>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</si>
  <si>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</si>
  <si>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</si>
  <si>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</si>
  <si>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</si>
  <si>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</si>
  <si>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</si>
  <si>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</si>
  <si>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</si>
  <si>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</si>
  <si>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</si>
  <si>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</si>
  <si>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</si>
  <si>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</si>
  <si>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</si>
  <si>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</si>
  <si>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</si>
  <si>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</si>
  <si>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</si>
  <si>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</si>
  <si>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</si>
  <si>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</si>
  <si>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</si>
  <si>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</si>
  <si>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</si>
  <si>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</si>
  <si>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</si>
  <si>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</si>
  <si>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</si>
  <si>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</si>
  <si>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</si>
  <si>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</si>
  <si>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</si>
  <si>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</si>
  <si>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</si>
  <si>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</si>
  <si>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</si>
  <si>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</si>
  <si>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</si>
  <si>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</si>
  <si>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</si>
  <si>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</si>
  <si>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</si>
  <si>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</si>
  <si>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</si>
  <si>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</si>
  <si>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</si>
  <si>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</si>
  <si>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</si>
  <si>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</si>
  <si>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</si>
  <si>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</si>
  <si>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</si>
  <si>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</si>
  <si>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</si>
  <si>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</si>
  <si>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</si>
  <si>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</si>
  <si>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</si>
  <si>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</si>
  <si>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</si>
  <si>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</si>
  <si>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</si>
  <si>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</si>
  <si>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</si>
  <si>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</si>
  <si>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</si>
  <si>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</si>
  <si>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</si>
  <si>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</si>
  <si>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</si>
  <si>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</si>
  <si>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</si>
  <si>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</si>
  <si>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</si>
  <si>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</si>
  <si>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</si>
  <si>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</si>
  <si>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</si>
  <si>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</si>
  <si>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</si>
  <si>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</si>
  <si>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</si>
  <si>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</si>
  <si>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</si>
  <si>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</si>
  <si>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</si>
  <si>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</si>
  <si>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</si>
  <si>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</si>
  <si>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</si>
  <si>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</si>
  <si>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</si>
  <si>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</si>
  <si>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</si>
  <si>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</si>
  <si>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</si>
  <si>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</si>
  <si>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</si>
  <si>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</si>
  <si>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</si>
  <si>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</si>
  <si>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</si>
  <si>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</si>
  <si>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</si>
  <si>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</si>
  <si>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</si>
  <si>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</si>
  <si>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</si>
  <si>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</si>
  <si>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</si>
  <si>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</si>
  <si>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</si>
  <si>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</si>
  <si>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</si>
  <si>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</si>
  <si>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</si>
  <si>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</si>
  <si>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</si>
  <si>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</si>
  <si>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</si>
  <si>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</si>
  <si>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</si>
  <si>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</si>
  <si>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</si>
  <si>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</si>
  <si>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</si>
  <si>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</si>
  <si>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</si>
  <si>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</si>
  <si>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</si>
  <si>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</si>
  <si>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</si>
  <si>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</si>
  <si>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</si>
  <si>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</si>
  <si>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</si>
  <si>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</si>
  <si>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</si>
  <si>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</si>
  <si>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</si>
  <si>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</si>
  <si>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</si>
  <si>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</si>
  <si>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</si>
  <si>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</si>
  <si>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</si>
  <si>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</si>
  <si>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</si>
  <si>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</si>
  <si>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</si>
  <si>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</si>
  <si>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</si>
  <si>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</si>
  <si>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</si>
  <si>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</si>
  <si>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</si>
  <si>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</si>
  <si>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</si>
  <si>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</si>
  <si>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</si>
  <si>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</si>
  <si>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</si>
  <si>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</si>
  <si>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</si>
  <si>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</si>
  <si>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</si>
  <si>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</si>
  <si>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</si>
  <si>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</si>
  <si>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</si>
  <si>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</si>
  <si>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</si>
  <si>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</si>
  <si>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</si>
  <si>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</si>
  <si>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</si>
  <si>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</si>
  <si>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</si>
  <si>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</si>
  <si>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</si>
  <si>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</si>
  <si>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</si>
  <si>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</si>
  <si>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</si>
  <si>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</si>
  <si>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</si>
  <si>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</si>
  <si>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</si>
  <si>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</si>
  <si>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</si>
  <si>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</si>
  <si>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</si>
  <si>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</si>
  <si>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</si>
  <si>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</si>
  <si>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</si>
  <si>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</si>
  <si>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</si>
  <si>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</si>
  <si>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</si>
  <si>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</si>
  <si>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</si>
  <si>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</si>
  <si>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</si>
  <si>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</si>
  <si>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</si>
  <si>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</si>
  <si>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</si>
  <si>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</si>
  <si>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</si>
  <si>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</si>
  <si>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</si>
  <si>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</si>
  <si>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</si>
  <si>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</si>
  <si>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</si>
  <si>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</si>
  <si>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</si>
  <si>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</si>
  <si>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Water Use:</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</si>
  <si>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</si>
  <si>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</si>
  <si>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</si>
  <si>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</si>
  <si>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</si>
  <si>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</si>
  <si>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</si>
  <si>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</si>
  <si>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</si>
  <si>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</si>
  <si>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</si>
  <si>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</si>
  <si>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</si>
  <si>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</si>
  <si>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</si>
  <si>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</si>
  <si>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</si>
  <si>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</si>
  <si>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</si>
  <si>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</si>
  <si>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</si>
  <si>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</si>
  <si>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</si>
  <si>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</si>
  <si>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</si>
  <si>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</si>
  <si>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</si>
  <si>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</si>
  <si>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</si>
  <si>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</si>
  <si>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</si>
  <si>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</si>
  <si>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</si>
  <si>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</si>
  <si>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</si>
  <si>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</si>
  <si>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</si>
  <si>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</si>
  <si>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</si>
  <si>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</si>
  <si>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</si>
  <si>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</si>
  <si>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</si>
  <si>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</si>
  <si>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</si>
  <si>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</si>
  <si>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</si>
  <si>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</si>
  <si>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</si>
  <si>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</si>
  <si>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</si>
  <si>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</si>
  <si>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</si>
  <si>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</si>
  <si>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</si>
  <si>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</si>
  <si>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</si>
  <si>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</si>
  <si>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</si>
  <si>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</si>
  <si>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</si>
  <si>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</si>
  <si>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</si>
  <si>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</si>
  <si>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</si>
  <si>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</si>
  <si>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</si>
  <si>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</si>
  <si>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</si>
  <si>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</si>
  <si>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</si>
  <si>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</si>
  <si>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</si>
  <si>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</si>
  <si>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</si>
  <si>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</si>
  <si>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</si>
  <si>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</si>
  <si>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</si>
  <si>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</si>
  <si>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</si>
  <si>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</si>
  <si>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</si>
  <si>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</si>
  <si>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</si>
  <si>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</si>
  <si>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</si>
  <si>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</si>
  <si>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</si>
  <si>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</si>
  <si>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</si>
  <si>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</si>
  <si>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</si>
  <si>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</si>
  <si>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</si>
  <si>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</si>
  <si>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</si>
  <si>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</si>
  <si>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</si>
  <si>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</si>
  <si>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</si>
  <si>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</si>
  <si>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</si>
  <si>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</si>
  <si>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</si>
  <si>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</si>
  <si>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</si>
  <si>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</si>
  <si>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</si>
  <si>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</si>
  <si>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</si>
  <si>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</si>
  <si>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</si>
  <si>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</si>
  <si>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</si>
  <si>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</si>
  <si>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</si>
  <si>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</si>
  <si>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</si>
  <si>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</si>
  <si>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</si>
  <si>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</si>
  <si>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</si>
  <si>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</si>
  <si>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</si>
  <si>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</si>
  <si>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</si>
  <si>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</si>
  <si>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</si>
  <si>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</si>
  <si>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</si>
  <si>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</si>
  <si>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</si>
  <si>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</si>
  <si>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</si>
  <si>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</si>
  <si>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</si>
  <si>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</si>
  <si>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</si>
  <si>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</si>
  <si>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</si>
  <si>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</si>
  <si>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</si>
  <si>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</si>
  <si>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</si>
  <si>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</si>
  <si>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</si>
  <si>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</si>
  <si>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</si>
  <si>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</si>
  <si>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</si>
  <si>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</si>
  <si>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</si>
  <si>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</si>
  <si>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</si>
  <si>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</si>
  <si>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</si>
  <si>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</si>
  <si>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</si>
  <si>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</si>
  <si>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</si>
  <si>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</si>
  <si>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</si>
  <si>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</si>
  <si>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</si>
  <si>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</si>
  <si>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</si>
  <si>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</si>
  <si>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</si>
  <si>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</si>
  <si>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</si>
  <si>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</si>
  <si>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</si>
  <si>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</si>
  <si>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</si>
  <si>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</si>
  <si>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</si>
  <si>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</si>
  <si>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</si>
  <si>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</si>
  <si>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</si>
  <si>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</si>
  <si>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</si>
  <si>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</si>
  <si>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</si>
  <si>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</si>
  <si>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</si>
  <si>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</si>
  <si>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</si>
  <si>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</si>
  <si>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</si>
  <si>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</si>
  <si>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</si>
  <si>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</si>
  <si>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</si>
  <si>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</si>
  <si>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</si>
  <si>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</si>
  <si>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</si>
  <si>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</si>
  <si>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</si>
  <si>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</si>
  <si>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</si>
  <si>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</si>
  <si>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</si>
  <si>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</si>
  <si>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</si>
  <si>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</si>
  <si>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</si>
  <si>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</si>
  <si>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</si>
  <si>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</si>
  <si>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</si>
  <si>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</si>
  <si>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</si>
  <si>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</si>
  <si>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</si>
  <si>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</si>
  <si>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</si>
  <si>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</si>
  <si>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</si>
  <si>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</si>
  <si>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</si>
  <si>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</si>
  <si>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</si>
  <si>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</si>
  <si>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</si>
  <si>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</si>
  <si>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</si>
  <si>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</si>
  <si>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</si>
  <si>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</si>
  <si>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</si>
  <si>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</si>
  <si>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</si>
  <si>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</si>
  <si>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</si>
  <si>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</si>
  <si>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</si>
  <si>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</si>
  <si>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</si>
  <si>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</si>
  <si>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</si>
  <si>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</si>
  <si>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</si>
  <si>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</si>
  <si>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</si>
  <si>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</si>
  <si>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</si>
  <si>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</si>
  <si>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</si>
  <si>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</si>
  <si>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</si>
  <si>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</si>
  <si>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</si>
  <si>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</si>
  <si>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</si>
  <si>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</si>
  <si>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</si>
  <si>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</si>
  <si>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</si>
  <si>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</si>
  <si>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</si>
  <si>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</si>
  <si>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</si>
  <si>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</si>
  <si>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</si>
  <si>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</si>
  <si>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</si>
  <si>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</si>
  <si>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</si>
  <si>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</si>
  <si>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</si>
  <si>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</si>
  <si>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</si>
  <si>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</si>
  <si>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</si>
  <si>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</si>
  <si>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</si>
  <si>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</si>
  <si>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</si>
  <si>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</si>
  <si>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</si>
  <si>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</si>
  <si>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</si>
  <si>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</si>
  <si>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</si>
  <si>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</si>
  <si>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</si>
  <si>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</si>
  <si>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</si>
  <si>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</si>
  <si>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</si>
  <si>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</si>
  <si>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</si>
  <si>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</si>
  <si>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</si>
  <si>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</si>
  <si>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</si>
  <si>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</si>
  <si>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</si>
  <si>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</si>
  <si>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</si>
  <si>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</si>
  <si>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</si>
  <si>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</si>
  <si>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</si>
  <si>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</si>
  <si>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</si>
  <si>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</si>
  <si>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</si>
  <si>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</si>
  <si>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</si>
  <si>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</si>
  <si>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</si>
  <si>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</si>
  <si>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</si>
  <si>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</si>
  <si>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</si>
  <si>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</si>
  <si>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</si>
  <si>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</si>
  <si>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</si>
  <si>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</si>
  <si>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</si>
  <si>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</si>
  <si>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</si>
  <si>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</si>
  <si>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</si>
  <si>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</si>
  <si>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</si>
  <si>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</si>
  <si>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</si>
  <si>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</si>
  <si>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</si>
  <si>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</si>
  <si>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</si>
  <si>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</si>
  <si>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</si>
  <si>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</si>
  <si>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</si>
  <si>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</si>
  <si>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</si>
  <si>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</si>
  <si>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</si>
  <si>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</si>
  <si>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</si>
  <si>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</si>
  <si>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</si>
  <si>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</si>
  <si>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</si>
  <si>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</si>
  <si>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</si>
  <si>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</si>
  <si>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</si>
  <si>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</si>
  <si>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</si>
  <si>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</si>
  <si>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</si>
  <si>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</si>
  <si>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</si>
  <si>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</si>
  <si>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</si>
  <si>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</si>
  <si>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</si>
  <si>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</si>
  <si>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</si>
  <si>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</si>
  <si>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</si>
  <si>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</si>
  <si>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</si>
  <si>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</si>
  <si>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</si>
  <si>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</si>
  <si>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</si>
  <si>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</si>
  <si>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</si>
  <si>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</si>
  <si>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</si>
  <si>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</si>
  <si>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</si>
  <si>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</si>
  <si>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</si>
  <si>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</si>
  <si>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</si>
  <si>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</si>
  <si>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</si>
  <si>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</si>
  <si>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</si>
  <si>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</si>
  <si>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</si>
  <si>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</si>
  <si>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</si>
  <si>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</si>
  <si>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</si>
  <si>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</si>
  <si>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</si>
  <si>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</si>
  <si>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</si>
  <si>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</si>
  <si>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</si>
  <si>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</si>
  <si>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</si>
  <si>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</si>
  <si>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</si>
  <si>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</si>
  <si>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</si>
  <si>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</si>
  <si>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</si>
  <si>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</si>
  <si>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</si>
  <si>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</si>
  <si>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</si>
  <si>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</si>
  <si>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</si>
  <si>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</si>
  <si>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</si>
  <si>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</si>
  <si>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</si>
  <si>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</si>
  <si>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</si>
  <si>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</si>
  <si>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</si>
  <si>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</si>
  <si>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</si>
  <si>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</si>
  <si>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</si>
  <si>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</si>
  <si>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</si>
  <si>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</si>
  <si>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</si>
  <si>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</si>
  <si>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</si>
  <si>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</si>
  <si>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</si>
  <si>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</si>
  <si>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</si>
  <si>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</si>
  <si>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</si>
  <si>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</si>
  <si>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</si>
  <si>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</si>
  <si>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</si>
  <si>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</si>
  <si>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</si>
  <si>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</si>
  <si>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</si>
  <si>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</si>
  <si>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</si>
  <si>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</si>
  <si>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</si>
  <si>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</si>
  <si>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</si>
  <si>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</si>
  <si>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</si>
  <si>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</si>
  <si>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</si>
  <si>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</si>
  <si>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</si>
  <si>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</si>
  <si>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</si>
  <si>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</si>
  <si>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</si>
  <si>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</si>
  <si>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</si>
  <si>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</si>
  <si>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</si>
  <si>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</si>
  <si>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</si>
  <si>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</si>
  <si>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</si>
  <si>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</si>
  <si>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</si>
  <si>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</si>
  <si>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</si>
  <si>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</si>
  <si>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</si>
  <si>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</si>
  <si>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</si>
  <si>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</si>
  <si>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</si>
  <si>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</si>
  <si>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</si>
  <si>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</si>
  <si>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</si>
  <si>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</si>
  <si>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</si>
  <si>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</si>
  <si>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</si>
  <si>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</si>
  <si>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</si>
  <si>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</si>
  <si>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</si>
  <si>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</si>
  <si>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</si>
  <si>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</si>
  <si>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</si>
  <si>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</si>
  <si>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</si>
  <si>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</si>
  <si>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</si>
  <si>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</si>
  <si>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</si>
  <si>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</si>
  <si>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</si>
  <si>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</si>
  <si>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</si>
  <si>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</si>
  <si>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</si>
  <si>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</si>
  <si>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</si>
  <si>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</si>
  <si>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</si>
  <si>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</si>
  <si>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</si>
  <si>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</si>
  <si>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</si>
  <si>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</si>
  <si>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</si>
  <si>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</si>
  <si>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</si>
  <si>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</si>
  <si>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</si>
  <si>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</si>
  <si>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</si>
  <si>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</si>
  <si>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</si>
  <si>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</si>
  <si>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</si>
  <si>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</si>
  <si>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</si>
  <si>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</si>
  <si>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</si>
  <si>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</si>
  <si>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</si>
  <si>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</si>
  <si>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</si>
  <si>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</si>
  <si>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</si>
  <si>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</si>
  <si>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</si>
  <si>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</si>
  <si>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</si>
  <si>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</si>
  <si>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</si>
  <si>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</si>
  <si>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</si>
  <si>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</si>
  <si>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</si>
  <si>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</si>
  <si>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</si>
  <si>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</si>
  <si>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</si>
  <si>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</si>
  <si>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</si>
  <si>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</si>
  <si>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</si>
  <si>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</si>
  <si>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</si>
  <si>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</si>
  <si>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</si>
  <si>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</si>
  <si>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</si>
  <si>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</si>
  <si>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</si>
  <si>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</si>
  <si>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</si>
  <si>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</si>
  <si>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</si>
  <si>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</si>
  <si>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</si>
  <si>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</si>
  <si>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</si>
  <si>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</si>
  <si>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</si>
  <si>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</si>
  <si>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</si>
  <si>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</si>
  <si>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</si>
  <si>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</si>
  <si>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</si>
  <si>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</si>
  <si>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</si>
  <si>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</si>
  <si>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</si>
  <si>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</si>
  <si>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</si>
  <si>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</si>
  <si>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</si>
  <si>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</si>
  <si>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</si>
  <si>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</si>
  <si>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</si>
  <si>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</si>
  <si>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</si>
  <si>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</si>
  <si>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</si>
  <si>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</si>
  <si>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</si>
  <si>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</si>
  <si>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</si>
  <si>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</si>
  <si>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</si>
  <si>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</si>
  <si>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</si>
  <si>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</si>
  <si>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</si>
  <si>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</si>
  <si>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</si>
  <si>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</si>
  <si>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</si>
  <si>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</si>
  <si>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</si>
  <si>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</si>
  <si>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</si>
  <si>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</si>
  <si>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</si>
  <si>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</si>
  <si>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</si>
  <si>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</si>
  <si>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</si>
  <si>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</si>
  <si>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</si>
  <si>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</si>
  <si>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</si>
  <si>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</si>
  <si>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</si>
  <si>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</si>
  <si>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</si>
  <si>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</si>
  <si>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</si>
  <si>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</si>
  <si>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</si>
  <si>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</si>
  <si>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</si>
  <si>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</si>
  <si>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</si>
  <si>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</si>
  <si>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</si>
  <si>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</si>
  <si>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</si>
  <si>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</si>
  <si>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</si>
  <si>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</si>
  <si>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</si>
  <si>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</si>
  <si>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</si>
  <si>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</si>
  <si>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</si>
  <si>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</si>
  <si>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</si>
  <si>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</si>
  <si>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</si>
  <si>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</si>
  <si>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</si>
  <si>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</si>
  <si>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</si>
  <si>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</si>
  <si>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</si>
  <si>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</si>
  <si>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</si>
  <si>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</si>
  <si>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</si>
  <si>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</si>
  <si>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</si>
  <si>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</si>
  <si>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</si>
  <si>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</si>
  <si>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</si>
  <si>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</si>
  <si>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</si>
  <si>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</si>
  <si>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</si>
  <si>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</si>
  <si>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</si>
  <si>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</si>
  <si>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</si>
  <si>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</si>
  <si>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</si>
  <si>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</si>
  <si>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</si>
  <si>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</si>
  <si>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</si>
  <si>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</si>
  <si>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</si>
  <si>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</si>
  <si>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</si>
  <si>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</si>
  <si>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</si>
  <si>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</si>
  <si>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</si>
  <si>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</si>
  <si>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</si>
  <si>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</si>
  <si>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</si>
  <si>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</si>
  <si>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</si>
  <si>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</si>
  <si>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</si>
  <si>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</si>
  <si>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</si>
  <si>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</si>
  <si>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</si>
  <si>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</si>
  <si>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</si>
  <si>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</si>
  <si>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</si>
  <si>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</si>
  <si>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</si>
  <si>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</si>
  <si>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</si>
  <si>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</si>
  <si>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</si>
  <si>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</si>
  <si>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</si>
  <si>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</si>
  <si>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</si>
  <si>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</si>
  <si>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</si>
  <si>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</si>
  <si>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</si>
  <si>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</si>
  <si>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</si>
  <si>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</si>
  <si>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</si>
  <si>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</si>
  <si>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</si>
  <si>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</si>
  <si>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</si>
  <si>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</si>
  <si>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</si>
  <si>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</si>
  <si>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</si>
  <si>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</si>
  <si>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</si>
  <si>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</si>
  <si>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</si>
  <si>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</si>
  <si>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</si>
  <si>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</si>
  <si>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</si>
  <si>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</si>
  <si>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</si>
  <si>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</si>
  <si>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</si>
  <si>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</si>
  <si>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</si>
  <si>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</si>
  <si>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</si>
  <si>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</si>
  <si>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</si>
  <si>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</si>
  <si>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</si>
  <si>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</si>
  <si>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</si>
  <si>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</si>
  <si>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</si>
  <si>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</si>
  <si>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</si>
  <si>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</si>
  <si>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</si>
  <si>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</si>
  <si>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</si>
  <si>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</si>
  <si>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</si>
  <si>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</si>
  <si>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</si>
  <si>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</si>
  <si>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</si>
  <si>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</si>
  <si>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</si>
  <si>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</si>
  <si>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</si>
  <si>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</si>
  <si>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</si>
  <si>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</si>
  <si>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</si>
  <si>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</si>
  <si>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</si>
  <si>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</si>
  <si>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</si>
  <si>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</si>
  <si>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</si>
  <si>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</si>
  <si>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</si>
  <si>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</si>
  <si>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</si>
  <si>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</si>
  <si>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</si>
  <si>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</si>
  <si>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</si>
  <si>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</si>
  <si>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</si>
  <si>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</si>
  <si>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</si>
  <si>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</si>
  <si>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</si>
  <si>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</si>
  <si>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</si>
  <si>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</si>
  <si>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</si>
  <si>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</si>
  <si>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</si>
  <si>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</si>
  <si>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</si>
  <si>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</si>
  <si>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</si>
  <si>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</si>
  <si>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</si>
  <si>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</si>
  <si>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</si>
  <si>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</si>
  <si>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</si>
  <si>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</si>
  <si>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</si>
  <si>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</si>
  <si>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</si>
  <si>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</si>
  <si>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</si>
  <si>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</si>
  <si>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</si>
  <si>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</si>
  <si>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</si>
  <si>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</si>
  <si>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</si>
  <si>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</si>
  <si>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</si>
  <si>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</si>
  <si>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</si>
  <si>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</si>
  <si>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</si>
  <si>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</si>
  <si>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</si>
  <si>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</si>
  <si>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</si>
  <si>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</si>
  <si>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</si>
  <si>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</si>
  <si>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</si>
  <si>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</si>
  <si>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</si>
  <si>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</si>
  <si>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</si>
  <si>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</si>
  <si>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</si>
  <si>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</si>
  <si>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</si>
  <si>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</si>
  <si>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</si>
  <si>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</si>
  <si>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</si>
  <si>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</si>
  <si>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</si>
  <si>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</si>
  <si>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</si>
  <si>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</si>
  <si>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</si>
  <si>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</si>
  <si>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</si>
  <si>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</si>
  <si>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</si>
  <si>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</si>
  <si>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</si>
  <si>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</si>
  <si>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</si>
  <si>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</si>
  <si>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</si>
  <si>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</si>
  <si>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</si>
  <si>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</si>
  <si>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</si>
  <si>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</si>
  <si>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</si>
  <si>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</si>
  <si>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</si>
  <si>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</si>
  <si>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</si>
  <si>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</si>
  <si>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</si>
  <si>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</si>
  <si>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</si>
  <si>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</si>
  <si>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</si>
  <si>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</si>
  <si>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</si>
  <si>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</si>
  <si>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</si>
  <si>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</si>
  <si>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</si>
  <si>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</si>
  <si>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</si>
  <si>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</si>
  <si>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</si>
  <si>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</si>
  <si>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</si>
  <si>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</si>
  <si>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</si>
  <si>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</si>
  <si>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</si>
  <si>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</si>
  <si>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</si>
  <si>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</si>
  <si>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</si>
  <si>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</si>
  <si>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</si>
  <si>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</si>
  <si>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</si>
  <si>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</si>
  <si>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</si>
  <si>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</si>
  <si>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</si>
  <si>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</si>
  <si>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</si>
  <si>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</si>
  <si>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</si>
  <si>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</si>
  <si>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</si>
  <si>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</si>
  <si>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</si>
  <si>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</si>
  <si>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</si>
  <si>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</si>
  <si>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</si>
  <si>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</si>
  <si>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</si>
  <si>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</si>
  <si>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</si>
  <si>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</si>
  <si>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</si>
  <si>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</si>
  <si>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</si>
  <si>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</si>
  <si>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</si>
  <si>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</si>
  <si>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</si>
  <si>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</si>
  <si>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</si>
  <si>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</si>
  <si>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</si>
  <si>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</si>
  <si>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</si>
  <si>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</si>
  <si>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</si>
  <si>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</si>
  <si>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</si>
  <si>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</si>
  <si>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</si>
  <si>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</si>
  <si>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</si>
  <si>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</si>
  <si>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</si>
  <si>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</si>
  <si>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</si>
  <si>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</si>
  <si>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</si>
  <si>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</si>
  <si>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</si>
  <si>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</si>
  <si>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</si>
  <si>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</si>
  <si>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</si>
  <si>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</si>
  <si>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</si>
  <si>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</si>
  <si>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</si>
  <si>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</si>
  <si>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</si>
  <si>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</si>
  <si>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</si>
  <si>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</si>
  <si>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</si>
  <si>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</si>
  <si>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</si>
  <si>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</si>
  <si>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</si>
  <si>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</si>
  <si>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</si>
  <si>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</si>
  <si>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</si>
  <si>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</si>
  <si>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</si>
  <si>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</si>
  <si>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</si>
  <si>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</si>
  <si>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</si>
  <si>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</si>
  <si>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</si>
  <si>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</si>
  <si>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</si>
  <si>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</si>
  <si>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</si>
  <si>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</si>
  <si>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</si>
  <si>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</si>
  <si>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</si>
  <si>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</si>
  <si>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</si>
  <si>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</si>
  <si>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</si>
  <si>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</si>
  <si>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</si>
  <si>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</si>
  <si>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</si>
  <si>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</si>
  <si>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</si>
  <si>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</si>
  <si>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</si>
  <si>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</si>
  <si>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</si>
  <si>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</si>
  <si>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</si>
  <si>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</si>
  <si>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</si>
  <si>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</si>
  <si>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</si>
  <si>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</si>
  <si>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</si>
  <si>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</si>
  <si>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</si>
  <si>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</si>
  <si>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</si>
  <si>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</si>
  <si>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</si>
  <si>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</si>
  <si>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</si>
  <si>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</si>
  <si>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</si>
  <si>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</si>
  <si>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</si>
  <si>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</si>
  <si>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</si>
  <si>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</si>
  <si>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</si>
  <si>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</si>
  <si>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</si>
  <si>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</si>
  <si>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</si>
  <si>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</si>
  <si>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</si>
  <si>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</si>
  <si>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</si>
  <si>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</si>
  <si>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</si>
  <si>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</si>
  <si>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</si>
  <si>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</si>
  <si>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</si>
  <si>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</si>
  <si>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</si>
  <si>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</si>
  <si>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</si>
  <si>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</si>
  <si>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</si>
  <si>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</si>
  <si>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</si>
  <si>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</si>
  <si>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</si>
  <si>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</si>
  <si>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</si>
  <si>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</si>
  <si>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</si>
  <si>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</si>
  <si>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</si>
  <si>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</si>
  <si>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</si>
  <si>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</si>
  <si>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</si>
  <si>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</si>
  <si>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</si>
  <si>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</si>
  <si>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</si>
  <si>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</si>
  <si>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</si>
  <si>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</si>
  <si>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</si>
  <si>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</si>
  <si>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</si>
  <si>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</si>
  <si>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</si>
  <si>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</si>
  <si>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</si>
  <si>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</si>
  <si>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</si>
  <si>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</si>
  <si>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</si>
  <si>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</si>
  <si>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</si>
  <si>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</si>
  <si>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</si>
  <si>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</si>
  <si>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</si>
  <si>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</si>
  <si>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</si>
  <si>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</si>
  <si>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</si>
  <si>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</si>
  <si>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</si>
  <si>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</si>
  <si>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</si>
  <si>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</si>
  <si>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</si>
  <si>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</si>
  <si>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</si>
  <si>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</si>
  <si>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</si>
  <si>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</si>
  <si>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</si>
  <si>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</si>
  <si>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</si>
  <si>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</si>
  <si>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</si>
  <si>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</si>
  <si>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</si>
  <si>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</si>
  <si>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</si>
  <si>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</si>
  <si>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</si>
  <si>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</si>
  <si>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</si>
  <si>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</si>
  <si>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</si>
  <si>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</si>
  <si>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</si>
  <si>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</si>
  <si>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</si>
  <si>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</si>
  <si>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</si>
  <si>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</si>
  <si>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</si>
  <si>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</si>
  <si>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</si>
  <si>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</si>
  <si>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</si>
  <si>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</si>
  <si>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</si>
  <si>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</si>
  <si>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</si>
  <si>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</si>
  <si>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</si>
  <si>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</si>
  <si>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</si>
  <si>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</si>
  <si>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</si>
  <si>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</si>
  <si>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</si>
  <si>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</si>
  <si>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</si>
  <si>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</si>
  <si>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</si>
  <si>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</si>
  <si>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</si>
  <si>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</si>
  <si>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</si>
  <si>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</si>
  <si>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</si>
  <si>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</si>
  <si>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</si>
  <si>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</si>
  <si>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</si>
  <si>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</si>
  <si>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</si>
  <si>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</si>
  <si>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</si>
  <si>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</si>
  <si>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</si>
  <si>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</si>
  <si>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</si>
  <si>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</si>
  <si>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</si>
  <si>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</si>
  <si>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</si>
  <si>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</si>
  <si>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</si>
  <si>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</si>
  <si>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</si>
  <si>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</si>
  <si>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</si>
  <si>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</si>
  <si>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</si>
  <si>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</si>
  <si>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</si>
  <si>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</si>
  <si>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</si>
  <si>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</si>
  <si>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</si>
  <si>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</si>
  <si>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</si>
  <si>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</si>
  <si>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</si>
  <si>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</si>
  <si>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</si>
  <si>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</si>
  <si>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</si>
  <si>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</si>
  <si>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</si>
  <si>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</si>
  <si>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</si>
  <si>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</si>
  <si>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</si>
  <si>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</si>
  <si>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</si>
  <si>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</si>
  <si>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</si>
  <si>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</si>
  <si>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</si>
  <si>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</si>
  <si>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</si>
  <si>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</si>
  <si>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</si>
  <si>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</si>
  <si>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</si>
  <si>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</si>
  <si>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</si>
  <si>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</si>
  <si>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</si>
  <si>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</si>
  <si>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</si>
  <si>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</si>
  <si>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</si>
  <si>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</si>
  <si>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</si>
  <si>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</si>
  <si>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</si>
  <si>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</si>
  <si>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</si>
  <si>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</si>
  <si>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</si>
  <si>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</si>
  <si>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</si>
  <si>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</si>
  <si>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</si>
  <si>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</si>
  <si>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</si>
  <si>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</si>
  <si>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</si>
  <si>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</si>
  <si>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</si>
  <si>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</si>
  <si>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</si>
  <si>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</si>
  <si>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</si>
  <si>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</si>
  <si>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</si>
  <si>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</si>
  <si>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</si>
  <si>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</si>
  <si>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</si>
  <si>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</si>
  <si>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</si>
  <si>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</si>
  <si>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</si>
  <si>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</si>
  <si>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</si>
  <si>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</si>
  <si>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</si>
  <si>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</si>
  <si>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</si>
  <si>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</si>
  <si>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</si>
  <si>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</si>
  <si>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</si>
  <si>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</si>
  <si>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</si>
  <si>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</si>
  <si>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</si>
  <si>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</si>
  <si>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</si>
  <si>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</si>
  <si>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</si>
  <si>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</si>
  <si>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</si>
  <si>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</si>
  <si>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</si>
  <si>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</si>
  <si>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</si>
  <si>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</si>
  <si>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</si>
  <si>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</si>
  <si>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</si>
  <si>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</si>
  <si>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</si>
  <si>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</si>
  <si>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</si>
  <si>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</si>
  <si>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</si>
  <si>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</si>
  <si>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</si>
  <si>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</si>
  <si>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</si>
  <si>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</si>
  <si>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</si>
  <si>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</si>
  <si>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</si>
  <si>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</si>
  <si>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</si>
  <si>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</si>
  <si>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</si>
  <si>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</si>
  <si>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</si>
  <si>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</si>
  <si>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</si>
  <si>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</si>
  <si>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</si>
  <si>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</si>
  <si>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</si>
  <si>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</si>
  <si>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</si>
  <si>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</si>
  <si>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</si>
  <si>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</si>
  <si>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</si>
  <si>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</si>
  <si>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</si>
  <si>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</si>
  <si>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</si>
  <si>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</si>
  <si>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</si>
  <si>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</si>
  <si>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</si>
  <si>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</si>
  <si>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</si>
  <si>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</si>
  <si>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</si>
  <si>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</si>
  <si>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</si>
  <si>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</si>
  <si>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</si>
  <si>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</si>
  <si>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</si>
  <si>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</si>
  <si>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</si>
  <si>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</si>
  <si>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</si>
  <si>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</si>
  <si>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</si>
  <si>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</si>
  <si>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</si>
  <si>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</si>
  <si>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</si>
  <si>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</si>
  <si>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</si>
  <si>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</si>
  <si>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</si>
  <si>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</si>
  <si>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</si>
  <si>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</si>
  <si>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</si>
  <si>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</si>
  <si>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</si>
  <si>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</si>
  <si>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</si>
  <si>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</si>
  <si>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</si>
  <si>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</si>
  <si>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</si>
  <si>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</si>
  <si>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</si>
  <si>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</si>
  <si>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</si>
  <si>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</si>
  <si>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</si>
  <si>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</si>
  <si>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</si>
  <si>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</si>
  <si>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</si>
  <si>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</si>
  <si>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</si>
  <si>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</si>
  <si>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</si>
  <si>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</si>
  <si>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</si>
  <si>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</si>
  <si>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</si>
  <si>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</si>
  <si>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</si>
  <si>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</si>
  <si>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</si>
  <si>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</si>
  <si>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</si>
  <si>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</si>
  <si>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</si>
  <si>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</si>
  <si>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</si>
  <si>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</si>
  <si>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</si>
  <si>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</si>
  <si>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</si>
  <si>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</si>
  <si>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</si>
  <si>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</si>
  <si>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</si>
  <si>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</si>
  <si>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</si>
  <si>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</si>
  <si>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</si>
  <si>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</si>
  <si>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</si>
  <si>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</si>
  <si>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</si>
  <si>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</si>
  <si>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</si>
  <si>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</si>
  <si>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</si>
  <si>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</si>
  <si>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</si>
  <si>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</si>
  <si>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</si>
  <si>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</si>
  <si>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</si>
  <si>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</si>
  <si>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</si>
  <si>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</si>
  <si>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</si>
  <si>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</si>
  <si>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</si>
  <si>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</si>
  <si>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</si>
  <si>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</si>
  <si>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</si>
  <si>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</si>
  <si>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</si>
  <si>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</si>
  <si>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</si>
  <si>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</si>
  <si>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</si>
  <si>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</si>
  <si>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</si>
  <si>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</si>
  <si>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</si>
  <si>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</si>
  <si>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</si>
  <si>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</si>
  <si>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</si>
  <si>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</si>
  <si>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</si>
  <si>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</si>
  <si>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</si>
  <si>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</si>
  <si>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</si>
  <si>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</si>
  <si>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</si>
  <si>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</si>
  <si>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</si>
  <si>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</si>
  <si>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</si>
  <si>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</si>
  <si>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</si>
  <si>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</si>
  <si>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</si>
  <si>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</si>
  <si>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</si>
  <si>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</si>
  <si>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</si>
  <si>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</si>
  <si>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</si>
  <si>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</si>
  <si>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</si>
  <si>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</si>
  <si>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</si>
  <si>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</si>
  <si>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</si>
  <si>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</si>
  <si>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</si>
  <si>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</si>
  <si>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</si>
  <si>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</si>
  <si>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</si>
  <si>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</si>
  <si>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</si>
  <si>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</si>
  <si>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</si>
  <si>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</si>
  <si>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</si>
  <si>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</si>
  <si>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</si>
  <si>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</si>
  <si>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</si>
  <si>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</si>
  <si>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</si>
  <si>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</si>
  <si>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</si>
  <si>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</si>
  <si>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</si>
  <si>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</si>
  <si>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</si>
  <si>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</si>
  <si>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</si>
  <si>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</si>
  <si>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</si>
  <si>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</si>
  <si>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</si>
  <si>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</si>
  <si>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</si>
  <si>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</si>
  <si>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</si>
  <si>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</si>
  <si>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</si>
  <si>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</si>
  <si>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</si>
  <si>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</si>
  <si>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</si>
  <si>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</si>
  <si>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</si>
  <si>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</si>
  <si>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</si>
  <si>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</si>
  <si>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</si>
  <si>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</si>
  <si>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</si>
  <si>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</si>
  <si>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</si>
  <si>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</si>
  <si>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</si>
  <si>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</si>
  <si>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</si>
  <si>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</si>
  <si>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</si>
  <si>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</si>
  <si>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</si>
  <si>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</si>
  <si>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</si>
  <si>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</si>
  <si>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</si>
  <si>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</si>
  <si>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</si>
  <si>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</si>
  <si>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</si>
  <si>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</si>
  <si>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</si>
  <si>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</si>
  <si>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</si>
  <si>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</si>
  <si>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</si>
  <si>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</si>
  <si>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</si>
  <si>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</si>
  <si>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</si>
  <si>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</si>
  <si>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</si>
  <si>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</si>
  <si>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</si>
  <si>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</si>
  <si>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</si>
  <si>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</si>
  <si>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</si>
  <si>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</si>
  <si>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</si>
  <si>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</si>
  <si>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</si>
  <si>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</si>
  <si>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</si>
  <si>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</si>
  <si>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</si>
  <si>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</si>
  <si>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</si>
  <si>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</si>
  <si>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</si>
  <si>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</si>
  <si>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</si>
  <si>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</si>
  <si>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</si>
  <si>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</si>
  <si>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</si>
  <si>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</si>
  <si>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</si>
  <si>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</si>
  <si>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</si>
  <si>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</si>
  <si>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</si>
  <si>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</si>
  <si>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</si>
  <si>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</si>
  <si>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</si>
  <si>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</si>
  <si>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</si>
  <si>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</si>
  <si>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</si>
  <si>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</si>
  <si>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</si>
  <si>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</si>
  <si>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</si>
  <si>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</si>
  <si>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</si>
  <si>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</si>
  <si>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</si>
  <si>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</si>
  <si>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</si>
  <si>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</si>
  <si>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</si>
  <si>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</si>
  <si>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</si>
  <si>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</si>
  <si>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</si>
  <si>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</si>
  <si>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</si>
  <si>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</si>
  <si>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</si>
  <si>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</si>
  <si>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</si>
  <si>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</si>
  <si>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</si>
  <si>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</si>
  <si>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</si>
  <si>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</si>
  <si>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</si>
  <si>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</si>
  <si>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</si>
  <si>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</si>
  <si>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</si>
  <si>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</si>
  <si>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</si>
  <si>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</si>
  <si>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</si>
  <si>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</si>
  <si>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</si>
  <si>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</si>
  <si>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</si>
  <si>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</si>
  <si>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</si>
  <si>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</si>
  <si>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</si>
  <si>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</si>
  <si>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</si>
  <si>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</si>
  <si>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</si>
  <si>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</si>
  <si>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</si>
  <si>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</si>
  <si>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</si>
  <si>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</si>
  <si>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</si>
  <si>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</si>
  <si>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</si>
  <si>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</si>
  <si>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</si>
  <si>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</si>
  <si>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</si>
  <si>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</si>
  <si>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</si>
  <si>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</si>
  <si>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</si>
  <si>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</si>
  <si>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</si>
  <si>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</si>
  <si>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</si>
  <si>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</si>
  <si>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</si>
  <si>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</si>
  <si>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</si>
  <si>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</si>
  <si>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</si>
  <si>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</si>
  <si>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</si>
  <si>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</si>
  <si>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</si>
  <si>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</si>
  <si>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</si>
  <si>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</si>
  <si>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</si>
  <si>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</si>
  <si>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</si>
  <si>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</si>
  <si>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</si>
  <si>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</si>
  <si>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</si>
  <si>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</si>
  <si>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</si>
  <si>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</si>
  <si>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</si>
  <si>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</si>
  <si>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</si>
  <si>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</si>
  <si>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</si>
  <si>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</si>
  <si>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</si>
  <si>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</si>
  <si>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</si>
  <si>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</si>
  <si>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</si>
  <si>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</si>
  <si>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</si>
  <si>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</si>
  <si>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</si>
  <si>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</si>
  <si>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</si>
  <si>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</si>
  <si>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</si>
  <si>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</si>
  <si>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</si>
  <si>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</si>
  <si>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</si>
  <si>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</si>
  <si>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</si>
  <si>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</si>
  <si>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</si>
  <si>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</si>
  <si>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</si>
  <si>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</si>
  <si>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</si>
  <si>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</si>
  <si>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</si>
  <si>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</si>
  <si>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</si>
  <si>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</si>
  <si>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</si>
  <si>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</si>
  <si>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</si>
  <si>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</si>
  <si>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</si>
  <si>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</si>
  <si>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</si>
  <si>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</si>
  <si>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</si>
  <si>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</si>
  <si>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</si>
  <si>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</si>
  <si>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</si>
  <si>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</si>
  <si>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</si>
  <si>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</si>
  <si>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</si>
  <si>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</si>
  <si>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</si>
  <si>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</si>
  <si>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</si>
  <si>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</si>
  <si>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</si>
  <si>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</si>
  <si>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</si>
  <si>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</si>
  <si>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</si>
  <si>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</si>
  <si>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</si>
  <si>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</si>
  <si>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</si>
  <si>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</si>
  <si>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</si>
  <si>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</si>
  <si>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</si>
  <si>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</si>
  <si>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</si>
  <si>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</si>
  <si>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</si>
  <si>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</si>
  <si>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</si>
  <si>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</si>
  <si>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</si>
  <si>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</si>
  <si>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</si>
  <si>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</si>
  <si>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</si>
  <si>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</si>
  <si>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</si>
  <si>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</si>
  <si>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</si>
  <si>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</si>
  <si>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</si>
  <si>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</si>
  <si>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</si>
  <si>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</si>
  <si>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</si>
  <si>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</si>
  <si>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</si>
  <si>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</si>
  <si>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</si>
  <si>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</si>
  <si>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</si>
  <si>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</si>
  <si>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</si>
  <si>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</si>
  <si>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</si>
  <si>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</si>
  <si>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</si>
  <si>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</si>
  <si>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</si>
  <si>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</si>
  <si>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</si>
  <si>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</si>
  <si>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</si>
  <si>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</si>
  <si>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</si>
  <si>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</si>
  <si>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</si>
  <si>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</si>
  <si>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</si>
  <si>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</si>
  <si>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</si>
  <si>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</si>
  <si>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</si>
  <si>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</si>
  <si>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</si>
  <si>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</si>
  <si>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</si>
  <si>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</si>
  <si>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</si>
  <si>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</si>
  <si>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</si>
  <si>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</si>
  <si>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</si>
  <si>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</si>
  <si>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</si>
  <si>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</si>
  <si>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</si>
  <si>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</si>
  <si>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</si>
  <si>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</si>
  <si>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</si>
  <si>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</si>
  <si>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</si>
  <si>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</si>
  <si>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</si>
  <si>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</si>
  <si>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</si>
  <si>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</si>
  <si>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</si>
  <si>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</si>
  <si>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</si>
  <si>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</si>
  <si>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</si>
  <si>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</si>
  <si>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</si>
  <si>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</si>
  <si>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</si>
  <si>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</si>
  <si>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</si>
  <si>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</si>
  <si>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</si>
  <si>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</si>
  <si>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</si>
  <si>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</si>
  <si>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</si>
  <si>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</si>
  <si>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</si>
  <si>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</si>
  <si>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</si>
  <si>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</si>
  <si>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</si>
  <si>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</si>
  <si>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</si>
  <si>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</si>
  <si>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</si>
  <si>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</si>
  <si>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</si>
  <si>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</si>
  <si>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</si>
  <si>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</si>
  <si>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</si>
  <si>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</si>
  <si>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</si>
  <si>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</si>
  <si>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</si>
  <si>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</si>
  <si>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</si>
  <si>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</si>
  <si>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</si>
  <si>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</si>
  <si>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</si>
  <si>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</si>
  <si>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</si>
  <si>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</si>
  <si>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</si>
  <si>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</si>
  <si>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</si>
  <si>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</si>
  <si>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</si>
  <si>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</si>
  <si>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</si>
  <si>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</si>
  <si>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</si>
  <si>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</si>
  <si>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</si>
  <si>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</si>
  <si>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</si>
  <si>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</si>
  <si>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</si>
  <si>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</si>
  <si>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</si>
  <si>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</si>
  <si>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</si>
  <si>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</si>
  <si>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</si>
  <si>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</si>
  <si>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</si>
  <si>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</si>
  <si>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</si>
  <si>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</si>
  <si>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</si>
  <si>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</si>
  <si>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</si>
  <si>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</si>
  <si>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</si>
  <si>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</si>
  <si>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</si>
  <si>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</si>
  <si>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</si>
  <si>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</si>
  <si>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</si>
  <si>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</si>
  <si>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</si>
  <si>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</si>
  <si>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</si>
  <si>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</si>
  <si>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</si>
  <si>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</si>
  <si>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</si>
  <si>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</si>
  <si>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</si>
  <si>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</si>
  <si>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</si>
  <si>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</si>
  <si>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</si>
  <si>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</si>
  <si>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</si>
  <si>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</si>
  <si>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</si>
  <si>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</si>
  <si>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</si>
  <si>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</si>
  <si>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</si>
  <si>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</si>
  <si>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</si>
  <si>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</si>
  <si>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</si>
  <si>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</si>
  <si>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</si>
  <si>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</si>
  <si>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</si>
  <si>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</si>
  <si>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</si>
  <si>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</si>
  <si>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</si>
  <si>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</si>
  <si>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</si>
  <si>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</si>
  <si>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</si>
  <si>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</si>
  <si>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</si>
  <si>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</si>
  <si>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</si>
  <si>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</si>
  <si>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</si>
  <si>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</si>
  <si>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</si>
  <si>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</si>
  <si>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</si>
  <si>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</si>
  <si>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</si>
  <si>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</si>
  <si>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</si>
  <si>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</si>
  <si>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</si>
  <si>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</si>
  <si>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</si>
  <si>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</si>
  <si>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</si>
  <si>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</si>
  <si>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</si>
  <si>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</si>
  <si>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</si>
  <si>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</si>
  <si>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</si>
  <si>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</si>
  <si>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</si>
  <si>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</si>
  <si>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</si>
  <si>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</si>
  <si>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</si>
  <si>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</si>
  <si>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</si>
  <si>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</si>
  <si>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</si>
  <si>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</si>
  <si>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</si>
  <si>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</si>
  <si>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</si>
  <si>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</si>
  <si>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</si>
  <si>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</si>
  <si>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</si>
  <si>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</si>
  <si>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</si>
  <si>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</si>
  <si>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</si>
  <si>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</si>
  <si>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</si>
  <si>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</si>
  <si>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</si>
  <si>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</si>
  <si>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</si>
  <si>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</si>
  <si>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</si>
  <si>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</si>
  <si>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</si>
  <si>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</si>
  <si>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</si>
  <si>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</si>
  <si>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</si>
  <si>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</si>
  <si>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</si>
  <si>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</si>
  <si>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</si>
  <si>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</si>
  <si>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</si>
  <si>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</si>
  <si>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</si>
  <si>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</si>
  <si>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</si>
  <si>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</si>
  <si>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</si>
  <si>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</si>
  <si>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</si>
  <si>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</si>
  <si>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</si>
  <si>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</si>
  <si>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</si>
  <si>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</si>
  <si>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</si>
  <si>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</si>
  <si>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</si>
  <si>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</si>
  <si>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</si>
  <si>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</si>
  <si>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</si>
  <si>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</si>
  <si>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</si>
  <si>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</si>
  <si>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</si>
  <si>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</si>
  <si>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</si>
  <si>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</si>
  <si>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</si>
  <si>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</si>
  <si>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</si>
  <si>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</si>
  <si>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</si>
  <si>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</si>
  <si>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</si>
  <si>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</si>
  <si>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</si>
  <si>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</si>
  <si>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</si>
  <si>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</si>
  <si>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</si>
  <si>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</si>
  <si>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</si>
  <si>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</si>
  <si>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</si>
  <si>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</si>
  <si>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</si>
  <si>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</si>
  <si>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</si>
  <si>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</si>
  <si>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</si>
  <si>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</si>
  <si>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</si>
  <si>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</si>
  <si>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</si>
  <si>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</si>
  <si>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</si>
  <si>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</si>
  <si>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</si>
  <si>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</si>
  <si>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</si>
  <si>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</si>
  <si>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</si>
  <si>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</si>
  <si>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</si>
  <si>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</si>
  <si>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</si>
  <si>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</si>
  <si>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</si>
  <si>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</si>
  <si>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</si>
  <si>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</si>
  <si>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</si>
  <si>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</si>
  <si>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</si>
  <si>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</si>
  <si>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</si>
  <si>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</si>
  <si>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</si>
  <si>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</si>
  <si>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</si>
  <si>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</si>
  <si>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</si>
  <si>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</si>
  <si>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</si>
  <si>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</si>
  <si>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</si>
  <si>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</si>
  <si>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</si>
  <si>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</si>
  <si>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</si>
  <si>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</si>
  <si>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</si>
  <si>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</si>
  <si>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</si>
  <si>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</si>
  <si>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</si>
  <si>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</si>
  <si>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</si>
  <si>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</si>
  <si>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</si>
  <si>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</si>
  <si>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</si>
  <si>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</si>
  <si>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</si>
  <si>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</si>
  <si>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</si>
  <si>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</si>
  <si>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</si>
  <si>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</si>
  <si>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</si>
  <si>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</si>
  <si>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</si>
  <si>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</si>
  <si>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</si>
  <si>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</si>
  <si>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</si>
  <si>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</si>
  <si>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</si>
  <si>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</si>
  <si>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</si>
  <si>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</si>
  <si>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</si>
  <si>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</si>
  <si>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</si>
  <si>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</si>
  <si>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</si>
  <si>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</si>
  <si>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</si>
  <si>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</si>
  <si>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</si>
  <si>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</si>
  <si>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</si>
  <si>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</si>
  <si>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</si>
  <si>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</si>
  <si>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</si>
  <si>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</si>
  <si>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</si>
  <si>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</si>
  <si>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</si>
  <si>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</si>
  <si>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</si>
  <si>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</si>
  <si>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</si>
  <si>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</si>
  <si>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</si>
  <si>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</si>
  <si>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</si>
  <si>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</si>
  <si>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</si>
  <si>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</si>
  <si>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</si>
  <si>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</si>
  <si>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</si>
  <si>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</si>
  <si>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</si>
  <si>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</si>
  <si>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</si>
  <si>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</si>
  <si>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</si>
  <si>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</si>
  <si>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</si>
  <si>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</si>
  <si>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</si>
  <si>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</si>
  <si>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</si>
  <si>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</si>
  <si>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</si>
  <si>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</si>
  <si>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</si>
  <si>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</si>
  <si>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</si>
  <si>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</si>
  <si>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</si>
  <si>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</si>
  <si>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</si>
  <si>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</si>
  <si>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</si>
  <si>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</si>
  <si>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</si>
  <si>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</si>
  <si>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</si>
  <si>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</si>
  <si>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</si>
  <si>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</si>
  <si>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</si>
  <si>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</si>
  <si>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</si>
  <si>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</si>
  <si>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</si>
  <si>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</si>
  <si>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</si>
  <si>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</si>
  <si>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</si>
  <si>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</si>
  <si>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</si>
  <si>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</si>
  <si>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</si>
  <si>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</si>
  <si>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</si>
  <si>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</si>
  <si>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</si>
  <si>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</si>
  <si>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</si>
  <si>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</si>
  <si>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</si>
  <si>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</si>
  <si>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</si>
  <si>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</si>
  <si>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</si>
  <si>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</si>
  <si>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</si>
  <si>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</si>
  <si>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</si>
  <si>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</si>
  <si>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</si>
  <si>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</si>
  <si>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</si>
  <si>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</si>
  <si>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</si>
  <si>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</si>
  <si>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</si>
  <si>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</si>
  <si>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</si>
  <si>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</si>
  <si>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</si>
  <si>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</si>
  <si>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</si>
  <si>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</si>
  <si>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</si>
  <si>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</si>
  <si>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</si>
  <si>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</si>
  <si>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</si>
  <si>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</si>
  <si>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</si>
  <si>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</si>
  <si>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</si>
  <si>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</si>
  <si>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</si>
  <si>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</si>
  <si>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</si>
  <si>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</si>
  <si>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</si>
  <si>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</si>
  <si>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</si>
  <si>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</si>
  <si>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</si>
  <si>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</si>
  <si>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</si>
  <si>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</si>
  <si>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</si>
  <si>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</si>
  <si>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</si>
  <si>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</si>
  <si>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</si>
  <si>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</si>
  <si>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</si>
  <si>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</si>
  <si>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</si>
  <si>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</si>
  <si>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</si>
  <si>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</si>
  <si>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</si>
  <si>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</si>
  <si>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</si>
  <si>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</si>
  <si>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</si>
  <si>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</si>
  <si>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</si>
  <si>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</si>
  <si>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</si>
  <si>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</si>
  <si>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</si>
  <si>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</si>
  <si>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</si>
  <si>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</si>
  <si>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</si>
  <si>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</si>
  <si>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</si>
  <si>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</si>
  <si>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</si>
  <si>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</si>
  <si>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</si>
  <si>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</si>
  <si>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</si>
  <si>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</si>
  <si>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</si>
  <si>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</si>
  <si>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</si>
  <si>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</si>
  <si>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</si>
  <si>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</si>
  <si>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</si>
  <si>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</si>
  <si>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</si>
  <si>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</si>
  <si>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</si>
  <si>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</si>
  <si>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</si>
  <si>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</si>
  <si>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</si>
  <si>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</si>
  <si>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</si>
  <si>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</si>
  <si>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</si>
  <si>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</si>
  <si>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</si>
  <si>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</si>
  <si>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</si>
  <si>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</si>
  <si>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</si>
  <si>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</si>
  <si>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</si>
  <si>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</si>
  <si>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</si>
  <si>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</si>
  <si>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</si>
  <si>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</si>
  <si>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</si>
  <si>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</si>
  <si>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</si>
  <si>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</si>
  <si>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</si>
  <si>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</si>
  <si>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</si>
  <si>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</si>
  <si>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</si>
  <si>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</si>
  <si>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</si>
  <si>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</si>
  <si>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</si>
  <si>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</si>
  <si>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</si>
  <si>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</si>
  <si>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</si>
  <si>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</si>
  <si>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</si>
  <si>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</si>
  <si>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</si>
  <si>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</si>
  <si>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</si>
  <si>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</si>
  <si>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</si>
  <si>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</si>
  <si>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</si>
  <si>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</si>
  <si>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</si>
  <si>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</si>
  <si>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</si>
  <si>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</si>
  <si>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</si>
  <si>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</si>
  <si>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</si>
  <si>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</si>
  <si>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</si>
  <si>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</si>
  <si>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</si>
  <si>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</si>
  <si>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</si>
  <si>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</si>
  <si>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</si>
  <si>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</si>
  <si>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</si>
  <si>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</si>
  <si>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</si>
  <si>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</si>
  <si>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</si>
  <si>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</si>
  <si>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</si>
  <si>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</si>
  <si>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</si>
  <si>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</si>
  <si>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</si>
  <si>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</si>
  <si>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</si>
  <si>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</si>
  <si>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</si>
  <si>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</si>
  <si>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</si>
  <si>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</si>
  <si>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</si>
  <si>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</si>
  <si>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</si>
  <si>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</si>
  <si>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</si>
  <si>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</si>
  <si>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</si>
  <si>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</si>
  <si>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</si>
  <si>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</si>
  <si>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</si>
  <si>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</si>
  <si>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</si>
  <si>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</si>
  <si>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</si>
  <si>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</si>
  <si>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</si>
  <si>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</si>
  <si>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</si>
  <si>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</si>
  <si>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</si>
  <si>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</si>
  <si>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</si>
  <si>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</si>
  <si>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</si>
  <si>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</si>
  <si>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</si>
  <si>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</si>
  <si>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</si>
  <si>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</si>
  <si>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</si>
  <si>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</si>
  <si>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</si>
  <si>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</si>
  <si>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</si>
  <si>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</si>
  <si>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</si>
  <si>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</si>
  <si>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</si>
  <si>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</si>
  <si>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</si>
  <si>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</si>
  <si>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</si>
  <si>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</si>
  <si>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</si>
  <si>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</si>
  <si>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</si>
  <si>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</si>
  <si>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</si>
  <si>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</si>
  <si>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</si>
  <si>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</si>
  <si>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</si>
  <si>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</si>
  <si>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</si>
  <si>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</si>
  <si>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</si>
  <si>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</si>
  <si>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</si>
  <si>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</si>
  <si>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</si>
  <si>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</si>
  <si>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</si>
  <si>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</si>
  <si>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</si>
  <si>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</si>
  <si>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</si>
  <si>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</si>
  <si>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</si>
  <si>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</si>
  <si>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</si>
  <si>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</si>
  <si>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</si>
  <si>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</si>
  <si>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</si>
  <si>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</si>
  <si>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</si>
  <si>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</si>
  <si>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</si>
  <si>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</si>
  <si>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</si>
  <si>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</si>
  <si>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</si>
  <si>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</si>
  <si>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</si>
  <si>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</si>
  <si>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</si>
  <si>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</si>
  <si>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</si>
  <si>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</si>
  <si>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</si>
  <si>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</si>
  <si>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</si>
  <si>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</si>
  <si>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</si>
  <si>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</si>
  <si>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</si>
  <si>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</si>
  <si>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</si>
  <si>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</si>
  <si>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</si>
  <si>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</si>
  <si>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</si>
  <si>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</si>
  <si>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</si>
  <si>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</si>
  <si>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</si>
  <si>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</si>
  <si>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</si>
  <si>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</si>
  <si>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</si>
  <si>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</si>
  <si>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</si>
  <si>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</si>
  <si>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</si>
  <si>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</si>
  <si>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</si>
  <si>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</si>
  <si>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</si>
  <si>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</si>
  <si>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</si>
  <si>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</si>
  <si>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</si>
  <si>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</si>
  <si>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</si>
  <si>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</si>
  <si>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</si>
  <si>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</si>
  <si>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</si>
  <si>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</si>
  <si>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</si>
  <si>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</si>
  <si>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</si>
  <si>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</si>
  <si>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</si>
  <si>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</si>
  <si>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</si>
  <si>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</si>
  <si>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</si>
  <si>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</si>
  <si>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</si>
  <si>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</si>
  <si>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</si>
  <si>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</si>
  <si>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</si>
  <si>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</si>
  <si>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</si>
  <si>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</si>
  <si>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</si>
  <si>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</si>
  <si>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</si>
  <si>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</si>
  <si>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</si>
  <si>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</si>
  <si>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</si>
  <si>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</si>
  <si>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</si>
  <si>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</si>
  <si>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</si>
  <si>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</si>
  <si>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</si>
  <si>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</si>
  <si>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</si>
  <si>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</si>
  <si>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</si>
  <si>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</si>
  <si>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</si>
  <si>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</si>
  <si>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</si>
  <si>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</si>
  <si>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</si>
  <si>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</si>
  <si>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</si>
  <si>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</si>
  <si>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</si>
  <si>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</si>
  <si>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</si>
  <si>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</si>
  <si>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</si>
  <si>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</si>
  <si>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</si>
  <si>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</si>
  <si>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</si>
  <si>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</si>
  <si>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</si>
  <si>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</si>
  <si>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</si>
  <si>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</si>
  <si>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</si>
  <si>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</si>
  <si>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</si>
  <si>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</si>
  <si>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</si>
  <si>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</si>
  <si>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</si>
  <si>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</si>
  <si>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</si>
  <si>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</si>
  <si>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</si>
  <si>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</si>
  <si>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</si>
  <si>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</si>
  <si>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</si>
  <si>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</si>
  <si>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</si>
  <si>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</si>
  <si>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</si>
  <si>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</si>
  <si>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</si>
  <si>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</si>
  <si>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</si>
  <si>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</si>
  <si>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</si>
  <si>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</si>
  <si>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</si>
  <si>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</si>
  <si>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</si>
  <si>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</si>
  <si>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</si>
  <si>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</si>
  <si>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</si>
  <si>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</si>
  <si>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</si>
  <si>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</si>
  <si>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</si>
  <si>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</si>
  <si>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</si>
  <si>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</si>
  <si>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</si>
  <si>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</si>
  <si>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</si>
  <si>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</si>
  <si>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</si>
  <si>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</si>
  <si>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</si>
  <si>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</si>
  <si>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</si>
  <si>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</si>
  <si>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</si>
  <si>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</si>
  <si>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</si>
  <si>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</si>
  <si>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</si>
  <si>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</si>
  <si>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</si>
  <si>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</si>
  <si>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</si>
  <si>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</si>
  <si>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</si>
  <si>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</si>
  <si>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</si>
  <si>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</si>
  <si>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</si>
  <si>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</si>
  <si>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</si>
  <si>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</si>
  <si>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</si>
  <si>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</si>
  <si>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</si>
  <si>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</si>
  <si>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</si>
  <si>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</si>
  <si>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</si>
  <si>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</si>
  <si>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</si>
  <si>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</si>
  <si>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</si>
  <si>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</si>
  <si>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</si>
  <si>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</si>
  <si>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</si>
  <si>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</si>
  <si>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</si>
  <si>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</si>
  <si>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</si>
  <si>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</si>
  <si>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</si>
  <si>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</si>
  <si>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</si>
  <si>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</si>
  <si>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</si>
  <si>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</si>
  <si>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</si>
  <si>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</si>
  <si>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</si>
  <si>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</si>
  <si>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</si>
  <si>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</si>
  <si>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</si>
  <si>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</si>
  <si>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</si>
  <si>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</si>
  <si>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</si>
  <si>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</si>
  <si>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</si>
  <si>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</si>
  <si>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</si>
  <si>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</si>
  <si>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</si>
  <si>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</si>
  <si>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</si>
  <si>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</si>
  <si>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</si>
  <si>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</si>
  <si>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</si>
  <si>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</si>
  <si>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</si>
  <si>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</si>
  <si>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</si>
  <si>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</si>
  <si>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</si>
  <si>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</si>
  <si>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</si>
  <si>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</si>
  <si>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</si>
  <si>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</si>
  <si>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</si>
  <si>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</si>
  <si>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</si>
  <si>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</si>
  <si>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</si>
  <si>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</si>
  <si>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</si>
  <si>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</si>
  <si>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</si>
  <si>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</si>
  <si>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</si>
  <si>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</si>
  <si>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</si>
  <si>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</si>
  <si>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</si>
  <si>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</si>
  <si>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</si>
  <si>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</si>
  <si>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</si>
  <si>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</si>
  <si>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</si>
  <si>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</si>
  <si>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</si>
  <si>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</si>
  <si>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</si>
  <si>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</si>
  <si>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</si>
  <si>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</si>
  <si>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</si>
  <si>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</si>
  <si>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</si>
  <si>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</si>
  <si>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</si>
  <si>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</si>
  <si>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</si>
  <si>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</si>
  <si>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</si>
  <si>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</si>
  <si>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</si>
  <si>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</si>
  <si>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</si>
  <si>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</si>
  <si>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</si>
  <si>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</si>
  <si>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</si>
  <si>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</si>
  <si>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</si>
  <si>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</si>
  <si>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</si>
  <si>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</si>
  <si>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</si>
  <si>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</si>
  <si>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</si>
  <si>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</si>
  <si>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</si>
  <si>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</si>
  <si>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</si>
  <si>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</si>
  <si>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</si>
  <si>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</si>
  <si>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</si>
  <si>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</si>
  <si>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</si>
  <si>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</si>
  <si>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</si>
  <si>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</si>
  <si>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</si>
  <si>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</si>
  <si>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</si>
  <si>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</si>
  <si>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</si>
  <si>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</si>
  <si>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</si>
  <si>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</si>
  <si>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</si>
  <si>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</si>
  <si>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</si>
  <si>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</si>
  <si>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</si>
  <si>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</si>
  <si>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</si>
  <si>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</si>
  <si>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</si>
  <si>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</si>
  <si>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</si>
  <si>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</si>
  <si>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</si>
  <si>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</si>
  <si>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</si>
  <si>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</si>
  <si>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</si>
  <si>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</si>
  <si>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</si>
  <si>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</si>
  <si>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</si>
  <si>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</si>
  <si>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</si>
  <si>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</si>
  <si>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</si>
  <si>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</si>
  <si>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</si>
  <si>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</si>
  <si>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</si>
  <si>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</si>
  <si>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</si>
  <si>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</si>
  <si>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</si>
  <si>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</si>
  <si>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</si>
  <si>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</si>
  <si>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</si>
  <si>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</si>
  <si>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</si>
  <si>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</si>
  <si>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</si>
  <si>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</si>
  <si>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</si>
  <si>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</si>
  <si>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</si>
  <si>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</si>
  <si>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</si>
  <si>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</si>
  <si>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</si>
  <si>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</si>
  <si>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</si>
  <si>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</si>
  <si>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</si>
  <si>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</si>
  <si>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</si>
  <si>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</si>
  <si>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</si>
  <si>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</si>
  <si>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</si>
  <si>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</si>
  <si>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</si>
  <si>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</si>
  <si>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</si>
  <si>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</si>
  <si>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</si>
  <si>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</si>
  <si>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</si>
  <si>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</si>
  <si>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</si>
  <si>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</si>
  <si>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</si>
  <si>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</si>
  <si>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</si>
  <si>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</si>
  <si>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</si>
  <si>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</si>
  <si>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</si>
  <si>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</si>
  <si>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</si>
  <si>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</si>
  <si>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</si>
  <si>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</si>
  <si>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</si>
  <si>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</si>
  <si>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</si>
  <si>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</si>
  <si>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</si>
  <si>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</si>
  <si>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</si>
  <si>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</si>
  <si>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</si>
  <si>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</si>
  <si>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</si>
  <si>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</si>
  <si>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</si>
  <si>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</si>
  <si>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</si>
  <si>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</si>
  <si>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</si>
  <si>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</si>
  <si>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</si>
  <si>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</si>
  <si>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</si>
  <si>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</si>
  <si>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</si>
  <si>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</si>
  <si>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</si>
  <si>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</si>
  <si>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</si>
  <si>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</si>
  <si>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</si>
  <si>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</si>
  <si>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</si>
  <si>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</si>
  <si>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</si>
  <si>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</si>
  <si>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</si>
  <si>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</si>
  <si>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</si>
  <si>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</si>
  <si>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</si>
  <si>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</si>
  <si>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</si>
  <si>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</si>
  <si>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</si>
  <si>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</si>
  <si>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</si>
  <si>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</si>
  <si>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</si>
  <si>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</si>
  <si>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</si>
  <si>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</si>
  <si>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</si>
  <si>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</si>
  <si>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</si>
  <si>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</si>
  <si>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</si>
  <si>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</si>
  <si>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</si>
  <si>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</si>
  <si>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</si>
  <si>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</si>
  <si>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</si>
  <si>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</si>
  <si>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</si>
  <si>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</si>
  <si>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</si>
  <si>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</si>
  <si>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</si>
  <si>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</si>
  <si>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</si>
  <si>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</si>
  <si>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</si>
  <si>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</si>
  <si>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</si>
  <si>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</si>
  <si>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</si>
  <si>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</si>
  <si>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</si>
  <si>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</si>
  <si>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</si>
  <si>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</si>
  <si>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</si>
  <si>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</si>
  <si>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</si>
  <si>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</si>
  <si>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</si>
  <si>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</si>
  <si>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</si>
  <si>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</si>
  <si>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</si>
  <si>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</si>
  <si>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</si>
  <si>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</si>
  <si>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</si>
  <si>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</si>
  <si>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</si>
  <si>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</si>
  <si>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</si>
  <si>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</si>
  <si>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</si>
  <si>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</si>
  <si>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</si>
  <si>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</si>
  <si>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</si>
  <si>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</si>
  <si>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</si>
  <si>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</si>
  <si>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</si>
  <si>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</si>
  <si>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</si>
  <si>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</si>
  <si>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</si>
  <si>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</si>
  <si>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</si>
  <si>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</si>
  <si>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</si>
  <si>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</si>
  <si>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</si>
  <si>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</si>
  <si>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</si>
  <si>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</si>
  <si>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</si>
  <si>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</si>
  <si>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</si>
  <si>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</si>
  <si>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</si>
  <si>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</si>
  <si>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</si>
  <si>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</si>
  <si>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</si>
  <si>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</si>
  <si>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</si>
  <si>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</si>
  <si>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</si>
  <si>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</si>
  <si>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</si>
  <si>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</si>
  <si>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</si>
  <si>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</si>
  <si>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</si>
  <si>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</si>
  <si>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</si>
  <si>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</si>
  <si>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</si>
  <si>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</si>
  <si>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</si>
  <si>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</si>
  <si>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</si>
  <si>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</si>
  <si>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</si>
  <si>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</si>
  <si>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</si>
  <si>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</si>
  <si>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</si>
  <si>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</si>
  <si>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</si>
  <si>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</si>
  <si>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</si>
  <si>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</si>
  <si>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</si>
  <si>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</si>
  <si>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</si>
  <si>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</si>
  <si>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</si>
  <si>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</si>
  <si>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</si>
  <si>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</si>
  <si>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</si>
  <si>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</si>
  <si>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</si>
  <si>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</si>
  <si>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</si>
  <si>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</si>
  <si>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</si>
  <si>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</si>
  <si>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</si>
  <si>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</si>
  <si>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</si>
  <si>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</si>
  <si>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</si>
  <si>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</si>
  <si>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</si>
  <si>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</si>
  <si>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</si>
  <si>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</si>
  <si>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</si>
  <si>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</si>
  <si>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</si>
  <si>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</si>
  <si>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</si>
  <si>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</si>
  <si>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</si>
  <si>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</si>
  <si>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</si>
  <si>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</si>
  <si>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</si>
  <si>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</si>
  <si>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</si>
  <si>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</si>
  <si>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</si>
  <si>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</si>
  <si>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</si>
  <si>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</si>
  <si>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</si>
  <si>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</si>
  <si>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</si>
  <si>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</si>
  <si>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</si>
  <si>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</si>
  <si>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</si>
  <si>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</si>
  <si>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</si>
  <si>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</si>
  <si>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</si>
  <si>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</si>
  <si>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</si>
  <si>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</si>
  <si>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</si>
  <si>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</si>
  <si>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</si>
  <si>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</si>
  <si>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</si>
  <si>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</si>
  <si>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</si>
  <si>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</si>
  <si>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</si>
  <si>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</si>
  <si>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</si>
  <si>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</si>
  <si>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</si>
  <si>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</si>
  <si>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</si>
  <si>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</si>
  <si>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</si>
  <si>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</si>
  <si>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</si>
  <si>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</si>
  <si>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</si>
  <si>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</si>
  <si>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</si>
  <si>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</si>
  <si>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</si>
  <si>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</si>
  <si>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</si>
  <si>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</si>
  <si>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</si>
  <si>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</si>
  <si>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</si>
  <si>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</si>
  <si>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</si>
  <si>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</si>
  <si>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</si>
  <si>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</si>
  <si>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</si>
  <si>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</si>
  <si>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</si>
  <si>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</si>
  <si>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</si>
  <si>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</si>
  <si>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</si>
  <si>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</si>
  <si>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</si>
  <si>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</si>
  <si>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</si>
  <si>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</si>
  <si>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</si>
  <si>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</si>
  <si>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</si>
  <si>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</si>
  <si>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</si>
  <si>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</si>
  <si>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</si>
  <si>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</si>
  <si>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</si>
  <si>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</si>
  <si>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</si>
  <si>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</si>
  <si>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</si>
  <si>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</si>
  <si>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</si>
  <si>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</si>
  <si>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</si>
  <si>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</si>
  <si>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</si>
  <si>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</si>
  <si>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</si>
  <si>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</si>
  <si>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</si>
  <si>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</si>
  <si>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</si>
  <si>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</si>
  <si>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</si>
  <si>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</si>
  <si>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</si>
  <si>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</si>
  <si>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</si>
  <si>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</si>
  <si>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</si>
  <si>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</si>
  <si>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</si>
  <si>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</si>
  <si>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</si>
  <si>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</si>
  <si>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</si>
  <si>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</si>
  <si>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</si>
  <si>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</si>
  <si>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</si>
  <si>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</si>
  <si>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</si>
  <si>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</si>
  <si>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</si>
  <si>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</si>
  <si>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</si>
  <si>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</si>
  <si>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</si>
  <si>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</si>
  <si>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</si>
  <si>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</si>
  <si>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</si>
  <si>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</si>
  <si>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</si>
  <si>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</si>
  <si>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</si>
  <si>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</si>
  <si>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</si>
  <si>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</si>
  <si>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</si>
  <si>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</si>
  <si>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</si>
  <si>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</si>
  <si>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</si>
  <si>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</si>
  <si>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</si>
  <si>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</si>
  <si>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</si>
  <si>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</si>
  <si>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</si>
  <si>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</si>
  <si>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</si>
  <si>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</si>
  <si>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</si>
  <si>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</si>
  <si>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</si>
  <si>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</si>
  <si>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</si>
  <si>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</si>
  <si>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</si>
  <si>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</si>
  <si>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</si>
  <si>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</si>
  <si>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</si>
  <si>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</si>
  <si>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</si>
  <si>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</si>
  <si>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</si>
  <si>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</si>
  <si>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</si>
  <si>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</si>
  <si>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</si>
  <si>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</si>
  <si>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</si>
  <si>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</si>
  <si>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</si>
  <si>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</si>
  <si>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</si>
  <si>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</si>
  <si>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</si>
  <si>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</si>
  <si>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</si>
  <si>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</si>
  <si>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</si>
  <si>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</si>
  <si>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</si>
  <si>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</si>
  <si>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</si>
  <si>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</si>
  <si>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</si>
  <si>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</si>
  <si>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</si>
  <si>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</si>
  <si>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</si>
  <si>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</si>
  <si>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</si>
  <si>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</si>
  <si>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</si>
  <si>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</si>
  <si>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</si>
  <si>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</si>
  <si>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</si>
  <si>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</si>
  <si>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</si>
  <si>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</si>
  <si>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</si>
  <si>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</si>
  <si>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</si>
  <si>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</si>
  <si>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</si>
  <si>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</si>
  <si>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</si>
  <si>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</si>
  <si>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</si>
  <si>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</si>
  <si>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</si>
  <si>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</si>
  <si>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</si>
  <si>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</si>
  <si>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</si>
  <si>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</si>
  <si>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</si>
  <si>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</si>
  <si>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</si>
  <si>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</si>
  <si>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</si>
  <si>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</si>
  <si>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</si>
  <si>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</si>
  <si>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</si>
  <si>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</si>
  <si>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</si>
  <si>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</si>
  <si>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</si>
  <si>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</si>
  <si>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</si>
  <si>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</si>
  <si>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</si>
  <si>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</si>
  <si>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</si>
  <si>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</si>
  <si>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</si>
  <si>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</si>
  <si>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</si>
  <si>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</si>
  <si>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</si>
  <si>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</si>
  <si>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</si>
  <si>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</si>
  <si>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</si>
  <si>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</si>
  <si>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</si>
  <si>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</si>
  <si>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</si>
  <si>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</si>
  <si>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</si>
  <si>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</si>
  <si>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</si>
  <si>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</si>
  <si>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</si>
  <si>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</si>
  <si>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</si>
  <si>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</si>
  <si>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</si>
  <si>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</si>
  <si>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</si>
  <si>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</si>
  <si>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</si>
  <si>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</si>
  <si>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</si>
  <si>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</si>
  <si>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</si>
  <si>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</si>
  <si>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</si>
  <si>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</si>
  <si>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</si>
  <si>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</si>
  <si>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</si>
  <si>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</si>
  <si>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</si>
  <si>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</si>
  <si>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</si>
  <si>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</si>
  <si>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</si>
  <si>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</si>
  <si>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</si>
  <si>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</si>
  <si>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</si>
  <si>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</si>
  <si>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</si>
  <si>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</si>
  <si>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</si>
  <si>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</si>
  <si>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</si>
  <si>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</si>
  <si>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</si>
  <si>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</si>
  <si>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</si>
  <si>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</si>
  <si>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</si>
  <si>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</si>
  <si>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</si>
  <si>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</si>
  <si>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</si>
  <si>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</si>
  <si>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</si>
  <si>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</si>
  <si>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</si>
  <si>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</si>
  <si>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</si>
  <si>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</si>
  <si>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</si>
  <si>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</si>
  <si>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</si>
  <si>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</si>
  <si>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</si>
  <si>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</si>
  <si>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</si>
  <si>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</si>
  <si>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</si>
  <si>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</si>
  <si>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</si>
  <si>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</si>
  <si>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</si>
  <si>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</si>
  <si>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</si>
  <si>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</si>
  <si>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</si>
  <si>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</si>
  <si>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</si>
  <si>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</si>
  <si>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</si>
  <si>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</si>
  <si>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</si>
  <si>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</si>
  <si>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</si>
  <si>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</si>
  <si>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</si>
  <si>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</si>
  <si>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</si>
  <si>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</si>
  <si>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</si>
  <si>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</si>
  <si>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</si>
  <si>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</si>
  <si>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</si>
  <si>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</si>
  <si>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</si>
  <si>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</si>
  <si>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</si>
  <si>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</si>
  <si>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</si>
  <si>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</si>
  <si>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</si>
  <si>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</si>
  <si>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</si>
  <si>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</si>
  <si>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</si>
  <si>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</si>
  <si>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</si>
  <si>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</si>
  <si>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</si>
  <si>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</si>
  <si>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</si>
  <si>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</si>
  <si>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</si>
  <si>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</si>
  <si>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</si>
  <si>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</si>
  <si>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</si>
  <si>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</si>
  <si>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</si>
  <si>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</si>
  <si>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</si>
  <si>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</si>
  <si>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</si>
  <si>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</si>
  <si>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</si>
  <si>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</si>
  <si>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</si>
  <si>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</si>
  <si>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</si>
  <si>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</si>
  <si>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</si>
  <si>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</si>
  <si>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</si>
  <si>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</si>
  <si>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</si>
  <si>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</si>
  <si>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</si>
  <si>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</si>
  <si>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</si>
  <si>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</si>
  <si>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</si>
  <si>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</si>
  <si>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</si>
  <si>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</si>
  <si>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</si>
  <si>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</si>
  <si>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</si>
  <si>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</si>
  <si>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</si>
  <si>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</si>
  <si>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</si>
  <si>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</si>
  <si>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</si>
  <si>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</si>
  <si>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</si>
  <si>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</si>
  <si>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</si>
  <si>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</si>
  <si>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</si>
  <si>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</si>
  <si>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</si>
  <si>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</si>
  <si>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</si>
  <si>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</si>
  <si>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</si>
  <si>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</si>
  <si>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</si>
  <si>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</si>
  <si>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</si>
  <si>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</si>
  <si>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</si>
  <si>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</si>
  <si>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</si>
  <si>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</si>
  <si>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</si>
  <si>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</si>
  <si>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</si>
  <si>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</si>
  <si>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</si>
  <si>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</si>
  <si>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</si>
  <si>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</si>
  <si>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</si>
  <si>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</si>
  <si>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</si>
  <si>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</si>
  <si>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</si>
  <si>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</si>
  <si>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</si>
  <si>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</si>
  <si>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</si>
  <si>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</si>
  <si>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</si>
  <si>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</si>
  <si>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</si>
  <si>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</si>
  <si>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</si>
  <si>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</si>
  <si>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</si>
  <si>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</si>
  <si>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</si>
  <si>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</si>
  <si>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</si>
  <si>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</si>
  <si>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</si>
  <si>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</si>
  <si>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</si>
  <si>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</si>
  <si>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</si>
  <si>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</si>
  <si>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</si>
  <si>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</si>
  <si>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</si>
  <si>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</si>
  <si>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</si>
  <si>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</si>
  <si>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</si>
  <si>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</si>
  <si>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</si>
  <si>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</si>
  <si>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</si>
  <si>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</si>
  <si>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</si>
  <si>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</si>
  <si>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</si>
  <si>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</si>
  <si>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</si>
  <si>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</si>
  <si>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</si>
  <si>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</si>
  <si>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</si>
  <si>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</si>
  <si>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</si>
  <si>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</si>
  <si>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</si>
  <si>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</si>
  <si>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</si>
  <si>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</si>
  <si>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</si>
  <si>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</si>
  <si>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</si>
  <si>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</si>
  <si>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</si>
  <si>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</si>
  <si>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</si>
  <si>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</si>
  <si>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</si>
  <si>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</si>
  <si>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</si>
  <si>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</si>
  <si>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</si>
  <si>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</si>
  <si>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</si>
  <si>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</si>
  <si>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</si>
  <si>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</si>
  <si>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</si>
  <si>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</si>
  <si>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</si>
  <si>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</si>
  <si>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</si>
  <si>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</si>
  <si>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</si>
  <si>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</si>
  <si>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</si>
  <si>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</si>
  <si>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</si>
  <si>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</si>
  <si>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</si>
  <si>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</si>
  <si>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</si>
  <si>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</si>
  <si>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</si>
  <si>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</si>
  <si>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</si>
  <si>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</si>
  <si>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</si>
  <si>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</si>
  <si>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</si>
  <si>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</si>
  <si>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</si>
  <si>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</si>
  <si>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</si>
  <si>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</si>
  <si>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</si>
  <si>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</si>
  <si>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</si>
  <si>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</si>
  <si>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</si>
  <si>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</si>
  <si>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</si>
  <si>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</si>
  <si>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</si>
  <si>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</si>
  <si>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</si>
  <si>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</si>
  <si>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</si>
  <si>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</si>
  <si>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</si>
  <si>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</si>
  <si>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</si>
  <si>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</si>
  <si>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</si>
  <si>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</si>
  <si>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</si>
  <si>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</si>
  <si>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</si>
  <si>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</si>
  <si>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</si>
  <si>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</si>
  <si>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</si>
  <si>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</si>
  <si>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</si>
  <si>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</si>
  <si>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</si>
  <si>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</si>
  <si>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</si>
  <si>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</si>
  <si>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</si>
  <si>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</si>
  <si>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</si>
  <si>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</si>
  <si>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</si>
  <si>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</si>
  <si>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</si>
  <si>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</si>
  <si>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</si>
  <si>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</si>
  <si>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</si>
  <si>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</si>
  <si>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</si>
  <si>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</si>
  <si>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</si>
  <si>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</si>
  <si>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</si>
  <si>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</si>
  <si>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</si>
  <si>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</si>
  <si>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</si>
  <si>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</si>
  <si>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</si>
  <si>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</si>
  <si>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</si>
  <si>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</si>
  <si>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</si>
  <si>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</si>
  <si>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</si>
  <si>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</si>
  <si>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</si>
  <si>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</si>
  <si>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</si>
  <si>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</si>
  <si>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</si>
  <si>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</si>
  <si>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</si>
  <si>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</si>
  <si>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</si>
  <si>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</si>
  <si>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</si>
  <si>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</si>
  <si>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</si>
  <si>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</si>
  <si>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</si>
  <si>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</si>
  <si>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</si>
  <si>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</si>
  <si>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</si>
  <si>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</si>
  <si>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</si>
  <si>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</si>
  <si>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</si>
  <si>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</si>
  <si>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</si>
  <si>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</si>
  <si>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</si>
  <si>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</si>
  <si>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</si>
  <si>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</si>
  <si>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</si>
  <si>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</si>
  <si>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</si>
  <si>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</si>
  <si>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</si>
  <si>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</si>
  <si>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</si>
  <si>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</si>
  <si>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</si>
  <si>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</si>
  <si>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</si>
  <si>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</si>
  <si>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</si>
  <si>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</si>
  <si>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</si>
  <si>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</si>
  <si>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</si>
  <si>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</si>
  <si>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</si>
  <si>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</si>
  <si>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</si>
  <si>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</si>
  <si>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</si>
  <si>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</si>
  <si>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</si>
  <si>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</si>
  <si>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</si>
  <si>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</si>
  <si>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</si>
  <si>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</si>
  <si>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</si>
  <si>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</si>
  <si>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</si>
  <si>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</si>
  <si>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</si>
  <si>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</si>
  <si>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</si>
  <si>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</si>
  <si>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</si>
  <si>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</si>
  <si>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</si>
  <si>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</si>
  <si>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</si>
  <si>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</si>
  <si>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</si>
  <si>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</si>
  <si>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</si>
  <si>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</si>
  <si>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</si>
  <si>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</si>
  <si>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</si>
  <si>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</si>
  <si>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</si>
  <si>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</si>
  <si>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</si>
  <si>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</si>
  <si>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</si>
  <si>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</si>
  <si>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</si>
  <si>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</si>
  <si>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</si>
  <si>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</si>
  <si>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</si>
  <si>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</si>
  <si>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</si>
  <si>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</si>
  <si>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</si>
  <si>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</si>
  <si>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</si>
  <si>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</si>
  <si>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</si>
  <si>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</si>
  <si>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</si>
  <si>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</si>
  <si>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</si>
  <si>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</si>
  <si>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</si>
  <si>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</si>
  <si>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</si>
  <si>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</si>
  <si>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</si>
  <si>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</si>
  <si>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</si>
  <si>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</si>
  <si>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</si>
  <si>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</si>
  <si>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</si>
  <si>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</si>
  <si>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</si>
  <si>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</si>
  <si>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</si>
  <si>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</si>
  <si>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</si>
  <si>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</si>
  <si>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</si>
  <si>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</si>
  <si>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</si>
  <si>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</si>
  <si>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</si>
  <si>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</si>
  <si>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</si>
  <si>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</si>
  <si>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</si>
  <si>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</si>
  <si>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</si>
  <si>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</si>
  <si>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</si>
  <si>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</si>
  <si>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</si>
  <si>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</si>
  <si>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</si>
  <si>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</si>
  <si>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</si>
  <si>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</si>
  <si>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</si>
  <si>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</si>
  <si>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</si>
  <si>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</si>
  <si>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</si>
  <si>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</si>
  <si>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</si>
  <si>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</si>
  <si>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</si>
  <si>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</si>
  <si>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</si>
  <si>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</si>
  <si>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</si>
  <si>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</si>
  <si>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</si>
  <si>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</si>
  <si>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</si>
  <si>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</si>
  <si>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</si>
  <si>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</si>
  <si>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</si>
  <si>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</si>
  <si>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</si>
  <si>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</si>
  <si>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</si>
  <si>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</si>
  <si>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</si>
  <si>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</si>
  <si>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</si>
  <si>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</si>
  <si>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</si>
  <si>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</si>
  <si>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</si>
  <si>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</si>
  <si>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</si>
  <si>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</si>
  <si>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</si>
  <si>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</si>
  <si>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</si>
  <si>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</si>
  <si>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</si>
  <si>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</si>
  <si>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</si>
  <si>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</si>
  <si>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</si>
  <si>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</si>
  <si>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</si>
  <si>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</si>
  <si>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</si>
  <si>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</si>
  <si>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</si>
  <si>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</si>
  <si>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</si>
  <si>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</si>
  <si>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</si>
  <si>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</si>
  <si>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</si>
  <si>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</si>
  <si>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</si>
  <si>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</si>
  <si>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</si>
  <si>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</si>
  <si>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</si>
  <si>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</si>
  <si>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</si>
  <si>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</si>
  <si>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</si>
  <si>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</si>
  <si>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</si>
  <si>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</si>
  <si>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</si>
  <si>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</si>
  <si>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</si>
  <si>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</si>
  <si>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</si>
  <si>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</si>
  <si>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</si>
  <si>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</si>
  <si>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</si>
  <si>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</si>
  <si>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</si>
  <si>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</si>
  <si>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</si>
  <si>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</si>
  <si>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</si>
  <si>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</si>
  <si>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</si>
  <si>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</si>
  <si>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</si>
  <si>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</si>
  <si>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</si>
  <si>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</si>
  <si>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</si>
  <si>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</si>
  <si>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</si>
  <si>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</si>
  <si>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</si>
  <si>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</si>
  <si>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</si>
  <si>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</si>
  <si>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</si>
  <si>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</si>
  <si>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</si>
  <si>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</si>
  <si>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</si>
  <si>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</si>
  <si>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</si>
  <si>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</si>
  <si>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</si>
  <si>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</si>
  <si>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</si>
  <si>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</si>
  <si>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</si>
  <si>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</si>
  <si>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</si>
  <si>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</si>
  <si>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</si>
  <si>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</si>
  <si>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</si>
  <si>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</si>
  <si>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</si>
  <si>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</si>
  <si>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</si>
  <si>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</si>
  <si>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</si>
  <si>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</si>
  <si>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</si>
  <si>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</si>
  <si>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</si>
  <si>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</si>
  <si>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</si>
  <si>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</si>
  <si>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</si>
  <si>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</si>
  <si>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</si>
  <si>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</si>
  <si>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</si>
  <si>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</si>
  <si>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</si>
  <si>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</si>
  <si>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</si>
  <si>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</si>
  <si>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</si>
  <si>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</si>
  <si>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</si>
  <si>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</si>
  <si>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</si>
  <si>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</si>
  <si>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</si>
  <si>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</si>
  <si>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</si>
  <si>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</si>
  <si>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</si>
  <si>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</si>
  <si>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</si>
  <si>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</si>
  <si>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</si>
  <si>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</si>
  <si>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</si>
  <si>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</si>
  <si>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</si>
  <si>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</si>
  <si>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</si>
  <si>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</si>
  <si>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</si>
  <si>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</si>
  <si>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</si>
  <si>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</si>
  <si>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</si>
  <si>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</si>
  <si>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</si>
  <si>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</si>
  <si>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</si>
  <si>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</si>
  <si>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</si>
  <si>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</si>
  <si>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</si>
  <si>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</si>
  <si>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</si>
  <si>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</si>
  <si>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</si>
  <si>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</si>
  <si>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</si>
  <si>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</si>
  <si>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</si>
  <si>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</si>
  <si>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</si>
  <si>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</si>
  <si>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</si>
  <si>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</si>
  <si>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</si>
  <si>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</si>
  <si>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</si>
  <si>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</si>
  <si>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</si>
  <si>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</si>
  <si>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</si>
  <si>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</si>
  <si>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</si>
  <si>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</si>
  <si>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</si>
  <si>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</si>
  <si>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</si>
  <si>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</si>
  <si>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</si>
  <si>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</si>
  <si>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</si>
  <si>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</si>
  <si>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</si>
  <si>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</si>
  <si>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</si>
  <si>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</si>
  <si>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</si>
  <si>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</si>
  <si>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</si>
  <si>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</si>
  <si>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</si>
  <si>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</si>
  <si>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</si>
  <si>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</si>
  <si>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</si>
  <si>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</si>
  <si>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</si>
  <si>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</si>
  <si>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</si>
  <si>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</si>
  <si>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</si>
  <si>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</si>
  <si>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</si>
  <si>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</si>
  <si>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</si>
  <si>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</si>
  <si>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</si>
  <si>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</si>
  <si>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</si>
  <si>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</si>
  <si>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</si>
  <si>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</si>
  <si>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</si>
  <si>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</si>
  <si>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</si>
  <si>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</si>
  <si>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</si>
  <si>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</si>
  <si>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</si>
  <si>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</si>
  <si>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</si>
  <si>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</si>
  <si>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</si>
  <si>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</si>
  <si>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</si>
  <si>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</si>
  <si>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</si>
  <si>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</si>
  <si>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</si>
  <si>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</si>
  <si>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</si>
  <si>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</si>
  <si>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</si>
  <si>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</si>
  <si>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</si>
  <si>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</si>
  <si>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</si>
  <si>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</si>
  <si>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</si>
  <si>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</si>
  <si>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</si>
  <si>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</si>
  <si>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</si>
  <si>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</si>
  <si>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</si>
  <si>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</si>
  <si>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</si>
  <si>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</si>
  <si>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</si>
  <si>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</si>
  <si>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</si>
  <si>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</si>
  <si>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</si>
  <si>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</si>
  <si>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</si>
  <si>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</si>
  <si>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</si>
  <si>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</si>
  <si>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</si>
  <si>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</si>
  <si>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</si>
  <si>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</si>
  <si>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</si>
  <si>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</si>
  <si>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</si>
  <si>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</si>
  <si>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</si>
  <si>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</si>
  <si>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</si>
  <si>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</si>
  <si>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</si>
  <si>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</si>
  <si>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</si>
  <si>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</si>
  <si>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</si>
  <si>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</si>
  <si>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</si>
  <si>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</si>
  <si>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</si>
  <si>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</si>
  <si>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</si>
  <si>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</si>
  <si>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</si>
  <si>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</si>
  <si>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</si>
  <si>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</si>
  <si>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</si>
  <si>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</si>
  <si>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</si>
  <si>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</si>
  <si>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</si>
  <si>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</si>
  <si>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</si>
  <si>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</si>
  <si>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</si>
  <si>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</si>
  <si>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</si>
  <si>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</si>
  <si>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</si>
  <si>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</si>
  <si>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</si>
  <si>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</si>
  <si>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</si>
  <si>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</si>
  <si>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</si>
  <si>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</si>
  <si>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</si>
  <si>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</si>
  <si>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</si>
  <si>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</si>
  <si>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</si>
  <si>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</si>
  <si>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</si>
  <si>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</si>
  <si>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</si>
  <si>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</si>
  <si>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</si>
  <si>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</si>
  <si>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</si>
  <si>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</si>
  <si>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</si>
  <si>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</si>
  <si>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</si>
  <si>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</si>
  <si>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</si>
  <si>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</si>
  <si>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</si>
  <si>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</si>
  <si>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</si>
  <si>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</si>
  <si>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</si>
  <si>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</si>
  <si>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</si>
  <si>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</si>
  <si>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</si>
  <si>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</si>
  <si>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</si>
  <si>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</si>
  <si>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</si>
  <si>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</si>
  <si>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</si>
  <si>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</si>
  <si>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</si>
  <si>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</si>
  <si>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</si>
  <si>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</si>
  <si>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</si>
  <si>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</si>
  <si>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</si>
  <si>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</si>
  <si>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</si>
  <si>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</si>
  <si>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</si>
  <si>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</si>
  <si>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</si>
  <si>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</si>
  <si>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</si>
  <si>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</si>
  <si>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</si>
  <si>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</si>
  <si>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</si>
  <si>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</si>
  <si>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</si>
  <si>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</si>
  <si>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</si>
  <si>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</si>
  <si>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</si>
  <si>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</si>
  <si>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</si>
  <si>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</si>
  <si>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</si>
  <si>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</si>
  <si>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</si>
  <si>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</si>
  <si>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</si>
  <si>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</si>
  <si>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</si>
  <si>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</si>
  <si>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</si>
  <si>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</si>
  <si>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</si>
  <si>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</si>
  <si>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</si>
  <si>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</si>
  <si>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</si>
  <si>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</si>
  <si>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</si>
  <si>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</si>
  <si>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</si>
  <si>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</si>
  <si>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</si>
  <si>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</si>
  <si>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</si>
  <si>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</si>
  <si>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</si>
  <si>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</si>
  <si>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</si>
  <si>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</si>
  <si>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</si>
  <si>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</si>
  <si>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</si>
  <si>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</si>
  <si>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</si>
  <si>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</si>
  <si>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</si>
  <si>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</si>
  <si>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</si>
  <si>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</si>
  <si>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</si>
  <si>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</si>
  <si>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</si>
  <si>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</si>
  <si>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</si>
  <si>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</si>
  <si>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</si>
  <si>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</si>
  <si>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</si>
  <si>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</si>
  <si>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</si>
  <si>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</si>
  <si>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</si>
  <si>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</si>
  <si>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</si>
  <si>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</si>
  <si>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</si>
  <si>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</si>
  <si>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</si>
  <si>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</si>
  <si>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</si>
  <si>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</si>
  <si>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</si>
  <si>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</si>
  <si>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</si>
  <si>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</si>
  <si>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</si>
  <si>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</si>
  <si>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</si>
  <si>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</si>
  <si>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</si>
  <si>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</si>
  <si>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</si>
  <si>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</si>
  <si>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</si>
  <si>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</si>
  <si>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</si>
  <si>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</si>
  <si>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</si>
  <si>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</si>
  <si>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</si>
  <si>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</si>
  <si>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</si>
  <si>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</si>
  <si>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</si>
  <si>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</si>
  <si>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</si>
  <si>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</si>
  <si>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</si>
  <si>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</si>
  <si>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</si>
  <si>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</si>
  <si>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</si>
  <si>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</si>
  <si>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</si>
  <si>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</si>
  <si>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</si>
  <si>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</si>
  <si>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</si>
  <si>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</si>
  <si>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</si>
  <si>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</si>
  <si>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</si>
  <si>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</si>
  <si>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</si>
  <si>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</si>
  <si>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</si>
  <si>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</si>
  <si>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</si>
  <si>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</si>
  <si>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</si>
  <si>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</si>
  <si>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</si>
  <si>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</si>
  <si>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</si>
  <si>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</si>
  <si>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</si>
  <si>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</si>
  <si>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</si>
  <si>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</si>
  <si>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</si>
  <si>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</si>
  <si>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</si>
  <si>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</si>
  <si>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</si>
  <si>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</si>
  <si>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</si>
  <si>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</si>
  <si>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</si>
  <si>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</si>
  <si>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</si>
  <si>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</si>
  <si>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</si>
  <si>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</si>
  <si>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</si>
  <si>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</si>
  <si>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</si>
  <si>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</si>
  <si>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</si>
  <si>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</si>
  <si>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</si>
  <si>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</si>
  <si>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</si>
  <si>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</si>
  <si>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</si>
  <si>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</si>
  <si>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</si>
  <si>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</si>
  <si>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</si>
  <si>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</si>
  <si>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</si>
  <si>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</si>
  <si>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</si>
  <si>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</si>
  <si>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</si>
  <si>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</si>
  <si>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</si>
  <si>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</si>
  <si>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</si>
  <si>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</si>
  <si>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</si>
  <si>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</si>
  <si>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</si>
  <si>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</si>
  <si>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</si>
  <si>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</si>
  <si>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</si>
  <si>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</si>
  <si>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</si>
  <si>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</si>
  <si>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</si>
  <si>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</si>
  <si>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</si>
  <si>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</si>
  <si>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</si>
  <si>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</si>
  <si>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</si>
  <si>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</si>
  <si>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</si>
  <si>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</si>
  <si>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</si>
  <si>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</si>
  <si>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</si>
  <si>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</si>
  <si>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</si>
  <si>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</si>
  <si>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</si>
  <si>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</si>
  <si>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</si>
  <si>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</si>
  <si>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</si>
  <si>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</si>
  <si>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</si>
  <si>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</si>
  <si>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</si>
  <si>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</si>
  <si>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</si>
  <si>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</si>
  <si>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</si>
  <si>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</si>
  <si>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</si>
  <si>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</si>
  <si>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</si>
  <si>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</si>
  <si>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</si>
  <si>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</si>
  <si>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</si>
  <si>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</si>
  <si>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</si>
  <si>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</si>
  <si>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</si>
  <si>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</si>
  <si>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</si>
  <si>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</si>
  <si>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</si>
  <si>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</si>
  <si>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</si>
  <si>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</si>
  <si>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</si>
  <si>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</si>
  <si>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</si>
  <si>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</si>
  <si>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</si>
  <si>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</si>
  <si>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</si>
  <si>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</si>
  <si>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</si>
  <si>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</si>
  <si>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</si>
  <si>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</si>
  <si>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</si>
  <si>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</si>
  <si>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</si>
  <si>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</si>
  <si>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</si>
  <si>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</si>
  <si>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</si>
  <si>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</si>
  <si>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</si>
  <si>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</si>
  <si>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</si>
  <si>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</si>
  <si>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</si>
  <si>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</si>
  <si>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</si>
  <si>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</si>
  <si>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</si>
  <si>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</si>
  <si>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</si>
  <si>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</si>
  <si>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</si>
  <si>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</si>
  <si>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</si>
  <si>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</si>
  <si>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</si>
  <si>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</si>
  <si>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</si>
  <si>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</si>
  <si>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</si>
  <si>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</si>
  <si>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</si>
  <si>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</si>
  <si>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</si>
  <si>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</si>
  <si>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</si>
  <si>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</si>
  <si>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</si>
  <si>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</si>
  <si>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</si>
  <si>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</si>
  <si>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</si>
  <si>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</si>
  <si>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</si>
  <si>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</si>
  <si>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</si>
  <si>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</si>
  <si>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</si>
  <si>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</si>
  <si>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</si>
  <si>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</si>
  <si>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</si>
  <si>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</si>
  <si>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</si>
  <si>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</si>
  <si>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</si>
  <si>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</si>
  <si>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</si>
  <si>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</si>
  <si>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</si>
  <si>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</si>
  <si>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</si>
  <si>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</si>
  <si>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</si>
  <si>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</si>
  <si>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</si>
  <si>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</si>
  <si>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</si>
  <si>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</si>
  <si>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</si>
  <si>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</si>
  <si>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</si>
  <si>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</si>
  <si>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</si>
  <si>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</si>
  <si>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</si>
  <si>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</si>
  <si>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</si>
  <si>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</si>
  <si>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</si>
  <si>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</si>
  <si>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</si>
  <si>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</si>
  <si>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</si>
  <si>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</si>
  <si>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</si>
  <si>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</si>
  <si>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</si>
  <si>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</si>
  <si>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</si>
  <si>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</si>
  <si>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</si>
  <si>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</si>
  <si>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</si>
  <si>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</si>
  <si>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</si>
  <si>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</si>
  <si>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</si>
  <si>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</si>
  <si>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</si>
  <si>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</si>
  <si>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</si>
  <si>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</si>
  <si>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</si>
  <si>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</si>
  <si>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</si>
  <si>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</si>
  <si>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</si>
  <si>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</si>
  <si>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</si>
  <si>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</si>
  <si>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</si>
  <si>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</si>
  <si>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</si>
  <si>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</si>
  <si>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</si>
  <si>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</si>
  <si>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</si>
  <si>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</si>
  <si>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</si>
  <si>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</si>
  <si>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</si>
  <si>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</si>
  <si>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</si>
  <si>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</si>
  <si>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</si>
  <si>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</si>
  <si>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</si>
  <si>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</si>
  <si>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</si>
  <si>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</si>
  <si>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</si>
  <si>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</si>
  <si>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</si>
  <si>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</si>
  <si>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</si>
  <si>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</si>
  <si>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</si>
  <si>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</si>
  <si>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</si>
  <si>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</si>
  <si>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</si>
  <si>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</si>
  <si>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</si>
  <si>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</si>
  <si>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</si>
  <si>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</si>
  <si>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</si>
  <si>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</si>
  <si>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</si>
  <si>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</si>
  <si>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</si>
  <si>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</si>
  <si>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</si>
  <si>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</si>
  <si>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</si>
  <si>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</si>
  <si>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</si>
  <si>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</si>
  <si>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</si>
  <si>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</si>
  <si>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</si>
  <si>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</si>
  <si>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</si>
  <si>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</si>
  <si>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</si>
  <si>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</si>
  <si>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</si>
  <si>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</si>
  <si>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</si>
  <si>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</si>
  <si>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</si>
  <si>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</si>
  <si>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</si>
  <si>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</si>
  <si>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</si>
  <si>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</si>
  <si>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</si>
  <si>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</si>
  <si>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</si>
  <si>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</si>
  <si>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</si>
  <si>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</si>
  <si>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</si>
  <si>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</si>
  <si>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</si>
  <si>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</si>
  <si>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</si>
  <si>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</si>
  <si>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</si>
  <si>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</si>
  <si>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</si>
  <si>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</si>
  <si>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</si>
  <si>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</si>
  <si>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</si>
  <si>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</si>
  <si>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</si>
  <si>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</si>
  <si>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</si>
  <si>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</si>
  <si>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</si>
  <si>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</si>
  <si>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</si>
  <si>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</si>
  <si>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</si>
  <si>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</si>
  <si>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</si>
  <si>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</si>
  <si>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</si>
  <si>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</si>
  <si>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</si>
  <si>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</si>
  <si>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</si>
  <si>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</si>
  <si>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</si>
  <si>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</si>
  <si>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</si>
  <si>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</si>
  <si>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</si>
  <si>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</si>
  <si>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</si>
  <si>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</si>
  <si>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</si>
  <si>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</si>
  <si>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</si>
  <si>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</si>
  <si>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</si>
  <si>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</si>
  <si>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</si>
  <si>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</si>
  <si>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</si>
  <si>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</si>
  <si>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</si>
  <si>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</si>
  <si>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</si>
  <si>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</si>
  <si>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</si>
  <si>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</si>
  <si>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</si>
  <si>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</si>
  <si>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</si>
  <si>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</si>
  <si>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</si>
  <si>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</si>
  <si>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</si>
  <si>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</si>
  <si>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</si>
  <si>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</si>
  <si>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</si>
  <si>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</si>
  <si>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</si>
  <si>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</si>
  <si>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</si>
  <si>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</si>
  <si>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</si>
  <si>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</si>
  <si>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</si>
  <si>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</si>
  <si>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</si>
  <si>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</si>
  <si>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</si>
  <si>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</si>
  <si>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</si>
  <si>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</si>
  <si>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</si>
  <si>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</si>
  <si>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</si>
  <si>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</si>
  <si>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</si>
  <si>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</si>
  <si>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</si>
  <si>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</si>
  <si>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</si>
  <si>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</si>
  <si>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</si>
  <si>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</si>
  <si>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</si>
  <si>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</si>
  <si>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</si>
  <si>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</si>
  <si>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</si>
  <si>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</si>
  <si>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</si>
  <si>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</si>
  <si>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</si>
  <si>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</si>
  <si>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</si>
  <si>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</si>
  <si>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</si>
  <si>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</si>
  <si>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</si>
  <si>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</si>
  <si>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</si>
  <si>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</si>
  <si>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</si>
  <si>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</si>
  <si>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</si>
  <si>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</si>
  <si>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</si>
  <si>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</si>
  <si>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</si>
  <si>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</si>
  <si>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</si>
  <si>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</si>
  <si>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</si>
  <si>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</si>
  <si>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</si>
  <si>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</si>
  <si>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</si>
  <si>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</si>
  <si>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</si>
  <si>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</si>
  <si>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</si>
  <si>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</si>
  <si>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</si>
  <si>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</si>
  <si>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</si>
  <si>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</si>
  <si>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</si>
  <si>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</si>
  <si>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</si>
  <si>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</si>
  <si>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</si>
  <si>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</si>
  <si>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</si>
  <si>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</si>
  <si>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</si>
  <si>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</si>
  <si>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</si>
  <si>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</si>
  <si>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</si>
  <si>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</si>
  <si>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</si>
  <si>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</si>
  <si>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</si>
  <si>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</si>
  <si>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</si>
  <si>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</si>
  <si>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</si>
  <si>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</si>
  <si>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</si>
  <si>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</si>
  <si>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</si>
  <si>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</si>
  <si>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</si>
  <si>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</si>
  <si>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</si>
  <si>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</si>
  <si>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</si>
  <si>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</si>
  <si>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</si>
  <si>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</si>
  <si>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</si>
  <si>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</si>
  <si>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</si>
  <si>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</si>
  <si>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</si>
  <si>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</si>
  <si>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</si>
  <si>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</si>
  <si>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</si>
  <si>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</si>
  <si>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</si>
  <si>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</si>
  <si>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</si>
  <si>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</si>
  <si>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</si>
  <si>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</si>
  <si>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</si>
  <si>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</si>
  <si>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</si>
  <si>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</si>
  <si>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</si>
  <si>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</si>
  <si>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</si>
  <si>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</si>
  <si>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</si>
  <si>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</si>
  <si>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</si>
  <si>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</si>
  <si>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</si>
  <si>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</si>
  <si>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</si>
  <si>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</si>
  <si>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</si>
  <si>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</si>
  <si>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</si>
  <si>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</si>
  <si>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</si>
  <si>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</si>
  <si>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</si>
  <si>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</si>
  <si>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</si>
  <si>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</si>
  <si>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</si>
  <si>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</si>
  <si>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</si>
  <si>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</si>
  <si>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</si>
  <si>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</si>
  <si>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</si>
  <si>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</si>
  <si>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</si>
  <si>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</si>
  <si>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</si>
  <si>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</si>
  <si>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</si>
  <si>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</si>
  <si>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</si>
  <si>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</si>
  <si>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</si>
  <si>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</si>
  <si>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</si>
  <si>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</si>
  <si>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</si>
  <si>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</si>
  <si>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</si>
  <si>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</si>
  <si>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</si>
  <si>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</si>
  <si>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</si>
  <si>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</si>
  <si>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</si>
  <si>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</si>
  <si>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</si>
  <si>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</si>
  <si>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</si>
  <si>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</si>
  <si>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</si>
  <si>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</si>
  <si>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</si>
  <si>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</si>
  <si>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</si>
  <si>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</si>
  <si>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</si>
  <si>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</si>
  <si>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</si>
  <si>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</si>
  <si>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</si>
  <si>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</si>
  <si>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</si>
  <si>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</si>
  <si>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</si>
  <si>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</si>
  <si>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</si>
  <si>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</si>
  <si>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</si>
  <si>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</si>
  <si>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</si>
  <si>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</si>
  <si>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</si>
  <si>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</si>
  <si>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</si>
  <si>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</si>
  <si>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</si>
  <si>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</si>
  <si>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</si>
  <si>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</si>
  <si>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</si>
  <si>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</si>
  <si>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</si>
  <si>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</si>
  <si>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</si>
  <si>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</si>
  <si>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</si>
  <si>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</si>
  <si>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</si>
  <si>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</si>
  <si>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</si>
  <si>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</si>
  <si>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</si>
  <si>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</si>
  <si>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</si>
  <si>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</si>
  <si>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</si>
  <si>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</si>
  <si>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</si>
  <si>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</si>
  <si>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</si>
  <si>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</si>
  <si>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</si>
  <si>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</si>
  <si>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</si>
  <si>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</si>
  <si>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</si>
  <si>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</si>
  <si>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</si>
  <si>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</si>
  <si>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</si>
  <si>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</si>
  <si>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</si>
  <si>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</si>
  <si>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</si>
  <si>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</si>
  <si>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</si>
  <si>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</si>
  <si>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</si>
  <si>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</si>
  <si>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</si>
  <si>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</si>
  <si>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</si>
  <si>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</si>
  <si>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</si>
  <si>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</si>
  <si>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</si>
  <si>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</si>
  <si>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</si>
  <si>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</si>
  <si>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</si>
  <si>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</si>
  <si>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</si>
  <si>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</si>
  <si>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</si>
  <si>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</si>
  <si>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</si>
  <si>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</si>
  <si>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</si>
  <si>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</si>
  <si>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</si>
  <si>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</si>
  <si>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</si>
  <si>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</si>
  <si>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</si>
  <si>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</si>
  <si>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</si>
  <si>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</si>
  <si>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</si>
  <si>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</si>
  <si>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</si>
  <si>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</si>
  <si>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</si>
  <si>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</si>
  <si>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</si>
  <si>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</si>
  <si>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</si>
  <si>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</si>
  <si>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</si>
  <si>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</si>
  <si>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</si>
  <si>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</si>
  <si>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</si>
  <si>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</si>
  <si>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</si>
  <si>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</si>
  <si>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</si>
  <si>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</si>
  <si>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</si>
  <si>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</si>
  <si>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</si>
  <si>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</si>
  <si>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</si>
  <si>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</si>
  <si>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</si>
  <si>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</si>
  <si>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</si>
  <si>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</si>
  <si>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</si>
  <si>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</si>
  <si>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</si>
  <si>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</si>
  <si>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</si>
  <si>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</si>
  <si>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</si>
  <si>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</si>
  <si>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</si>
  <si>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</si>
  <si>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</si>
  <si>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</si>
  <si>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</si>
  <si>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</si>
  <si>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</si>
  <si>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</si>
  <si>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</si>
  <si>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</si>
  <si>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</si>
  <si>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</si>
  <si>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</si>
  <si>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</si>
  <si>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</si>
  <si>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</si>
  <si>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</si>
  <si>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</si>
  <si>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</si>
  <si>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</si>
  <si>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</si>
  <si>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</si>
  <si>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</si>
  <si>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</si>
  <si>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</si>
  <si>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</si>
  <si>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</si>
  <si>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</si>
  <si>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</si>
  <si>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</si>
  <si>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</si>
  <si>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</si>
  <si>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</si>
  <si>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</si>
  <si>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</si>
  <si>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</si>
  <si>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</si>
  <si>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</si>
  <si>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</si>
  <si>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</si>
  <si>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</si>
  <si>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</si>
  <si>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</si>
  <si>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</si>
  <si>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</si>
  <si>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</si>
  <si>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</si>
  <si>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</si>
  <si>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</si>
  <si>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</si>
  <si>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</si>
  <si>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</si>
  <si>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</si>
  <si>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</si>
  <si>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</si>
  <si>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</si>
  <si>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</si>
  <si>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</si>
  <si>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</si>
  <si>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</si>
  <si>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</si>
  <si>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</si>
  <si>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</si>
  <si>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</si>
  <si>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</si>
  <si>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</si>
  <si>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</si>
  <si>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</si>
  <si>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</si>
  <si>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</si>
  <si>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</si>
  <si>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</si>
  <si>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</si>
  <si>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</si>
  <si>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</si>
  <si>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</si>
  <si>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</si>
  <si>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</si>
  <si>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</si>
  <si>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</si>
  <si>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</si>
  <si>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</si>
  <si>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</si>
  <si>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</si>
  <si>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</si>
  <si>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</si>
  <si>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</si>
  <si>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</si>
  <si>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</si>
  <si>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</si>
  <si>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</si>
  <si>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</si>
  <si>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</si>
  <si>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</si>
  <si>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</si>
  <si>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</si>
  <si>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</si>
  <si>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</si>
  <si>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</si>
  <si>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</si>
  <si>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</si>
  <si>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</si>
  <si>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</si>
  <si>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</si>
  <si>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</si>
  <si>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</si>
  <si>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</si>
  <si>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</si>
  <si>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</si>
  <si>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</si>
  <si>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</si>
  <si>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</si>
  <si>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</si>
  <si>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</si>
  <si>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</si>
  <si>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</si>
  <si>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</si>
  <si>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</si>
  <si>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</si>
  <si>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</si>
  <si>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</si>
  <si>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</si>
  <si>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</si>
  <si>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</si>
  <si>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</si>
  <si>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</si>
  <si>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</si>
  <si>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</si>
  <si>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</si>
  <si>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</si>
  <si>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</si>
  <si>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</si>
  <si>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</si>
  <si>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</si>
  <si>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</si>
  <si>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</si>
  <si>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</si>
  <si>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</si>
  <si>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</si>
  <si>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</si>
  <si>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</si>
  <si>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</si>
  <si>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</si>
  <si>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</si>
  <si>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</si>
  <si>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</si>
  <si>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</si>
  <si>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</si>
  <si>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</si>
  <si>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</si>
  <si>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</si>
  <si>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</si>
  <si>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</si>
  <si>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</si>
  <si>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</si>
  <si>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</si>
  <si>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</si>
  <si>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</si>
  <si>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</si>
  <si>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</si>
  <si>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</si>
  <si>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</si>
  <si>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</si>
  <si>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</si>
  <si>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</si>
  <si>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</si>
  <si>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</si>
  <si>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</si>
  <si>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</si>
  <si>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</si>
  <si>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</si>
  <si>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</si>
  <si>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</si>
  <si>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</si>
  <si>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</si>
  <si>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</si>
  <si>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</si>
  <si>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</si>
  <si>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</si>
  <si>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</si>
  <si>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</si>
  <si>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</si>
  <si>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</si>
  <si>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</si>
  <si>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</si>
  <si>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</si>
  <si>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</si>
  <si>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</si>
  <si>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</si>
  <si>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</si>
  <si>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</si>
  <si>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</si>
  <si>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</si>
  <si>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</si>
  <si>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</si>
  <si>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</si>
  <si>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</si>
  <si>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</si>
  <si>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</si>
  <si>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</si>
  <si>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</si>
  <si>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</si>
  <si>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</si>
  <si>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</si>
  <si>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</si>
  <si>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</si>
  <si>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</si>
  <si>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</si>
  <si>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</si>
  <si>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</si>
  <si>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</si>
  <si>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</si>
  <si>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</si>
  <si>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</si>
  <si>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</si>
  <si>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</si>
  <si>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</si>
  <si>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</si>
  <si>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</si>
  <si>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</si>
  <si>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</si>
  <si>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</si>
  <si>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</si>
  <si>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</si>
  <si>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</si>
  <si>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</si>
  <si>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</si>
  <si>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</si>
  <si>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</si>
  <si>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</si>
  <si>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</si>
  <si>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</si>
  <si>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</si>
  <si>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</si>
  <si>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</si>
  <si>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</si>
  <si>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</si>
  <si>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</si>
  <si>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</si>
  <si>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</si>
  <si>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</si>
  <si>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</si>
  <si>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</si>
  <si>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</si>
  <si>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</si>
  <si>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</si>
  <si>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</si>
  <si>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</si>
  <si>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</si>
  <si>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</si>
  <si>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</si>
  <si>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</si>
  <si>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</si>
  <si>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</si>
  <si>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</si>
  <si>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</si>
  <si>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</si>
  <si>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</si>
  <si>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</si>
  <si>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</si>
  <si>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</si>
  <si>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</si>
  <si>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</si>
  <si>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</si>
  <si>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</si>
  <si>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</si>
  <si>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</si>
  <si>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</si>
  <si>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</si>
  <si>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</si>
  <si>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</si>
  <si>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</si>
  <si>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</si>
  <si>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</si>
  <si>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</si>
  <si>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</si>
  <si>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</si>
  <si>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</si>
  <si>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</si>
  <si>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</si>
  <si>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</si>
  <si>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</si>
  <si>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</si>
  <si>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</si>
  <si>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</si>
  <si>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</si>
  <si>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</si>
  <si>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</si>
  <si>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</si>
  <si>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</si>
  <si>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</si>
  <si>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</si>
  <si>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</si>
  <si>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</si>
  <si>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</si>
  <si>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</si>
  <si>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</si>
  <si>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</si>
  <si>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</si>
  <si>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</si>
  <si>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</si>
  <si>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</si>
  <si>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</si>
  <si>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</si>
  <si>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</si>
  <si>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</si>
  <si>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</si>
  <si>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</si>
  <si>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</si>
  <si>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</si>
  <si>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</si>
  <si>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</si>
  <si>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</si>
  <si>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</si>
  <si>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</si>
  <si>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</si>
  <si>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</si>
  <si>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</si>
  <si>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</si>
  <si>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</si>
  <si>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</si>
  <si>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</si>
  <si>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</si>
  <si>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</si>
  <si>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</si>
  <si>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</si>
  <si>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</si>
  <si>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</si>
  <si>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</si>
  <si>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</si>
  <si>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</si>
  <si>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</si>
  <si>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</si>
  <si>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</si>
  <si>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</si>
  <si>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</si>
  <si>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</si>
  <si>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</si>
  <si>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</si>
  <si>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</si>
  <si>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</si>
  <si>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</si>
  <si>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</si>
  <si>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</si>
  <si>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</si>
  <si>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</si>
  <si>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</si>
  <si>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</si>
  <si>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</si>
  <si>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</si>
  <si>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</si>
  <si>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</si>
  <si>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</si>
  <si>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</si>
  <si>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</si>
  <si>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</si>
  <si>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</si>
  <si>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</si>
  <si>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</si>
  <si>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</si>
  <si>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</si>
  <si>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</si>
  <si>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</si>
  <si>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</si>
  <si>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</si>
  <si>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</si>
  <si>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</si>
  <si>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</si>
  <si>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</si>
  <si>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</si>
  <si>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</si>
  <si>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</si>
  <si>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</si>
  <si>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</si>
  <si>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</si>
  <si>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</si>
  <si>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</si>
  <si>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</si>
  <si>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</si>
  <si>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</si>
  <si>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</si>
  <si>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</si>
  <si>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</si>
  <si>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</si>
  <si>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</si>
  <si>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</si>
  <si>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</si>
  <si>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</si>
  <si>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</si>
  <si>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</si>
  <si>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</si>
  <si>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</si>
  <si>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</si>
  <si>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</si>
  <si>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</si>
  <si>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</si>
  <si>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</si>
  <si>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</si>
  <si>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</si>
  <si>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</si>
  <si>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</si>
  <si>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</si>
  <si>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</si>
  <si>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</si>
  <si>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</si>
  <si>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</si>
  <si>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</si>
  <si>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</si>
  <si>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</si>
  <si>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</si>
  <si>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</si>
  <si>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</si>
  <si>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</si>
  <si>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</si>
  <si>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</si>
  <si>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</si>
  <si>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</si>
  <si>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</si>
  <si>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</si>
  <si>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</si>
  <si>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</si>
  <si>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</si>
  <si>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</si>
  <si>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</si>
  <si>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</si>
  <si>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</si>
  <si>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</si>
  <si>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</si>
  <si>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</si>
  <si>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</si>
  <si>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</si>
  <si>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</si>
  <si>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</si>
  <si>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</si>
  <si>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</si>
  <si>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</si>
  <si>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</si>
  <si>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</si>
  <si>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</si>
  <si>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</si>
  <si>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</si>
  <si>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</si>
  <si>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</si>
  <si>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</si>
  <si>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</si>
  <si>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</si>
  <si>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</si>
  <si>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</si>
  <si>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</si>
  <si>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</si>
  <si>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</si>
  <si>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</si>
  <si>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</si>
  <si>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</si>
  <si>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</si>
  <si>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</si>
  <si>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</si>
  <si>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</si>
  <si>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</si>
  <si>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</si>
  <si>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</si>
  <si>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</si>
  <si>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</si>
  <si>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</si>
  <si>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</si>
  <si>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</si>
  <si>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</si>
  <si>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</si>
  <si>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</si>
  <si>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</si>
  <si>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</si>
  <si>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</si>
  <si>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</si>
  <si>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</si>
  <si>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</si>
  <si>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</si>
  <si>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</si>
  <si>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</si>
  <si>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</si>
  <si>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</si>
  <si>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</si>
  <si>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</si>
  <si>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</si>
  <si>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</si>
  <si>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</si>
  <si>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</si>
  <si>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</si>
  <si>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</si>
  <si>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</si>
  <si>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</si>
  <si>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</si>
  <si>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</si>
  <si>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</si>
  <si>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</si>
  <si>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</si>
  <si>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</si>
  <si>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</si>
  <si>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</si>
  <si>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</si>
  <si>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</si>
  <si>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</si>
  <si>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</si>
  <si>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</si>
  <si>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</si>
  <si>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</si>
  <si>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</si>
  <si>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</si>
  <si>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</si>
  <si>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</si>
  <si>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</si>
  <si>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</si>
  <si>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</si>
  <si>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</si>
  <si>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</si>
  <si>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</si>
  <si>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</si>
  <si>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</si>
  <si>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</si>
  <si>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</si>
  <si>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</si>
  <si>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</si>
  <si>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</si>
  <si>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</si>
  <si>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</si>
  <si>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</si>
  <si>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</si>
  <si>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</si>
  <si>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</si>
  <si>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</si>
  <si>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</si>
  <si>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</si>
  <si>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</si>
  <si>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</si>
  <si>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</si>
  <si>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</si>
  <si>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</si>
  <si>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</si>
  <si>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</si>
  <si>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</si>
  <si>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</si>
  <si>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</si>
  <si>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</si>
  <si>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</si>
  <si>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</si>
  <si>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</si>
  <si>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</si>
  <si>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</si>
  <si>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</si>
  <si>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</si>
  <si>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</si>
  <si>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</si>
  <si>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</si>
  <si>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</si>
  <si>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</si>
  <si>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</si>
  <si>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</si>
  <si>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</si>
  <si>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</si>
  <si>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</si>
  <si>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</si>
  <si>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</si>
  <si>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</si>
  <si>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</si>
  <si>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</si>
  <si>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</si>
  <si>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</si>
  <si>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</si>
  <si>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</si>
  <si>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</si>
  <si>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</si>
  <si>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</si>
  <si>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</si>
  <si>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</si>
  <si>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</si>
  <si>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</si>
  <si>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</si>
  <si>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</si>
  <si>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</si>
  <si>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</si>
  <si>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</si>
  <si>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</si>
  <si>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</si>
  <si>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</si>
  <si>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</si>
  <si>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</si>
  <si>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</si>
  <si>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</si>
  <si>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</si>
  <si>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</si>
  <si>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</si>
  <si>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</si>
  <si>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</si>
  <si>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</si>
  <si>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</si>
  <si>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</si>
  <si>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</si>
  <si>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</si>
  <si>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</si>
  <si>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</si>
  <si>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</si>
  <si>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</si>
  <si>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</si>
  <si>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</si>
  <si>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</si>
  <si>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</si>
  <si>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</si>
  <si>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</si>
  <si>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</si>
  <si>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</si>
  <si>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</si>
  <si>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</si>
  <si>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</si>
  <si>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</si>
  <si>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</si>
  <si>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</si>
  <si>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</si>
  <si>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</si>
  <si>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</si>
  <si>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</si>
  <si>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</si>
  <si>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</si>
  <si>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</si>
  <si>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</si>
  <si>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</si>
  <si>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</si>
  <si>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</si>
  <si>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</si>
  <si>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</si>
  <si>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</si>
  <si>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</si>
  <si>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</si>
  <si>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</si>
  <si>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</si>
  <si>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</si>
  <si>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</si>
  <si>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</si>
  <si>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</si>
  <si>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</si>
  <si>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</si>
  <si>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</si>
  <si>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</si>
  <si>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</si>
  <si>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</si>
  <si>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</si>
  <si>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</si>
  <si>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</si>
  <si>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</si>
  <si>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</si>
  <si>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</si>
  <si>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</si>
  <si>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</si>
  <si>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</si>
  <si>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</si>
  <si>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</si>
  <si>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</si>
  <si>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</si>
  <si>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</si>
  <si>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</si>
  <si>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</si>
  <si>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</si>
  <si>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</si>
  <si>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</si>
  <si>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</si>
  <si>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</si>
  <si>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</si>
  <si>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</si>
  <si>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</si>
  <si>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</si>
  <si>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</si>
  <si>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</si>
  <si>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</si>
  <si>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</si>
  <si>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</si>
  <si>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</si>
  <si>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</si>
  <si>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</si>
  <si>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</si>
  <si>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</si>
  <si>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</si>
  <si>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</si>
  <si>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</si>
  <si>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</si>
  <si>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</si>
  <si>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</si>
  <si>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</si>
  <si>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</si>
  <si>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</si>
  <si>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</si>
  <si>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</si>
  <si>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</si>
  <si>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</si>
  <si>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</si>
  <si>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</si>
  <si>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</si>
  <si>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</si>
  <si>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</si>
  <si>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</si>
  <si>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</si>
  <si>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</si>
  <si>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</si>
  <si>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</si>
  <si>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</si>
  <si>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</si>
  <si>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</si>
  <si>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</si>
  <si>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</si>
  <si>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</si>
  <si>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</si>
  <si>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</si>
  <si>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</si>
  <si>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</si>
  <si>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</si>
  <si>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</si>
  <si>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</si>
  <si>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</si>
  <si>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</si>
  <si>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</si>
  <si>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</si>
  <si>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</si>
  <si>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</si>
  <si>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</si>
  <si>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</si>
  <si>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</si>
  <si>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</si>
  <si>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</si>
  <si>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</si>
  <si>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</si>
  <si>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</si>
  <si>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</si>
  <si>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</si>
  <si>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</si>
  <si>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</si>
  <si>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</si>
  <si>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</si>
  <si>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</si>
  <si>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</si>
  <si>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</si>
  <si>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</si>
  <si>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</si>
  <si>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</si>
  <si>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</si>
  <si>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</si>
  <si>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</si>
  <si>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</si>
  <si>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</si>
  <si>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</si>
  <si>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</si>
  <si>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</si>
  <si>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</si>
  <si>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</si>
  <si>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</si>
  <si>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</si>
  <si>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</si>
  <si>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</si>
  <si>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</si>
  <si>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</si>
  <si>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</si>
  <si>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</si>
  <si>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</si>
  <si>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</si>
  <si>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</si>
  <si>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</si>
  <si>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</si>
  <si>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</si>
  <si>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</si>
  <si>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</si>
  <si>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</si>
  <si>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</si>
  <si>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</si>
  <si>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</si>
  <si>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</si>
  <si>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</si>
  <si>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</si>
  <si>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</si>
  <si>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</si>
  <si>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</si>
  <si>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</si>
  <si>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</si>
  <si>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</si>
  <si>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</si>
  <si>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</si>
  <si>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</si>
  <si>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</si>
  <si>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</si>
  <si>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</si>
  <si>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</si>
  <si>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</si>
  <si>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</si>
  <si>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</si>
  <si>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</si>
  <si>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</si>
  <si>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</si>
  <si>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</si>
  <si>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</si>
  <si>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</si>
  <si>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</si>
  <si>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</si>
  <si>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</si>
  <si>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</si>
  <si>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</si>
  <si>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</si>
  <si>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</si>
  <si>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</si>
  <si>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</si>
  <si>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</si>
  <si>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</si>
  <si>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</si>
  <si>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</si>
  <si>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</si>
  <si>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</si>
  <si>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</si>
  <si>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</si>
  <si>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</si>
  <si>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</si>
  <si>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</si>
  <si>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</si>
  <si>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</si>
  <si>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</si>
  <si>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</si>
  <si>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</si>
  <si>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</si>
  <si>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</si>
  <si>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</si>
  <si>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</si>
  <si>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</si>
  <si>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</si>
  <si>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</si>
  <si>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</si>
  <si>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</si>
  <si>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</si>
  <si>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</si>
  <si>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</si>
  <si>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</si>
  <si>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</si>
  <si>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</si>
  <si>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</si>
  <si>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</si>
  <si>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</si>
  <si>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</si>
  <si>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</si>
  <si>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</si>
  <si>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</si>
  <si>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</si>
  <si>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</si>
  <si>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</si>
  <si>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</si>
  <si>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</si>
  <si>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</si>
  <si>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</si>
  <si>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</si>
  <si>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</si>
  <si>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</si>
  <si>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</si>
  <si>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</si>
  <si>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</si>
  <si>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</si>
  <si>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</si>
  <si>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</si>
  <si>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</si>
  <si>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</si>
  <si>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</si>
  <si>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</si>
  <si>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</si>
  <si>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</si>
  <si>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</si>
  <si>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</si>
  <si>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</si>
  <si>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</si>
  <si>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</si>
  <si>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</si>
  <si>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</si>
  <si>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</si>
  <si>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</si>
  <si>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</si>
  <si>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</si>
  <si>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</si>
  <si>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</si>
  <si>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</si>
  <si>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</si>
  <si>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</si>
  <si>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</si>
  <si>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</si>
  <si>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</si>
  <si>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</si>
  <si>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</si>
  <si>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</si>
  <si>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</si>
  <si>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</si>
  <si>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</si>
  <si>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</si>
  <si>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</si>
  <si>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</si>
  <si>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</si>
  <si>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</si>
  <si>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</si>
  <si>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</si>
  <si>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</si>
  <si>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</si>
  <si>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</si>
  <si>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</si>
  <si>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</si>
  <si>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</si>
  <si>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</si>
  <si>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</si>
  <si>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</si>
  <si>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</si>
  <si>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</si>
  <si>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</si>
  <si>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</si>
  <si>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</si>
  <si>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</si>
  <si>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</si>
  <si>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</si>
  <si>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</si>
  <si>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</si>
  <si>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</si>
  <si>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</si>
  <si>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</si>
  <si>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</si>
  <si>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</si>
  <si>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</si>
  <si>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</si>
  <si>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</si>
  <si>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</si>
  <si>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</si>
  <si>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</si>
  <si>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</si>
  <si>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</si>
  <si>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</si>
  <si>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</si>
  <si>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</si>
  <si>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</si>
  <si>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</si>
  <si>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</si>
  <si>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</si>
  <si>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</si>
  <si>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</si>
  <si>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</si>
  <si>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</si>
  <si>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</si>
  <si>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</si>
  <si>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</si>
  <si>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</si>
  <si>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</si>
  <si>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</si>
  <si>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</si>
  <si>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</si>
  <si>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</si>
  <si>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</si>
  <si>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</si>
  <si>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</si>
  <si>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</si>
  <si>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</si>
  <si>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</si>
  <si>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</si>
  <si>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</si>
  <si>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</si>
  <si>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</si>
  <si>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</si>
  <si>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</si>
  <si>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</si>
  <si>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</si>
  <si>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</si>
  <si>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</si>
  <si>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</si>
  <si>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</si>
  <si>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</si>
  <si>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</si>
  <si>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</si>
  <si>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</si>
  <si>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</si>
  <si>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</si>
  <si>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</si>
  <si>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</si>
  <si>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</si>
  <si>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</si>
  <si>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</si>
  <si>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</si>
  <si>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</si>
  <si>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</si>
  <si>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</si>
  <si>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</si>
  <si>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</si>
  <si>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</si>
  <si>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</si>
  <si>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</si>
  <si>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</si>
  <si>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</si>
  <si>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</si>
  <si>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</si>
  <si>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</si>
  <si>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</si>
  <si>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</si>
  <si>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</si>
  <si>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</si>
  <si>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</si>
  <si>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</si>
  <si>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</si>
  <si>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</si>
  <si>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</si>
  <si>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</si>
  <si>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</si>
  <si>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</si>
  <si>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</si>
  <si>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</si>
  <si>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</si>
  <si>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</si>
  <si>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</si>
  <si>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</si>
  <si>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</si>
  <si>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</si>
  <si>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</si>
  <si>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</si>
  <si>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</si>
  <si>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</si>
  <si>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</si>
  <si>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</si>
  <si>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</si>
  <si>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</si>
  <si>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</si>
  <si>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</si>
  <si>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</si>
  <si>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</si>
  <si>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</si>
  <si>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</si>
  <si>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</si>
  <si>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</si>
  <si>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</si>
  <si>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</si>
  <si>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</si>
  <si>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</si>
  <si>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</si>
  <si>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</si>
  <si>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</si>
  <si>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</si>
  <si>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</si>
  <si>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</si>
  <si>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</si>
  <si>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</si>
  <si>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</si>
  <si>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</si>
  <si>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</si>
  <si>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</si>
  <si>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</si>
  <si>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</si>
  <si>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</si>
  <si>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</si>
  <si>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</si>
  <si>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</si>
  <si>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</si>
  <si>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</si>
  <si>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</si>
  <si>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</si>
  <si>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</si>
  <si>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</si>
  <si>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</si>
  <si>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</si>
  <si>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</si>
  <si>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</si>
  <si>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</si>
  <si>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</si>
  <si>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</si>
  <si>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</si>
  <si>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</si>
  <si>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</si>
  <si>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</si>
  <si>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</si>
  <si>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</si>
  <si>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</si>
  <si>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</si>
  <si>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</si>
  <si>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</si>
  <si>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</si>
  <si>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</si>
  <si>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</si>
  <si>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</si>
  <si>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</si>
  <si>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</si>
  <si>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</si>
  <si>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</si>
  <si>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</si>
  <si>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</si>
  <si>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</si>
  <si>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</si>
  <si>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</si>
  <si>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</si>
  <si>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</si>
  <si>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</si>
  <si>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</si>
  <si>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</si>
  <si>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</si>
  <si>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</si>
  <si>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</si>
  <si>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</si>
  <si>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</si>
  <si>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</si>
  <si>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</si>
  <si>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</si>
  <si>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</si>
  <si>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</si>
  <si>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</si>
  <si>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</si>
  <si>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</si>
  <si>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</si>
  <si>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</si>
  <si>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</si>
  <si>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</si>
  <si>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</si>
  <si>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</si>
  <si>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</si>
  <si>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</si>
  <si>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</si>
  <si>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</si>
  <si>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</si>
  <si>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</si>
  <si>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</si>
  <si>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</si>
  <si>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</si>
  <si>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</si>
  <si>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</si>
  <si>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</si>
  <si>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</si>
  <si>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</si>
  <si>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</si>
  <si>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</si>
  <si>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</si>
  <si>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</si>
  <si>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</si>
  <si>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</si>
  <si>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</si>
  <si>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</si>
  <si>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</si>
  <si>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</si>
  <si>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</si>
  <si>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</si>
  <si>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</si>
  <si>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</si>
  <si>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</si>
  <si>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</si>
  <si>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</si>
  <si>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</si>
  <si>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</si>
  <si>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</si>
  <si>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</si>
  <si>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</si>
  <si>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</si>
  <si>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</si>
  <si>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</si>
  <si>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</si>
  <si>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</si>
  <si>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</si>
  <si>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</si>
  <si>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</si>
  <si>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</si>
  <si>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</si>
  <si>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</si>
  <si>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</si>
  <si>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</si>
  <si>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</si>
  <si>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</si>
  <si>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</si>
  <si>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</si>
  <si>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</si>
  <si>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</si>
  <si>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</si>
  <si>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</si>
  <si>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</si>
  <si>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</si>
  <si>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</si>
  <si>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</si>
  <si>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</si>
  <si>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</si>
  <si>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</si>
  <si>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</si>
  <si>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</si>
  <si>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</si>
  <si>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</si>
  <si>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</si>
  <si>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</si>
  <si>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</si>
  <si>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</si>
  <si>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</si>
  <si>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</si>
  <si>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</si>
  <si>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</si>
  <si>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</si>
  <si>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</si>
  <si>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</si>
  <si>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</si>
  <si>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</si>
  <si>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</si>
  <si>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</si>
  <si>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</si>
  <si>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</si>
  <si>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</si>
  <si>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</si>
  <si>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</si>
  <si>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</si>
  <si>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</si>
  <si>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</si>
  <si>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</si>
  <si>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</si>
  <si>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</si>
  <si>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</si>
  <si>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</si>
  <si>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</si>
  <si>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</si>
  <si>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</si>
  <si>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</si>
  <si>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</si>
  <si>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</si>
  <si>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</si>
  <si>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</si>
  <si>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</si>
  <si>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</si>
  <si>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</si>
  <si>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</si>
  <si>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</si>
  <si>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</si>
  <si>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</si>
  <si>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</si>
  <si>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</si>
  <si>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</si>
  <si>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</si>
  <si>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</si>
  <si>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</si>
  <si>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</si>
  <si>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</si>
  <si>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</si>
  <si>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</si>
  <si>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</si>
  <si>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</si>
  <si>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</si>
  <si>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</si>
  <si>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</si>
  <si>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</si>
  <si>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</si>
  <si>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</si>
  <si>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</si>
  <si>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</si>
  <si>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</si>
  <si>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</si>
  <si>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</si>
  <si>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</si>
  <si>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</si>
  <si>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</si>
  <si>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</si>
  <si>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</si>
  <si>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</si>
  <si>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</si>
  <si>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</si>
  <si>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</si>
  <si>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</si>
  <si>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</si>
  <si>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</si>
  <si>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</si>
  <si>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</si>
  <si>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</si>
  <si>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</si>
  <si>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</si>
  <si>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</si>
  <si>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</si>
  <si>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</si>
  <si>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</si>
  <si>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</si>
  <si>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</si>
  <si>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</si>
  <si>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</si>
  <si>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</si>
  <si>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</si>
  <si>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</si>
  <si>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</si>
  <si>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</si>
  <si>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</si>
  <si>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</si>
  <si>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</si>
  <si>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</si>
  <si>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</si>
  <si>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</si>
  <si>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</si>
  <si>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</si>
  <si>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</si>
  <si>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</si>
  <si>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</si>
  <si>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</si>
  <si>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</si>
  <si>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</si>
  <si>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</si>
  <si>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</si>
  <si>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</si>
  <si>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</si>
  <si>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</si>
  <si>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</si>
  <si>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</si>
  <si>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</si>
  <si>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</si>
  <si>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</si>
  <si>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</si>
  <si>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</si>
  <si>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</si>
  <si>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</si>
  <si>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</si>
  <si>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</si>
  <si>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</si>
  <si>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</si>
  <si>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</si>
  <si>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</si>
  <si>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</si>
  <si>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</si>
  <si>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</si>
  <si>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</si>
  <si>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</si>
  <si>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</si>
  <si>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</si>
  <si>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</si>
  <si>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</si>
  <si>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</si>
  <si>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</si>
  <si>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</si>
  <si>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</si>
  <si>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</si>
  <si>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</si>
  <si>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</si>
  <si>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</si>
  <si>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</si>
  <si>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</si>
  <si>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</si>
  <si>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</si>
  <si>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</si>
  <si>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</si>
  <si>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</si>
  <si>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</si>
  <si>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</si>
  <si>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</si>
  <si>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</si>
  <si>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</si>
  <si>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</si>
  <si>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</si>
  <si>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</si>
  <si>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</si>
  <si>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</si>
  <si>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</si>
  <si>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</si>
  <si>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</si>
  <si>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</si>
  <si>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</si>
  <si>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</si>
  <si>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</si>
  <si>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</si>
  <si>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</si>
  <si>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</si>
  <si>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</si>
  <si>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</si>
  <si>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</si>
  <si>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</si>
  <si>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</si>
  <si>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</si>
  <si>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</si>
  <si>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</si>
  <si>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</si>
  <si>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</si>
  <si>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</si>
  <si>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</si>
  <si>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</si>
  <si>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</si>
  <si>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</si>
  <si>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</si>
  <si>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</si>
  <si>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</si>
  <si>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</si>
  <si>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</si>
  <si>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</si>
  <si>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</si>
  <si>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</si>
  <si>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</si>
  <si>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</si>
  <si>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</si>
  <si>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</si>
  <si>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</si>
  <si>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</si>
  <si>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</si>
  <si>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</si>
  <si>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</si>
  <si>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</si>
  <si>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</si>
  <si>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</si>
  <si>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</si>
  <si>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</si>
  <si>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</si>
  <si>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</si>
  <si>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</si>
  <si>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</si>
  <si>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</si>
  <si>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</si>
  <si>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</si>
  <si>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</si>
  <si>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</si>
  <si>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</si>
  <si>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</si>
  <si>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</si>
  <si>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</si>
  <si>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</si>
  <si>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</si>
  <si>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</si>
  <si>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</si>
  <si>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</si>
  <si>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</si>
  <si>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</si>
  <si>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</si>
  <si>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</si>
  <si>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</si>
  <si>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</si>
  <si>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</si>
  <si>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</si>
  <si>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</si>
  <si>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</si>
  <si>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</si>
  <si>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</si>
  <si>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</si>
  <si>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</si>
  <si>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</si>
  <si>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</si>
  <si>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</si>
  <si>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</si>
  <si>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</si>
  <si>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</si>
  <si>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</si>
  <si>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</si>
  <si>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</si>
  <si>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</si>
  <si>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</si>
  <si>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</si>
  <si>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</si>
  <si>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</si>
  <si>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</si>
  <si>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</si>
  <si>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</si>
  <si>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</si>
  <si>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</si>
  <si>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</si>
  <si>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</si>
  <si>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</si>
  <si>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</si>
  <si>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</si>
  <si>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</si>
  <si>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</si>
  <si>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</si>
  <si>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</si>
  <si>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</si>
  <si>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</si>
  <si>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</si>
  <si>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</si>
  <si>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</si>
  <si>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</si>
  <si>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</si>
  <si>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</si>
  <si>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</si>
  <si>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</si>
  <si>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</si>
  <si>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</si>
  <si>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</si>
  <si>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</si>
  <si>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</si>
  <si>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</si>
  <si>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</si>
  <si>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</si>
  <si>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</si>
  <si>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</si>
  <si>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</si>
  <si>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</si>
  <si>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</si>
  <si>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</si>
  <si>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</si>
  <si>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</si>
  <si>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</si>
  <si>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</si>
  <si>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</si>
  <si>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</si>
  <si>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</si>
  <si>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</si>
  <si>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</si>
  <si>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</si>
  <si>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</si>
  <si>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</si>
  <si>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</si>
  <si>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</si>
  <si>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</si>
  <si>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</si>
  <si>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</si>
  <si>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</si>
  <si>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</si>
  <si>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</si>
  <si>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</si>
  <si>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</si>
  <si>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</si>
  <si>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</si>
  <si>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</si>
  <si>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</si>
  <si>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</si>
  <si>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</si>
  <si>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</si>
  <si>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</si>
  <si>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</si>
  <si>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</si>
  <si>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</si>
  <si>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</si>
  <si>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</si>
  <si>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</si>
  <si>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</si>
  <si>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</si>
  <si>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</si>
  <si>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</si>
  <si>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</si>
  <si>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</si>
  <si>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</si>
  <si>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</si>
  <si>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</si>
  <si>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</si>
  <si>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</si>
  <si>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</si>
  <si>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</si>
  <si>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</si>
  <si>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</si>
  <si>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</si>
  <si>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</si>
  <si>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</si>
  <si>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</si>
  <si>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</si>
  <si>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</si>
  <si>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</si>
  <si>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</si>
  <si>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</si>
  <si>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</si>
  <si>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</si>
  <si>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</si>
  <si>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</si>
  <si>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</si>
  <si>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</si>
  <si>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</si>
  <si>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</si>
  <si>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</si>
  <si>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</si>
  <si>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</si>
  <si>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</si>
  <si>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</si>
  <si>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</si>
  <si>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</si>
  <si>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</si>
  <si>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</si>
  <si>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</si>
  <si>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</si>
  <si>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</si>
  <si>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</si>
  <si>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</si>
  <si>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</si>
  <si>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</si>
  <si>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</si>
  <si>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</si>
  <si>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</si>
  <si>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</si>
  <si>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</si>
  <si>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</si>
  <si>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</si>
  <si>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</si>
  <si>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</si>
  <si>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</si>
  <si>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</si>
  <si>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</si>
  <si>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</si>
  <si>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</si>
  <si>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</si>
  <si>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</si>
  <si>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</si>
  <si>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</si>
  <si>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</si>
  <si>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</si>
  <si>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</si>
  <si>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</si>
  <si>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</si>
  <si>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</si>
  <si>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</si>
  <si>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</si>
  <si>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</si>
  <si>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</si>
  <si>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</si>
  <si>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</si>
  <si>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</si>
  <si>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</si>
  <si>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</si>
  <si>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</si>
  <si>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</si>
  <si>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</si>
  <si>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</si>
  <si>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</si>
  <si>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</si>
  <si>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</si>
  <si>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</si>
  <si>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</si>
  <si>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</si>
  <si>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</si>
  <si>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</si>
  <si>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</si>
  <si>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</si>
  <si>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</si>
  <si>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</si>
  <si>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</si>
  <si>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</si>
  <si>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</si>
  <si>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</si>
  <si>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</si>
  <si>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</si>
  <si>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</si>
  <si>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</si>
  <si>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</si>
  <si>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</si>
  <si>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</si>
  <si>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</si>
  <si>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</si>
  <si>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</si>
  <si>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</si>
  <si>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</si>
  <si>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</si>
  <si>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</si>
  <si>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</si>
  <si>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</si>
  <si>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</si>
  <si>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</si>
  <si>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</si>
  <si>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</si>
  <si>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</si>
  <si>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</si>
  <si>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</si>
  <si>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</si>
  <si>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</si>
  <si>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</si>
  <si>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</si>
  <si>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</si>
  <si>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</si>
  <si>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</si>
  <si>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</si>
  <si>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</si>
  <si>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</si>
  <si>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</si>
  <si>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</si>
  <si>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</si>
  <si>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</si>
  <si>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</si>
  <si>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</si>
  <si>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</si>
  <si>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</si>
  <si>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</si>
  <si>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</si>
  <si>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</si>
  <si>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</si>
  <si>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</si>
  <si>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</si>
  <si>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</si>
  <si>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</si>
  <si>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</si>
  <si>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</si>
  <si>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</si>
  <si>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</si>
  <si>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</si>
  <si>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</si>
  <si>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</si>
  <si>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</si>
  <si>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</si>
  <si>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</si>
  <si>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</si>
  <si>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</si>
  <si>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</si>
  <si>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</si>
  <si>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</si>
  <si>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</si>
  <si>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</si>
  <si>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</si>
  <si>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</si>
  <si>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</si>
  <si>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</si>
  <si>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</si>
  <si>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</si>
  <si>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</si>
  <si>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</si>
  <si>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</si>
  <si>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</si>
  <si>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</si>
  <si>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</si>
  <si>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</si>
  <si>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</si>
  <si>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</si>
  <si>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</si>
  <si>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</si>
  <si>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</si>
  <si>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</si>
  <si>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</si>
  <si>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</si>
  <si>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</si>
  <si>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</si>
  <si>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</si>
  <si>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</si>
  <si>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</si>
  <si>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</si>
  <si>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</si>
  <si>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</si>
  <si>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</si>
  <si>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</si>
  <si>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</si>
  <si>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</si>
  <si>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</si>
  <si>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</si>
  <si>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</si>
  <si>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</si>
  <si>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</si>
  <si>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</si>
  <si>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</si>
  <si>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</si>
  <si>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</si>
  <si>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</si>
  <si>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</si>
  <si>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</si>
  <si>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</si>
  <si>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</si>
  <si>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</si>
  <si>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</si>
  <si>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</si>
  <si>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</si>
  <si>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</si>
  <si>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</si>
  <si>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</si>
  <si>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</si>
  <si>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</si>
  <si>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</si>
  <si>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</si>
  <si>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</si>
  <si>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</si>
  <si>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</si>
  <si>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</si>
  <si>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</si>
  <si>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</si>
  <si>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</si>
  <si>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</si>
  <si>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</si>
  <si>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</si>
  <si>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</si>
  <si>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</si>
  <si>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</si>
  <si>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</si>
  <si>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</si>
  <si>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</si>
  <si>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</si>
  <si>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</si>
  <si>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</si>
  <si>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</si>
  <si>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</si>
  <si>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</si>
  <si>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</si>
  <si>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</si>
  <si>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</si>
  <si>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</si>
  <si>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</si>
  <si>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</si>
  <si>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</si>
  <si>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</si>
  <si>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</si>
  <si>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</si>
  <si>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</si>
  <si>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</si>
  <si>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</si>
  <si>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</si>
  <si>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</si>
  <si>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</si>
  <si>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</si>
  <si>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</si>
  <si>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</si>
  <si>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</si>
  <si>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</si>
  <si>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</si>
  <si>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</si>
  <si>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</si>
  <si>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</si>
  <si>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</si>
  <si>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</si>
  <si>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</si>
  <si>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</si>
  <si>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</si>
  <si>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</si>
  <si>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</si>
  <si>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</si>
  <si>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</si>
  <si>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</si>
  <si>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</si>
  <si>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</si>
  <si>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</si>
  <si>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</si>
  <si>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</si>
  <si>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</si>
  <si>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</si>
  <si>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</si>
  <si>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</si>
  <si>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</si>
  <si>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</si>
  <si>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</si>
  <si>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</si>
  <si>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</si>
  <si>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</si>
  <si>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</si>
  <si>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</si>
  <si>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</si>
  <si>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</si>
  <si>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</si>
  <si>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</si>
  <si>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</si>
  <si>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</si>
  <si>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</si>
  <si>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</si>
  <si>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</si>
  <si>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</si>
  <si>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</si>
  <si>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</si>
  <si>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</si>
  <si>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</si>
  <si>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</si>
  <si>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</si>
  <si>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</si>
  <si>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</si>
  <si>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</si>
  <si>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</si>
  <si>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</si>
  <si>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</si>
  <si>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</si>
  <si>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</si>
  <si>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</si>
  <si>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</si>
  <si>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</si>
  <si>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</si>
  <si>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</si>
  <si>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</si>
  <si>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</si>
  <si>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</si>
  <si>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</si>
  <si>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</si>
  <si>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</si>
  <si>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</si>
  <si>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</si>
  <si>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</si>
  <si>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</si>
  <si>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</si>
  <si>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</si>
  <si>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</si>
  <si>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</si>
  <si>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</si>
  <si>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</si>
  <si>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</si>
  <si>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</si>
  <si>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</si>
  <si>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</si>
  <si>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</si>
  <si>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</si>
  <si>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</si>
  <si>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</si>
  <si>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</si>
  <si>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</si>
  <si>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</si>
  <si>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</si>
  <si>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</si>
  <si>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</si>
  <si>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</si>
  <si>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</si>
  <si>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</si>
  <si>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</si>
  <si>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</si>
  <si>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</si>
  <si>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</si>
  <si>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</si>
  <si>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</si>
  <si>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</si>
  <si>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</si>
  <si>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</si>
  <si>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</si>
  <si>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</si>
  <si>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</si>
  <si>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</si>
  <si>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</si>
  <si>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</si>
  <si>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</si>
  <si>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</si>
  <si>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</si>
  <si>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</si>
  <si>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</si>
  <si>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</si>
  <si>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</si>
  <si>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</si>
  <si>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</si>
  <si>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</si>
  <si>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</si>
  <si>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</si>
  <si>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</si>
  <si>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</si>
  <si>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</si>
  <si>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</si>
  <si>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</si>
  <si>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</si>
  <si>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</si>
  <si>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</si>
  <si>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</si>
  <si>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</si>
  <si>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</si>
  <si>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</si>
  <si>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</si>
  <si>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</si>
  <si>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</si>
  <si>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</si>
  <si>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</si>
  <si>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</si>
  <si>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</si>
  <si>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</si>
  <si>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</si>
  <si>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</si>
  <si>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</si>
  <si>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</si>
  <si>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</si>
  <si>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</si>
  <si>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</si>
  <si>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</si>
  <si>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</si>
  <si>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</si>
  <si>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</si>
  <si>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</si>
  <si>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</si>
  <si>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</si>
  <si>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</si>
  <si>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</si>
  <si>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</si>
  <si>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</si>
  <si>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</si>
  <si>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</si>
  <si>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</si>
  <si>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</si>
  <si>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</si>
  <si>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</si>
  <si>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</si>
  <si>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</si>
  <si>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</si>
  <si>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</si>
  <si>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</si>
  <si>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</si>
  <si>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</si>
  <si>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</si>
  <si>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</si>
  <si>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</si>
  <si>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</si>
  <si>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</si>
  <si>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</si>
  <si>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</si>
  <si>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</si>
  <si>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</si>
  <si>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</si>
  <si>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</si>
  <si>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</si>
  <si>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</si>
  <si>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</si>
  <si>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</si>
  <si>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</si>
  <si>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</si>
  <si>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</si>
  <si>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</si>
  <si>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</si>
  <si>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</si>
  <si>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</si>
  <si>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</si>
  <si>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</si>
  <si>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</si>
  <si>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</si>
  <si>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</si>
  <si>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</si>
  <si>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</si>
  <si>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</si>
  <si>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</si>
  <si>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</si>
  <si>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</si>
  <si>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</si>
  <si>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</si>
  <si>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</si>
  <si>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</si>
  <si>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</si>
  <si>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</si>
  <si>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</si>
  <si>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</si>
  <si>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</si>
  <si>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</si>
  <si>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</si>
  <si>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</si>
  <si>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</si>
  <si>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</si>
  <si>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</si>
  <si>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</si>
  <si>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</si>
  <si>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</si>
  <si>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</si>
  <si>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</si>
  <si>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</si>
  <si>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</si>
  <si>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</si>
  <si>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</si>
  <si>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</si>
  <si>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</si>
  <si>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</si>
  <si>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</si>
  <si>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</si>
  <si>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</si>
  <si>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</si>
  <si>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</si>
  <si>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</si>
  <si>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</si>
  <si>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</si>
  <si>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</si>
  <si>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</si>
  <si>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</si>
  <si>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</si>
  <si>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</si>
  <si>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</si>
  <si>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</si>
  <si>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</si>
  <si>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</si>
  <si>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</si>
  <si>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</si>
  <si>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</si>
  <si>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</si>
  <si>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</si>
  <si>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</si>
  <si>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</si>
  <si>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</si>
  <si>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</si>
  <si>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</si>
  <si>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</si>
  <si>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</si>
  <si>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</si>
  <si>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</si>
  <si>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</si>
  <si>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</si>
  <si>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</si>
  <si>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</si>
  <si>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</si>
  <si>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</si>
  <si>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</si>
  <si>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</si>
  <si>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</si>
  <si>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</si>
  <si>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</si>
  <si>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</si>
  <si>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</si>
  <si>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</si>
  <si>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</si>
  <si>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</si>
  <si>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</si>
  <si>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</si>
  <si>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</si>
  <si>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</si>
  <si>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</si>
  <si>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</si>
  <si>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</si>
  <si>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</si>
  <si>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</si>
  <si>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</si>
  <si>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</si>
  <si>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</si>
  <si>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</si>
  <si>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</si>
  <si>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</si>
  <si>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</si>
  <si>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</si>
  <si>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</si>
  <si>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</si>
  <si>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</si>
  <si>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</si>
  <si>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</si>
  <si>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</si>
  <si>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</si>
  <si>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</si>
  <si>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</si>
  <si>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</si>
  <si>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</si>
  <si>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</si>
  <si>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</si>
  <si>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</si>
  <si>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</si>
  <si>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</si>
  <si>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</si>
  <si>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</si>
  <si>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</si>
  <si>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</si>
  <si>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</si>
  <si>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</si>
  <si>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</si>
  <si>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</si>
  <si>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</si>
  <si>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</si>
  <si>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</si>
  <si>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</si>
  <si>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</si>
  <si>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</si>
  <si>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</si>
  <si>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</si>
  <si>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</si>
  <si>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</si>
  <si>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</si>
  <si>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</si>
  <si>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</si>
  <si>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</si>
  <si>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</si>
  <si>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</si>
  <si>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</si>
  <si>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</si>
  <si>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</si>
  <si>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</si>
  <si>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</si>
  <si>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</si>
  <si>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</si>
  <si>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</si>
  <si>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</si>
  <si>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</si>
  <si>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</si>
  <si>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</si>
  <si>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</si>
  <si>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</si>
  <si>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</si>
  <si>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</si>
  <si>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</si>
  <si>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</si>
  <si>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</si>
  <si>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</si>
  <si>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</si>
  <si>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</si>
  <si>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</si>
  <si>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</si>
  <si>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</si>
  <si>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</si>
  <si>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</si>
  <si>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</si>
  <si>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</si>
  <si>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</si>
  <si>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</si>
  <si>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</si>
  <si>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</si>
  <si>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</si>
  <si>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</si>
  <si>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</si>
  <si>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</si>
  <si>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</si>
  <si>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</si>
  <si>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</si>
  <si>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</si>
  <si>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</si>
  <si>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</si>
  <si>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</si>
  <si>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</si>
  <si>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</si>
  <si>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</si>
  <si>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</si>
  <si>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</si>
  <si>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</si>
  <si>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</si>
  <si>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</si>
  <si>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</si>
  <si>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</si>
  <si>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</si>
  <si>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</si>
  <si>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</si>
  <si>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</si>
  <si>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</si>
  <si>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</si>
  <si>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</si>
  <si>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</si>
  <si>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</si>
  <si>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</si>
  <si>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</si>
  <si>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</si>
  <si>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</si>
  <si>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</si>
  <si>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</si>
  <si>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</si>
  <si>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</si>
  <si>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</si>
  <si>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</si>
  <si>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</si>
  <si>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</si>
  <si>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</si>
  <si>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</si>
  <si>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</si>
  <si>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</si>
  <si>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</si>
  <si>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</si>
  <si>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</si>
  <si>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</si>
  <si>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</si>
  <si>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</si>
  <si>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</si>
  <si>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</si>
  <si>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</si>
  <si>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</si>
  <si>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</si>
  <si>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</si>
  <si>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</si>
  <si>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</si>
  <si>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</si>
  <si>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</si>
  <si>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</si>
  <si>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</si>
  <si>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</si>
  <si>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</si>
  <si>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</si>
  <si>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</si>
  <si>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</si>
  <si>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</si>
  <si>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</si>
  <si>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</si>
  <si>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</si>
  <si>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</si>
  <si>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</si>
  <si>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</si>
  <si>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</si>
  <si>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</si>
  <si>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</si>
  <si>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</si>
  <si>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</si>
  <si>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</si>
  <si>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</si>
  <si>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</si>
  <si>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</si>
  <si>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</si>
  <si>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</si>
  <si>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</si>
  <si>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</si>
  <si>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</si>
  <si>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</si>
  <si>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</si>
  <si>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</si>
  <si>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</si>
  <si>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</si>
  <si>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</si>
  <si>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</si>
  <si>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</si>
  <si>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</si>
  <si>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</si>
  <si>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</si>
  <si>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</si>
  <si>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</si>
  <si>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</si>
  <si>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</si>
  <si>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</si>
  <si>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</si>
  <si>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</si>
  <si>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</si>
  <si>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</si>
  <si>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</si>
  <si>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</si>
  <si>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</si>
  <si>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</si>
  <si>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</si>
  <si>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</si>
  <si>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</si>
  <si>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</si>
  <si>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</si>
  <si>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</si>
  <si>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</si>
  <si>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</si>
  <si>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</si>
  <si>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</si>
  <si>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</si>
  <si>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</si>
  <si>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</si>
  <si>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</si>
  <si>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</si>
  <si>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</si>
  <si>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</si>
  <si>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</si>
  <si>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</si>
  <si>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</si>
  <si>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</si>
  <si>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</si>
  <si>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</si>
  <si>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</si>
  <si>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</si>
  <si>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</si>
  <si>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</si>
  <si>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</si>
  <si>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</si>
  <si>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</si>
  <si>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</si>
  <si>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</si>
  <si>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</si>
  <si>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</si>
  <si>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</si>
  <si>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</si>
  <si>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</si>
  <si>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</si>
  <si>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</si>
  <si>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</si>
  <si>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</si>
  <si>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</si>
  <si>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</si>
  <si>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</si>
  <si>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</si>
  <si>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</si>
  <si>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</si>
  <si>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</si>
  <si>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</si>
  <si>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</si>
  <si>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</si>
  <si>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</si>
  <si>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</si>
  <si>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</si>
  <si>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</si>
  <si>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</si>
  <si>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</si>
  <si>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</si>
  <si>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</si>
  <si>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</si>
  <si>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</si>
  <si>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</si>
  <si>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</si>
  <si>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</si>
  <si>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</si>
  <si>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</si>
  <si>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</si>
  <si>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</si>
  <si>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</si>
  <si>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</si>
  <si>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</si>
  <si>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</si>
  <si>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</si>
  <si>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</si>
  <si>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</si>
  <si>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</si>
  <si>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</si>
  <si>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</si>
  <si>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</si>
  <si>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</si>
  <si>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</si>
  <si>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</si>
  <si>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</si>
  <si>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</si>
  <si>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</si>
  <si>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</si>
  <si>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</si>
  <si>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</si>
  <si>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</si>
  <si>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</si>
  <si>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</si>
  <si>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</si>
  <si>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</si>
  <si>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</si>
  <si>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</si>
  <si>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</si>
  <si>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</si>
  <si>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</si>
  <si>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</si>
  <si>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</si>
  <si>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</si>
  <si>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</si>
  <si>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</si>
  <si>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</si>
  <si>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</si>
  <si>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</si>
  <si>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</si>
  <si>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</si>
  <si>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</si>
  <si>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</si>
  <si>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</si>
  <si>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</si>
  <si>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</si>
  <si>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</si>
  <si>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</si>
  <si>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</si>
  <si>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</si>
  <si>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</si>
  <si>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</si>
  <si>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</si>
  <si>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</si>
  <si>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</si>
  <si>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</si>
  <si>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</si>
  <si>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</si>
  <si>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</si>
  <si>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</si>
  <si>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</si>
  <si>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</si>
  <si>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</si>
  <si>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</si>
  <si>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</si>
  <si>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</si>
  <si>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</si>
  <si>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</si>
  <si>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</si>
  <si>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</si>
  <si>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</si>
  <si>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</si>
  <si>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</si>
  <si>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</si>
  <si>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</si>
  <si>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</si>
  <si>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</si>
  <si>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</si>
  <si>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</si>
  <si>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</si>
  <si>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</si>
  <si>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</si>
  <si>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</si>
  <si>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</si>
  <si>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</si>
  <si>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</si>
  <si>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</si>
  <si>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</si>
  <si>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</si>
  <si>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</si>
  <si>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</si>
  <si>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</si>
  <si>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</si>
  <si>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</si>
  <si>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</si>
  <si>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</si>
  <si>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</si>
  <si>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</si>
  <si>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</si>
  <si>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</si>
  <si>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</si>
  <si>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</si>
  <si>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</si>
  <si>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</si>
  <si>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</si>
  <si>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</si>
  <si>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</si>
  <si>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</si>
  <si>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</si>
  <si>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</si>
  <si>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</si>
  <si>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</si>
  <si>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</si>
  <si>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</si>
  <si>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</si>
  <si>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</si>
  <si>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</si>
  <si>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</si>
  <si>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</si>
  <si>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</si>
  <si>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</si>
  <si>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</si>
  <si>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</si>
  <si>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</si>
  <si>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</si>
  <si>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</si>
  <si>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</si>
  <si>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</si>
  <si>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</si>
  <si>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</si>
  <si>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</si>
  <si>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</si>
  <si>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</si>
  <si>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</si>
  <si>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</si>
  <si>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</si>
  <si>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</si>
  <si>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</si>
  <si>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</si>
  <si>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</si>
  <si>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</si>
  <si>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</si>
  <si>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</si>
  <si>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</si>
  <si>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</si>
  <si>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</si>
  <si>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</si>
  <si>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</si>
  <si>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</si>
  <si>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</si>
  <si>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</si>
  <si>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</si>
  <si>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</si>
  <si>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</si>
  <si>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</si>
  <si>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</si>
  <si>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</si>
  <si>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</si>
  <si>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</si>
  <si>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</si>
  <si>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</si>
  <si>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</si>
  <si>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</si>
  <si>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</si>
  <si>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</si>
  <si>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</si>
  <si>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</si>
  <si>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</si>
  <si>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</si>
  <si>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</si>
  <si>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</si>
  <si>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</si>
  <si>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</si>
  <si>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</si>
  <si>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</si>
  <si>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</si>
  <si>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</si>
  <si>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</si>
  <si>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</si>
  <si>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</si>
  <si>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</si>
  <si>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</si>
  <si>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</si>
  <si>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</si>
  <si>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</si>
  <si>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</si>
  <si>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</si>
  <si>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</si>
  <si>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</si>
  <si>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</si>
  <si>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</si>
  <si>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</si>
  <si>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</si>
  <si>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</si>
  <si>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</si>
  <si>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</si>
  <si>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</si>
  <si>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</si>
  <si>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</si>
  <si>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</si>
  <si>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</si>
  <si>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</si>
  <si>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</si>
  <si>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</si>
  <si>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</si>
  <si>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</si>
  <si>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</si>
  <si>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</si>
  <si>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</si>
  <si>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</si>
  <si>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</si>
  <si>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</si>
  <si>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</si>
  <si>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</si>
  <si>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</si>
  <si>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</si>
  <si>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</si>
  <si>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</si>
  <si>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</si>
  <si>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</si>
  <si>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</si>
  <si>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</si>
  <si>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</si>
  <si>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</si>
  <si>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</si>
  <si>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</si>
  <si>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</si>
  <si>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</si>
  <si>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</si>
  <si>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</si>
  <si>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</si>
  <si>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</si>
  <si>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</si>
  <si>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</si>
  <si>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</si>
  <si>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</si>
  <si>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</si>
  <si>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</si>
  <si>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</si>
  <si>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</si>
  <si>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</si>
  <si>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</si>
  <si>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</si>
  <si>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</si>
  <si>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</si>
  <si>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</si>
  <si>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</si>
  <si>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</si>
  <si>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</si>
  <si>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</si>
  <si>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</si>
  <si>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</si>
  <si>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</si>
  <si>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</si>
  <si>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</si>
  <si>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</si>
  <si>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</si>
  <si>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</si>
  <si>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</si>
  <si>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</si>
  <si>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</si>
  <si>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</si>
  <si>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</si>
  <si>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</si>
  <si>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</si>
  <si>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</si>
  <si>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</si>
  <si>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</si>
  <si>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</si>
  <si>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</si>
  <si>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</si>
  <si>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</si>
  <si>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</si>
  <si>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</si>
  <si>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</si>
  <si>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</si>
  <si>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</si>
  <si>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</si>
  <si>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</si>
  <si>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</si>
  <si>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</si>
  <si>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</si>
  <si>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</si>
  <si>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</si>
  <si>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</si>
  <si>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</si>
  <si>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</si>
  <si>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</si>
  <si>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</si>
  <si>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</si>
  <si>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</si>
  <si>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</si>
  <si>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</si>
  <si>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</si>
  <si>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</si>
  <si>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</si>
  <si>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</si>
  <si>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</si>
  <si>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</si>
  <si>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</si>
  <si>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</si>
  <si>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</si>
  <si>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</si>
  <si>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</si>
  <si>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</si>
  <si>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</si>
  <si>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</si>
  <si>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</si>
  <si>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</si>
  <si>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</si>
  <si>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</si>
  <si>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</si>
  <si>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</si>
  <si>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</si>
  <si>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</si>
  <si>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</si>
  <si>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</si>
  <si>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</si>
  <si>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</si>
  <si>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</si>
  <si>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</si>
  <si>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</si>
  <si>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</si>
  <si>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</si>
  <si>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</si>
  <si>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</si>
  <si>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</si>
  <si>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</si>
  <si>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</si>
  <si>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</si>
  <si>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</si>
  <si>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</si>
  <si>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</si>
  <si>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</si>
  <si>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</si>
  <si>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</si>
  <si>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</si>
  <si>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</si>
  <si>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</si>
  <si>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</si>
  <si>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</si>
  <si>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</si>
  <si>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</si>
  <si>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</si>
  <si>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</si>
  <si>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</si>
  <si>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</si>
  <si>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</si>
  <si>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</si>
  <si>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</si>
  <si>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</si>
  <si>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</si>
  <si>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</si>
  <si>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</si>
  <si>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</si>
  <si>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</si>
  <si>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</si>
  <si>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</si>
  <si>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</si>
  <si>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</si>
  <si>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</si>
  <si>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</si>
  <si>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</si>
  <si>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</si>
  <si>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</si>
  <si>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</si>
  <si>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</si>
  <si>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</si>
  <si>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</si>
  <si>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</si>
  <si>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</si>
  <si>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</si>
  <si>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</si>
  <si>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</si>
  <si>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</si>
  <si>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</si>
  <si>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</si>
  <si>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</si>
  <si>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</si>
  <si>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</si>
  <si>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</si>
  <si>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</si>
  <si>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</si>
  <si>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</si>
  <si>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</si>
  <si>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</si>
  <si>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</si>
  <si>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</si>
  <si>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</si>
  <si>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</si>
  <si>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</si>
  <si>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</si>
  <si>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</si>
  <si>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</si>
  <si>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</si>
  <si>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</si>
  <si>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</si>
  <si>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</si>
  <si>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</si>
  <si>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</si>
  <si>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</si>
  <si>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</si>
  <si>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</si>
  <si>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</si>
  <si>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</si>
  <si>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</si>
  <si>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</si>
  <si>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</si>
  <si>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</si>
  <si>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</si>
  <si>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</si>
  <si>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</si>
  <si>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</si>
  <si>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</si>
  <si>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</si>
  <si>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</si>
  <si>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</si>
  <si>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</si>
  <si>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</si>
  <si>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</si>
  <si>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</si>
  <si>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</si>
  <si>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</si>
  <si>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</si>
  <si>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</si>
  <si>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</si>
  <si>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</si>
  <si>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</si>
  <si>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</si>
  <si>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</si>
  <si>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</si>
  <si>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</si>
  <si>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</si>
  <si>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</si>
  <si>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</si>
  <si>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</si>
  <si>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</si>
  <si>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</si>
  <si>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</si>
  <si>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</si>
  <si>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</si>
  <si>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</si>
  <si>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</si>
  <si>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</si>
  <si>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</si>
  <si>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</si>
  <si>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</si>
  <si>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</si>
  <si>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</si>
  <si>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</si>
  <si>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</si>
  <si>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</si>
  <si>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</si>
  <si>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</si>
  <si>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</si>
  <si>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</si>
  <si>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</si>
  <si>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</si>
  <si>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</si>
  <si>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</si>
  <si>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</si>
  <si>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</si>
  <si>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</si>
  <si>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</si>
  <si>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</si>
  <si>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</si>
  <si>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</si>
  <si>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</si>
  <si>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</si>
  <si>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</si>
  <si>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</si>
  <si>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</si>
  <si>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</si>
  <si>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</si>
  <si>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</si>
  <si>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</si>
  <si>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</si>
  <si>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</si>
  <si>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</si>
  <si>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</si>
  <si>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</si>
  <si>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</si>
  <si>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</si>
  <si>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</si>
  <si>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</si>
  <si>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</si>
  <si>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</si>
  <si>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</si>
  <si>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</si>
  <si>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</si>
  <si>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</si>
  <si>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</si>
  <si>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</si>
  <si>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</si>
  <si>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</si>
  <si>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</si>
  <si>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</si>
  <si>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</si>
  <si>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</si>
  <si>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</si>
  <si>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</si>
  <si>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</si>
  <si>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</si>
  <si>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</si>
  <si>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</si>
  <si>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</si>
  <si>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</si>
  <si>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</si>
  <si>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</si>
  <si>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</si>
  <si>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</si>
  <si>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</si>
  <si>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</si>
  <si>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</si>
  <si>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</si>
  <si>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</si>
  <si>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</si>
  <si>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</si>
  <si>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</si>
  <si>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</si>
  <si>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</si>
  <si>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</si>
  <si>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</si>
  <si>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</si>
  <si>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</si>
  <si>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</si>
  <si>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</si>
  <si>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</si>
  <si>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</si>
  <si>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</si>
  <si>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</si>
  <si>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</si>
  <si>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</si>
  <si>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</si>
  <si>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</si>
  <si>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</si>
  <si>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</si>
  <si>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</si>
  <si>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</si>
  <si>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</si>
  <si>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</si>
  <si>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</si>
  <si>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</si>
  <si>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</si>
  <si>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</si>
  <si>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</si>
  <si>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</si>
  <si>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</si>
  <si>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</si>
  <si>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</si>
  <si>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</si>
  <si>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</si>
  <si>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</si>
  <si>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</si>
  <si>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</si>
  <si>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</si>
  <si>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</si>
  <si>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</si>
  <si>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</si>
  <si>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</si>
  <si>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</si>
  <si>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</si>
  <si>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</si>
  <si>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</si>
  <si>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</si>
  <si>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</si>
  <si>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</si>
  <si>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</si>
  <si>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</si>
  <si>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</si>
  <si>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</si>
  <si>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</si>
  <si>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</si>
  <si>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</si>
  <si>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</si>
  <si>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</si>
  <si>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</si>
  <si>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</si>
  <si>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</si>
  <si>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</si>
  <si>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</si>
  <si>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</si>
  <si>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</si>
  <si>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</si>
  <si>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</si>
  <si>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</si>
  <si>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</si>
  <si>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</si>
  <si>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</si>
  <si>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</si>
  <si>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</si>
  <si>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</si>
  <si>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</si>
  <si>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</si>
  <si>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</si>
  <si>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</si>
  <si>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</si>
  <si>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</si>
  <si>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</si>
  <si>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</si>
  <si>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</si>
  <si>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</si>
  <si>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</si>
  <si>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</si>
  <si>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</si>
  <si>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</si>
  <si>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</si>
  <si>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</si>
  <si>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</si>
  <si>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</si>
  <si>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</si>
  <si>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</si>
  <si>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</si>
  <si>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</si>
  <si>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</si>
  <si>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</si>
  <si>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</si>
  <si>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</si>
  <si>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</si>
  <si>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</si>
  <si>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</si>
  <si>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</si>
  <si>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</si>
  <si>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</si>
  <si>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</si>
  <si>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</si>
  <si>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</si>
  <si>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</si>
  <si>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</si>
  <si>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</si>
  <si>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</si>
  <si>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</si>
  <si>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</si>
  <si>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</si>
  <si>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</si>
  <si>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</si>
  <si>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</si>
  <si>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</si>
  <si>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</si>
  <si>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</si>
  <si>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</si>
  <si>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</si>
  <si>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</si>
  <si>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</si>
  <si>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</si>
  <si>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</si>
  <si>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</si>
  <si>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</si>
  <si>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</si>
  <si>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</si>
  <si>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</si>
  <si>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</si>
  <si>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</si>
  <si>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</si>
  <si>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</si>
  <si>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</si>
  <si>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</si>
  <si>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</si>
  <si>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</si>
  <si>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</si>
  <si>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</si>
  <si>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</si>
  <si>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</si>
  <si>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</si>
  <si>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</si>
  <si>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</si>
  <si>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</si>
  <si>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</si>
  <si>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</si>
  <si>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</si>
  <si>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</si>
  <si>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</si>
  <si>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</si>
  <si>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</si>
  <si>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</si>
  <si>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</si>
  <si>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</si>
  <si>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</si>
  <si>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</si>
  <si>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</si>
  <si>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</si>
  <si>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</si>
  <si>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</si>
  <si>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</si>
  <si>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</si>
  <si>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</si>
  <si>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</si>
  <si>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</si>
  <si>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</si>
  <si>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</si>
  <si>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</si>
  <si>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</si>
  <si>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</si>
  <si>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</si>
  <si>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</si>
  <si>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</si>
  <si>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</si>
  <si>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</si>
  <si>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</si>
  <si>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</si>
  <si>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</si>
  <si>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</si>
  <si>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</si>
  <si>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</si>
  <si>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</si>
  <si>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</si>
  <si>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</si>
  <si>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</si>
  <si>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</si>
  <si>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</si>
  <si>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</si>
  <si>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</si>
  <si>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</si>
  <si>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</si>
  <si>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</si>
  <si>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</si>
  <si>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</si>
  <si>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</si>
  <si>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</si>
  <si>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</si>
  <si>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</si>
  <si>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</si>
  <si>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</si>
  <si>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</si>
  <si>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</si>
  <si>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</si>
  <si>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</si>
  <si>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</si>
  <si>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</si>
  <si>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</si>
  <si>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</si>
  <si>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</si>
  <si>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</si>
  <si>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</si>
  <si>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</si>
  <si>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</si>
  <si>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</si>
  <si>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</si>
  <si>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</si>
  <si>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</si>
  <si>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</si>
  <si>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</si>
  <si>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</si>
  <si>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</si>
  <si>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</si>
  <si>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</si>
  <si>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</si>
  <si>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</si>
  <si>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</si>
  <si>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</si>
  <si>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</si>
  <si>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</si>
  <si>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</si>
  <si>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</si>
  <si>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</si>
  <si>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</si>
  <si>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</si>
  <si>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</si>
  <si>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</si>
  <si>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</si>
  <si>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</si>
  <si>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</si>
  <si>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</si>
  <si>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</si>
  <si>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</si>
  <si>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</si>
  <si>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</si>
  <si>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</si>
  <si>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</si>
  <si>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</si>
  <si>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</si>
  <si>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</si>
  <si>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</si>
  <si>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</si>
  <si>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</si>
  <si>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</si>
  <si>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</si>
  <si>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</si>
  <si>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</si>
  <si>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</si>
  <si>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</si>
  <si>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</si>
  <si>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</si>
  <si>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</si>
  <si>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</si>
  <si>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</si>
  <si>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</si>
  <si>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</si>
  <si>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</si>
  <si>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</si>
  <si>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</si>
  <si>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</si>
  <si>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</si>
  <si>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</si>
  <si>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</si>
  <si>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</si>
  <si>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</si>
  <si>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</si>
  <si>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</si>
  <si>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</si>
  <si>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</si>
  <si>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</si>
  <si>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</si>
  <si>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</si>
  <si>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</si>
  <si>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</si>
  <si>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</si>
  <si>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</si>
  <si>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</si>
  <si>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</si>
  <si>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</si>
  <si>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</si>
  <si>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</si>
  <si>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</si>
  <si>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</si>
  <si>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</si>
  <si>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</si>
  <si>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</si>
  <si>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</si>
  <si>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</si>
  <si>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</si>
  <si>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</si>
  <si>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</si>
  <si>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</si>
  <si>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</si>
  <si>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</si>
  <si>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</si>
  <si>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</si>
  <si>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</si>
  <si>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</si>
  <si>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</si>
  <si>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</si>
  <si>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</si>
  <si>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</si>
  <si>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</si>
  <si>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</si>
  <si>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</si>
  <si>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</si>
  <si>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</si>
  <si>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</si>
  <si>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</si>
  <si>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</si>
  <si>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</si>
  <si>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</si>
  <si>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</si>
  <si>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</si>
  <si>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</si>
  <si>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</si>
  <si>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</si>
  <si>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</si>
  <si>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</si>
  <si>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</si>
  <si>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</si>
  <si>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</si>
  <si>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</si>
  <si>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</si>
  <si>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</si>
  <si>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</si>
  <si>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</si>
  <si>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</si>
  <si>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</si>
  <si>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</si>
  <si>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</si>
  <si>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</si>
  <si>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</si>
  <si>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</si>
  <si>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</si>
  <si>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</si>
  <si>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</si>
  <si>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</si>
  <si>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</si>
  <si>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</si>
  <si>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</si>
  <si>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</si>
  <si>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</si>
  <si>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</si>
  <si>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</si>
  <si>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</si>
  <si>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</si>
  <si>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</si>
  <si>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</si>
  <si>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</si>
  <si>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</si>
  <si>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</si>
  <si>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</si>
  <si>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</si>
  <si>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</si>
  <si>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</si>
  <si>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</si>
  <si>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</si>
  <si>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</si>
  <si>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</si>
  <si>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</si>
  <si>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</si>
  <si>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</si>
  <si>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</si>
  <si>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</si>
  <si>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</si>
  <si>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</si>
  <si>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</si>
  <si>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</si>
  <si>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</si>
  <si>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</si>
  <si>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</si>
  <si>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</si>
  <si>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</si>
  <si>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</si>
  <si>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</si>
  <si>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</si>
  <si>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</si>
  <si>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</si>
  <si>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</si>
  <si>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</si>
  <si>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</si>
  <si>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</si>
  <si>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</si>
  <si>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</si>
  <si>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</si>
  <si>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</si>
  <si>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</si>
  <si>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</si>
  <si>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</si>
  <si>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</si>
  <si>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</si>
  <si>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</si>
  <si>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</si>
  <si>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</si>
  <si>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</si>
  <si>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</si>
  <si>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</si>
  <si>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</si>
  <si>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</si>
  <si>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</si>
  <si>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</si>
  <si>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</si>
  <si>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</si>
  <si>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</si>
  <si>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</si>
  <si>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</si>
  <si>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</si>
  <si>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</si>
  <si>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</si>
  <si>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</si>
  <si>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</si>
  <si>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</si>
  <si>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</si>
  <si>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</si>
  <si>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</si>
  <si>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</si>
  <si>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</si>
  <si>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</si>
  <si>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</si>
  <si>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</si>
  <si>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</si>
  <si>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</si>
  <si>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</si>
  <si>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</si>
  <si>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</si>
  <si>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</si>
  <si>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</si>
  <si>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</si>
  <si>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</si>
  <si>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</si>
  <si>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</si>
  <si>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</si>
  <si>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</si>
  <si>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</si>
  <si>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</si>
  <si>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</si>
  <si>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</si>
  <si>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</si>
  <si>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</si>
  <si>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</si>
  <si>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</si>
  <si>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</si>
  <si>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</si>
  <si>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</si>
  <si>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</si>
  <si>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</si>
  <si>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</si>
  <si>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</si>
  <si>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</si>
  <si>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</si>
  <si>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</si>
  <si>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</si>
  <si>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</si>
  <si>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</si>
  <si>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</si>
  <si>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</si>
  <si>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</si>
  <si>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</si>
  <si>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</si>
  <si>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</si>
  <si>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</si>
  <si>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</si>
  <si>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</si>
  <si>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</si>
  <si>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</si>
  <si>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</si>
  <si>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</si>
  <si>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</si>
  <si>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</si>
  <si>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</si>
  <si>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</si>
  <si>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</si>
  <si>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</si>
  <si>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</si>
  <si>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</si>
  <si>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</si>
  <si>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</si>
  <si>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</si>
  <si>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</si>
  <si>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</si>
  <si>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</si>
  <si>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</si>
  <si>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</si>
  <si>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</si>
  <si>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</si>
  <si>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</si>
  <si>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</si>
  <si>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</si>
  <si>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</si>
  <si>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</si>
  <si>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</si>
  <si>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</si>
  <si>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</si>
  <si>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</si>
  <si>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</si>
  <si>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</si>
  <si>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</si>
  <si>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</si>
  <si>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</si>
  <si>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</si>
  <si>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</si>
  <si>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</si>
  <si>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</si>
  <si>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</si>
  <si>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</si>
  <si>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</si>
  <si>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</si>
  <si>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</si>
  <si>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</si>
  <si>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</si>
  <si>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</si>
  <si>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</si>
  <si>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</si>
  <si>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</si>
  <si>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</si>
  <si>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</si>
  <si>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</si>
  <si>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</si>
  <si>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</si>
  <si>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</si>
  <si>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</si>
  <si>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</si>
  <si>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</si>
  <si>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</si>
  <si>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</si>
  <si>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</si>
  <si>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</si>
  <si>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</si>
  <si>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</si>
  <si>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</si>
  <si>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</si>
  <si>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</si>
  <si>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</si>
  <si>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</si>
  <si>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</si>
  <si>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</si>
  <si>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</si>
  <si>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</si>
  <si>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</si>
  <si>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</si>
  <si>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</si>
  <si>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</si>
  <si>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</si>
  <si>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</si>
  <si>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</si>
  <si>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</si>
  <si>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</si>
  <si>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</si>
  <si>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</si>
  <si>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</si>
  <si>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</si>
  <si>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</si>
  <si>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</si>
  <si>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</si>
  <si>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</si>
  <si>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</si>
  <si>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</si>
  <si>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</si>
  <si>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</si>
  <si>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</si>
  <si>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</si>
  <si>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</si>
  <si>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</si>
  <si>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</si>
  <si>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</si>
  <si>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</si>
  <si>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</si>
  <si>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</si>
  <si>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</si>
  <si>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</si>
  <si>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</si>
  <si>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</si>
  <si>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</si>
  <si>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</si>
  <si>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</si>
  <si>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</si>
  <si>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</si>
  <si>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</si>
  <si>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</si>
  <si>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</si>
  <si>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</si>
  <si>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</si>
  <si>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</si>
  <si>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</si>
  <si>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</si>
  <si>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</si>
  <si>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</si>
  <si>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</si>
  <si>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</si>
  <si>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</si>
  <si>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</si>
  <si>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</si>
  <si>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</si>
  <si>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</si>
  <si>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</si>
  <si>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</si>
  <si>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</si>
  <si>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</si>
  <si>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</si>
  <si>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</si>
  <si>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</si>
  <si>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</si>
  <si>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</si>
  <si>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</si>
  <si>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</si>
  <si>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</si>
  <si>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</si>
  <si>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</si>
  <si>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</si>
  <si>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</si>
  <si>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</si>
  <si>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</si>
  <si>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</si>
  <si>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</si>
  <si>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</si>
  <si>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</si>
  <si>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</si>
  <si>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</si>
  <si>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</si>
  <si>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</si>
  <si>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</si>
  <si>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</si>
  <si>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</si>
  <si>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</si>
  <si>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</si>
  <si>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</si>
  <si>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</si>
  <si>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</si>
  <si>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</si>
  <si>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</si>
  <si>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</si>
  <si>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</si>
  <si>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</si>
  <si>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</si>
  <si>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</si>
  <si>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</si>
  <si>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</si>
  <si>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</si>
  <si>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</si>
  <si>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</si>
  <si>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</si>
  <si>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</si>
  <si>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</si>
  <si>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</si>
  <si>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</si>
  <si>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</si>
  <si>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</si>
  <si>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</si>
  <si>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</si>
  <si>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</si>
  <si>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</si>
  <si>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</si>
  <si>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</si>
  <si>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</si>
  <si>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</si>
  <si>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</si>
  <si>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</si>
  <si>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</si>
  <si>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</si>
  <si>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</si>
  <si>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</si>
  <si>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</si>
  <si>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</si>
  <si>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</si>
  <si>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</si>
  <si>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</si>
  <si>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</si>
  <si>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</si>
  <si>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</si>
  <si>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</si>
  <si>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</si>
  <si>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</si>
  <si>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</si>
  <si>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</si>
  <si>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</si>
  <si>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</si>
  <si>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</si>
  <si>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</si>
  <si>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</si>
  <si>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</si>
  <si>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</si>
  <si>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</si>
  <si>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</si>
  <si>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</si>
  <si>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</si>
  <si>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</si>
  <si>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</si>
  <si>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</si>
  <si>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</si>
  <si>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</si>
  <si>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</si>
  <si>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</si>
  <si>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</si>
  <si>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</si>
  <si>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</si>
  <si>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</si>
  <si>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</si>
  <si>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</si>
  <si>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</si>
  <si>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</si>
  <si>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</si>
  <si>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</si>
  <si>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</si>
  <si>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</si>
  <si>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</si>
  <si>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</si>
  <si>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</si>
  <si>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</si>
  <si>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</si>
  <si>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</si>
  <si>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</si>
  <si>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</si>
  <si>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</si>
  <si>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</si>
  <si>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</si>
  <si>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</si>
  <si>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</si>
  <si>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</si>
  <si>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</si>
  <si>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</si>
  <si>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</si>
  <si>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</si>
  <si>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</si>
  <si>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</si>
  <si>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</si>
  <si>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</si>
  <si>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</si>
  <si>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</si>
  <si>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</si>
  <si>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</si>
  <si>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</si>
  <si>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</si>
  <si>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</si>
  <si>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</si>
  <si>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</si>
  <si>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</si>
  <si>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</si>
  <si>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</si>
  <si>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</si>
  <si>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</si>
  <si>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</si>
  <si>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</si>
  <si>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</si>
  <si>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</si>
  <si>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</si>
  <si>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</si>
  <si>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</si>
  <si>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</si>
  <si>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</si>
  <si>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</si>
  <si>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</si>
  <si>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</si>
  <si>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</si>
  <si>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</si>
  <si>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</si>
  <si>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</si>
  <si>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</si>
  <si>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</si>
  <si>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</si>
  <si>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</si>
  <si>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</si>
  <si>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</si>
  <si>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</si>
  <si>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</si>
  <si>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</si>
  <si>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</si>
  <si>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</si>
  <si>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</si>
  <si>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</si>
  <si>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</si>
  <si>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</si>
  <si>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</si>
  <si>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</si>
  <si>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</si>
  <si>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</si>
  <si>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</si>
  <si>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</si>
  <si>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</si>
  <si>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</si>
  <si>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</si>
  <si>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</si>
  <si>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</si>
  <si>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</si>
  <si>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</si>
  <si>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</si>
  <si>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</si>
  <si>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</si>
  <si>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</si>
  <si>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</si>
  <si>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</si>
  <si>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</si>
  <si>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</si>
  <si>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</si>
  <si>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</si>
  <si>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</si>
  <si>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</si>
  <si>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</si>
  <si>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</si>
  <si>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</si>
  <si>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</si>
  <si>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</si>
  <si>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</si>
  <si>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</si>
  <si>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</si>
  <si>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</si>
  <si>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</si>
  <si>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</si>
  <si>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</si>
  <si>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</si>
  <si>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</si>
  <si>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</si>
  <si>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</si>
  <si>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</si>
  <si>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</si>
  <si>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</si>
  <si>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</si>
  <si>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</si>
  <si>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</si>
  <si>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</si>
  <si>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</si>
  <si>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</si>
  <si>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</si>
  <si>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</si>
  <si>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</si>
  <si>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</si>
  <si>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</si>
  <si>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</si>
  <si>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</si>
  <si>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</si>
  <si>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</si>
  <si>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</si>
  <si>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</si>
  <si>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</si>
  <si>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</si>
  <si>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</si>
  <si>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</si>
  <si>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</si>
  <si>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</si>
  <si>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</si>
  <si>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</si>
  <si>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</si>
  <si>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</si>
  <si>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</si>
  <si>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</si>
  <si>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</si>
  <si>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</si>
  <si>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</si>
  <si>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</si>
  <si>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</si>
  <si>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</si>
  <si>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</si>
  <si>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</si>
  <si>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</si>
  <si>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</si>
  <si>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</si>
  <si>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</si>
  <si>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</si>
  <si>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</si>
  <si>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</si>
  <si>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</si>
  <si>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</si>
  <si>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</si>
  <si>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</si>
  <si>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</si>
  <si>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</si>
  <si>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</si>
  <si>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</si>
  <si>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</si>
  <si>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</si>
  <si>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</si>
  <si>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</si>
  <si>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</si>
  <si>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</si>
  <si>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</si>
  <si>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</si>
  <si>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</si>
  <si>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</si>
  <si>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</si>
  <si>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</si>
  <si>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</si>
  <si>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</si>
  <si>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</si>
  <si>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</si>
  <si>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</si>
  <si>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</si>
  <si>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</si>
  <si>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</si>
  <si>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</si>
  <si>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</si>
  <si>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</si>
  <si>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</si>
  <si>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</si>
  <si>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</si>
  <si>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</si>
  <si>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</si>
  <si>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</si>
  <si>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</si>
  <si>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</si>
  <si>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</si>
  <si>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</si>
  <si>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</si>
  <si>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</si>
  <si>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</si>
  <si>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</si>
  <si>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</si>
  <si>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</si>
  <si>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</si>
  <si>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</si>
  <si>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</si>
  <si>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</si>
  <si>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</si>
  <si>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</si>
  <si>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</si>
  <si>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</si>
  <si>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</si>
  <si>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</si>
  <si>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</si>
  <si>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</si>
  <si>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</si>
  <si>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</si>
  <si>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</si>
  <si>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</si>
  <si>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</si>
  <si>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</si>
  <si>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</si>
  <si>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</si>
  <si>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</si>
  <si>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</si>
  <si>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</si>
  <si>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</si>
  <si>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</si>
  <si>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</si>
  <si>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</si>
  <si>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</si>
  <si>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</si>
  <si>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</si>
  <si>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</si>
  <si>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</si>
  <si>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</si>
  <si>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</si>
  <si>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</si>
  <si>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</si>
  <si>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</si>
  <si>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</si>
  <si>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</si>
  <si>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</si>
  <si>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</si>
  <si>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</si>
  <si>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</si>
  <si>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</si>
  <si>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</si>
  <si>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</si>
  <si>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</si>
  <si>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</si>
  <si>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</si>
  <si>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</si>
  <si>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</si>
  <si>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</si>
  <si>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</si>
  <si>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</si>
  <si>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</si>
  <si>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</si>
  <si>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</si>
  <si>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</si>
  <si>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</si>
  <si>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</si>
  <si>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</si>
  <si>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</si>
  <si>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</si>
  <si>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</si>
  <si>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</si>
  <si>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</si>
  <si>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</si>
  <si>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</si>
  <si>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</si>
  <si>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</si>
  <si>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</si>
  <si>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</si>
  <si>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</si>
  <si>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</si>
  <si>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</si>
  <si>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</si>
  <si>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</si>
  <si>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</si>
  <si>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</si>
  <si>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</si>
  <si>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</si>
  <si>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</si>
  <si>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</si>
  <si>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</si>
  <si>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</si>
  <si>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</si>
  <si>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</si>
  <si>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</si>
  <si>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</si>
  <si>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</si>
  <si>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</si>
  <si>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</si>
  <si>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</si>
  <si>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</si>
  <si>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</si>
  <si>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</si>
  <si>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</si>
  <si>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</si>
  <si>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</si>
  <si>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</si>
  <si>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</si>
  <si>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</si>
  <si>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</si>
  <si>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</si>
  <si>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</si>
  <si>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</si>
  <si>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</si>
  <si>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</si>
  <si>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</si>
  <si>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</si>
  <si>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</si>
  <si>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</si>
  <si>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</si>
  <si>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</si>
  <si>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</si>
  <si>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</si>
  <si>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</si>
  <si>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</si>
  <si>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</si>
  <si>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</si>
  <si>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</si>
  <si>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</si>
  <si>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</si>
  <si>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</si>
  <si>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</si>
  <si>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</si>
  <si>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</si>
  <si>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</si>
  <si>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</si>
  <si>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</si>
  <si>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</si>
  <si>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</si>
  <si>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</si>
  <si>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</si>
  <si>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</si>
  <si>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</si>
  <si>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</si>
  <si>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</si>
  <si>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</si>
  <si>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</si>
  <si>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</si>
  <si>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</si>
  <si>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</si>
  <si>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</si>
  <si>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</si>
  <si>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</si>
  <si>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</si>
  <si>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</si>
  <si>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</si>
  <si>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</si>
  <si>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</si>
  <si>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</si>
  <si>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</si>
  <si>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</si>
  <si>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</si>
  <si>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</si>
  <si>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</si>
  <si>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</si>
  <si>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</si>
  <si>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</si>
  <si>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</si>
  <si>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</si>
  <si>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</si>
  <si>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</si>
  <si>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</si>
  <si>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</si>
  <si>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</si>
  <si>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</si>
  <si>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</si>
  <si>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</si>
  <si>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</si>
  <si>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</si>
  <si>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</si>
  <si>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</si>
  <si>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</si>
  <si>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</si>
  <si>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</si>
  <si>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</si>
  <si>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</si>
  <si>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</si>
  <si>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</si>
  <si>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</si>
  <si>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</si>
  <si>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</si>
  <si>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</si>
  <si>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</si>
  <si>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</si>
  <si>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</si>
  <si>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</si>
  <si>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</si>
  <si>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</si>
  <si>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</si>
  <si>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</si>
  <si>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</si>
  <si>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</si>
  <si>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</si>
  <si>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</si>
  <si>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</si>
  <si>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</si>
  <si>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</si>
  <si>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</si>
  <si>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</si>
  <si>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</si>
  <si>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</si>
  <si>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</si>
  <si>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</si>
  <si>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</si>
  <si>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</si>
  <si>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</si>
  <si>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</si>
  <si>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</si>
  <si>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</si>
  <si>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</si>
  <si>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</si>
  <si>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</si>
  <si>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</si>
  <si>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</si>
  <si>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</si>
  <si>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</si>
  <si>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</si>
  <si>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</si>
  <si>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</si>
  <si>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</si>
  <si>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</si>
  <si>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</si>
  <si>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</si>
  <si>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</si>
  <si>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</si>
  <si>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</si>
  <si>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</si>
  <si>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</si>
  <si>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</si>
  <si>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</si>
  <si>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</si>
  <si>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</si>
  <si>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</si>
  <si>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</si>
  <si>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</si>
  <si>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</si>
  <si>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</si>
  <si>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</si>
  <si>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</si>
  <si>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</si>
  <si>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</si>
  <si>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</si>
  <si>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</si>
  <si>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</si>
  <si>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</si>
  <si>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</si>
  <si>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</si>
  <si>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</si>
  <si>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</si>
  <si>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</si>
  <si>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</si>
  <si>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</si>
  <si>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</si>
  <si>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</si>
  <si>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</si>
  <si>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</si>
  <si>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</si>
  <si>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</si>
  <si>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</si>
  <si>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</si>
  <si>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</si>
  <si>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</si>
  <si>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</si>
  <si>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</si>
  <si>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</si>
  <si>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</si>
  <si>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</si>
  <si>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</si>
  <si>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</si>
  <si>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</si>
  <si>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</si>
  <si>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</si>
  <si>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</si>
  <si>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</si>
  <si>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</si>
  <si>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</si>
  <si>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</si>
  <si>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</si>
  <si>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</si>
  <si>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</si>
  <si>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</si>
  <si>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</si>
  <si>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</si>
  <si>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</si>
  <si>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</si>
  <si>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</si>
  <si>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</si>
  <si>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</si>
  <si>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</si>
  <si>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</si>
  <si>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</si>
  <si>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</si>
  <si>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</si>
  <si>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</si>
  <si>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</si>
  <si>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</si>
  <si>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</si>
  <si>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</si>
  <si>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</si>
  <si>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</si>
  <si>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</si>
  <si>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</si>
  <si>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</si>
  <si>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</si>
  <si>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</si>
  <si>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</si>
  <si>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</si>
  <si>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</si>
  <si>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</si>
  <si>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</si>
  <si>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</si>
  <si>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</si>
  <si>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</si>
  <si>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</si>
  <si>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</si>
  <si>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</si>
  <si>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</si>
  <si>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</si>
  <si>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</si>
  <si>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</si>
  <si>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</si>
  <si>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</si>
  <si>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</si>
  <si>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</si>
  <si>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</si>
  <si>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</si>
  <si>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</si>
  <si>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</si>
  <si>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</si>
  <si>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</si>
  <si>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</si>
  <si>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</si>
  <si>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</si>
  <si>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</si>
  <si>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</si>
  <si>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</si>
  <si>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</si>
  <si>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</si>
  <si>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</si>
  <si>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</si>
  <si>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</si>
  <si>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</si>
  <si>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</si>
  <si>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</si>
  <si>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</si>
  <si>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</si>
  <si>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</si>
  <si>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</si>
  <si>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</si>
  <si>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</si>
  <si>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</si>
  <si>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</si>
  <si>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</si>
  <si>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</si>
  <si>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</si>
  <si>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</si>
  <si>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</si>
  <si>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</si>
  <si>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</si>
  <si>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</si>
  <si>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</si>
  <si>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</si>
  <si>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</si>
  <si>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</si>
  <si>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</si>
  <si>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</si>
  <si>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</si>
  <si>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</si>
  <si>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</si>
  <si>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</si>
  <si>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</si>
  <si>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</si>
  <si>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</si>
  <si>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</si>
  <si>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</si>
  <si>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</si>
  <si>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</si>
  <si>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</si>
  <si>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</si>
  <si>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</si>
  <si>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</si>
  <si>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</si>
  <si>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</si>
  <si>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</si>
  <si>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</si>
  <si>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</si>
  <si>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</si>
  <si>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</si>
  <si>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</si>
  <si>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</si>
  <si>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</si>
  <si>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</si>
  <si>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</si>
  <si>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</si>
  <si>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</si>
  <si>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</si>
  <si>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</si>
  <si>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</si>
  <si>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</si>
  <si>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</si>
  <si>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</si>
  <si>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</si>
  <si>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</si>
  <si>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</si>
  <si>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</si>
  <si>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</si>
  <si>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</si>
  <si>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</si>
  <si>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</si>
  <si>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</si>
  <si>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</si>
  <si>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</si>
  <si>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</si>
  <si>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</si>
  <si>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</si>
  <si>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</si>
  <si>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</si>
  <si>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</si>
  <si>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</si>
  <si>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</si>
  <si>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</si>
  <si>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</si>
  <si>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</si>
  <si>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</si>
  <si>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</si>
  <si>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</si>
  <si>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</si>
  <si>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</si>
  <si>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</si>
  <si>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</si>
  <si>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</si>
  <si>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</si>
  <si>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</si>
  <si>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</si>
  <si>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</si>
  <si>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</si>
  <si>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</si>
  <si>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</si>
  <si>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</si>
  <si>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</si>
  <si>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</si>
  <si>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</si>
  <si>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</si>
  <si>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</si>
  <si>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</si>
  <si>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</si>
  <si>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</si>
  <si>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</si>
  <si>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</si>
  <si>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</si>
  <si>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</si>
  <si>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</si>
  <si>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</si>
  <si>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</si>
  <si>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</si>
  <si>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</si>
  <si>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</si>
  <si>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</si>
  <si>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</si>
  <si>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</si>
  <si>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</si>
  <si>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</si>
  <si>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</si>
  <si>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</si>
  <si>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</si>
  <si>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</si>
  <si>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</si>
  <si>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</si>
  <si>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</si>
  <si>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</si>
  <si>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</si>
  <si>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</si>
  <si>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</si>
  <si>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</si>
  <si>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</si>
  <si>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</si>
  <si>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</si>
  <si>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</si>
  <si>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</si>
  <si>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</si>
  <si>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</si>
  <si>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</si>
  <si>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</si>
  <si>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</si>
  <si>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</si>
  <si>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</si>
  <si>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</si>
  <si>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</si>
  <si>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</si>
  <si>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</si>
  <si>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</si>
  <si>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</si>
  <si>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</si>
  <si>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</si>
  <si>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</si>
  <si>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</si>
  <si>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</si>
  <si>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</si>
  <si>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</si>
  <si>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</si>
  <si>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</si>
  <si>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</si>
  <si>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</si>
  <si>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</si>
  <si>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</si>
  <si>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</si>
  <si>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</si>
  <si>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</si>
  <si>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</si>
  <si>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</si>
  <si>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</si>
  <si>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</si>
  <si>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</si>
  <si>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</si>
  <si>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</si>
  <si>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</si>
  <si>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</si>
  <si>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</si>
  <si>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</si>
  <si>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</si>
  <si>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</si>
  <si>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</si>
  <si>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</si>
  <si>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</si>
  <si>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</si>
  <si>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</si>
  <si>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</si>
  <si>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</si>
  <si>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</si>
  <si>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</si>
  <si>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</si>
  <si>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</si>
  <si>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</si>
  <si>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</si>
  <si>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</si>
  <si>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</si>
  <si>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</si>
  <si>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</si>
  <si>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</si>
  <si>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</si>
  <si>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</si>
  <si>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</si>
  <si>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</si>
  <si>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</si>
  <si>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</si>
  <si>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</si>
  <si>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</si>
  <si>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</si>
  <si>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</si>
  <si>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</si>
  <si>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</si>
  <si>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</si>
  <si>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</si>
  <si>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</si>
  <si>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</si>
  <si>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</si>
  <si>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</si>
  <si>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</si>
  <si>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</si>
  <si>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</si>
  <si>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</si>
  <si>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</si>
  <si>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</si>
  <si>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</si>
  <si>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</si>
  <si>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</si>
  <si>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</si>
  <si>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</si>
  <si>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</si>
  <si>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</si>
  <si>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</si>
  <si>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</si>
  <si>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</si>
  <si>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</si>
  <si>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</si>
  <si>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</si>
  <si>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</si>
  <si>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</si>
  <si>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</si>
  <si>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</si>
  <si>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</si>
  <si>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</si>
  <si>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</si>
  <si>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</si>
  <si>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</si>
  <si>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</si>
  <si>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</si>
  <si>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</si>
  <si>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</si>
  <si>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</si>
  <si>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</si>
  <si>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</si>
  <si>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</si>
  <si>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</si>
  <si>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</si>
  <si>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</si>
  <si>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</si>
  <si>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</si>
  <si>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</si>
  <si>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</si>
  <si>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</si>
  <si>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</si>
  <si>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</si>
  <si>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</si>
  <si>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</si>
  <si>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</si>
  <si>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</si>
  <si>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</si>
  <si>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</si>
  <si>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</si>
  <si>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</si>
  <si>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</si>
  <si>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</si>
  <si>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</si>
  <si>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</si>
  <si>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</si>
  <si>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</si>
  <si>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</si>
  <si>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</si>
  <si>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</si>
  <si>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</si>
  <si>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</si>
  <si>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</si>
  <si>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</si>
  <si>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</si>
  <si>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</si>
  <si>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</si>
  <si>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</si>
  <si>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</si>
  <si>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</si>
  <si>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</si>
  <si>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</si>
  <si>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</si>
  <si>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</si>
  <si>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</si>
  <si>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</si>
  <si>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</si>
  <si>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</si>
  <si>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</si>
  <si>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</si>
  <si>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</si>
  <si>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</si>
  <si>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</si>
  <si>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</si>
  <si>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</si>
  <si>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</si>
  <si>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</si>
  <si>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</si>
  <si>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</si>
  <si>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</si>
  <si>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</si>
  <si>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</si>
  <si>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</si>
  <si>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</si>
  <si>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</si>
  <si>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</si>
  <si>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</si>
  <si>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</si>
  <si>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</si>
  <si>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</si>
  <si>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</si>
  <si>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</si>
  <si>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</si>
  <si>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</si>
  <si>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</si>
  <si>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</si>
  <si>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</si>
  <si>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</si>
  <si>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</si>
  <si>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</si>
  <si>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</si>
  <si>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</si>
  <si>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</si>
  <si>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</si>
  <si>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</si>
  <si>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</si>
  <si>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</si>
  <si>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</si>
  <si>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</si>
  <si>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</si>
  <si>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</si>
  <si>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</si>
  <si>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</si>
  <si>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</si>
  <si>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</si>
  <si>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</si>
  <si>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</si>
  <si>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</si>
  <si>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</si>
  <si>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</si>
  <si>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</si>
  <si>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</si>
  <si>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</si>
  <si>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</si>
  <si>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</si>
  <si>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</si>
  <si>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</si>
  <si>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</si>
  <si>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</si>
  <si>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</si>
  <si>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</si>
  <si>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</si>
  <si>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</si>
  <si>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</si>
  <si>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</si>
  <si>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</si>
  <si>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</si>
  <si>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</si>
  <si>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</si>
  <si>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</si>
  <si>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</si>
  <si>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</si>
  <si>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</si>
  <si>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</si>
  <si>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</si>
  <si>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</si>
  <si>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</si>
  <si>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</si>
  <si>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</si>
  <si>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</si>
  <si>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</si>
  <si>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</si>
  <si>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</si>
  <si>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</si>
  <si>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</si>
  <si>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</si>
  <si>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</si>
  <si>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</si>
  <si>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</si>
  <si>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</si>
  <si>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</si>
  <si>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</si>
  <si>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</si>
  <si>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</si>
  <si>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</si>
  <si>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</si>
  <si>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</si>
  <si>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</si>
  <si>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</si>
  <si>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</si>
  <si>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</si>
  <si>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</si>
  <si>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</si>
  <si>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</si>
  <si>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</si>
  <si>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</si>
  <si>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</si>
  <si>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</si>
  <si>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</si>
  <si>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</si>
  <si>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</si>
  <si>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</si>
  <si>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</si>
  <si>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</si>
  <si>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</si>
  <si>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</si>
  <si>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</si>
  <si>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</si>
  <si>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</si>
  <si>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</si>
  <si>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</si>
  <si>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</si>
  <si>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</si>
  <si>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</si>
  <si>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</si>
  <si>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</si>
  <si>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</si>
  <si>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</si>
  <si>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</si>
  <si>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</si>
  <si>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</si>
  <si>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</si>
  <si>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</si>
  <si>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</si>
  <si>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</si>
  <si>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</si>
  <si>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</si>
  <si>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</si>
  <si>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</si>
  <si>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</si>
  <si>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</si>
  <si>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</si>
  <si>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</si>
  <si>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</si>
  <si>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</si>
  <si>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</si>
  <si>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</si>
  <si>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</si>
  <si>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</si>
  <si>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</si>
  <si>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</si>
  <si>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</si>
  <si>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</si>
  <si>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</si>
  <si>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</si>
  <si>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</si>
  <si>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</si>
  <si>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</si>
  <si>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</si>
  <si>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</si>
  <si>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</si>
  <si>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</si>
  <si>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</si>
  <si>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</si>
  <si>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</si>
  <si>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</si>
  <si>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</si>
  <si>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</si>
  <si>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</si>
  <si>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</si>
  <si>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</si>
  <si>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</si>
  <si>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</si>
  <si>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</si>
  <si>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</si>
  <si>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</si>
  <si>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</si>
  <si>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</si>
  <si>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</si>
  <si>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</si>
  <si>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</si>
  <si>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</si>
  <si>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</si>
  <si>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</si>
  <si>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</si>
  <si>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</si>
  <si>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</si>
  <si>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</si>
  <si>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</si>
  <si>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</si>
  <si>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</si>
  <si>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</si>
  <si>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</si>
  <si>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</si>
  <si>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</si>
  <si>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</si>
  <si>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</si>
  <si>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</si>
  <si>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</si>
  <si>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</si>
  <si>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</si>
  <si>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</si>
  <si>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</si>
  <si>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</si>
  <si>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</si>
  <si>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</si>
  <si>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</si>
  <si>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</si>
  <si>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</si>
  <si>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</si>
  <si>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</si>
  <si>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</si>
  <si>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</si>
  <si>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</si>
  <si>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</si>
  <si>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</si>
  <si>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</si>
  <si>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</si>
  <si>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</si>
  <si>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</si>
  <si>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</si>
  <si>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</si>
  <si>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</si>
  <si>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</si>
  <si>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</si>
  <si>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</si>
  <si>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</si>
  <si>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</si>
  <si>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</si>
  <si>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</si>
  <si>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</si>
  <si>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</si>
  <si>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</si>
  <si>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</si>
  <si>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</si>
  <si>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</si>
  <si>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</si>
  <si>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</si>
  <si>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</si>
  <si>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</si>
  <si>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</si>
  <si>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</si>
  <si>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</si>
  <si>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</si>
  <si>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</si>
  <si>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</si>
  <si>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</si>
  <si>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</si>
  <si>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</si>
  <si>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</si>
  <si>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</si>
  <si>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</si>
  <si>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</si>
  <si>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</si>
  <si>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</si>
  <si>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</si>
  <si>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</si>
  <si>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</si>
  <si>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</si>
  <si>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</si>
  <si>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</si>
  <si>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</si>
  <si>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</si>
  <si>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</si>
  <si>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</si>
  <si>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</si>
  <si>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</si>
  <si>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</si>
  <si>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</si>
  <si>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</si>
  <si>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</si>
  <si>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</si>
  <si>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</si>
  <si>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</si>
  <si>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</si>
  <si>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</si>
  <si>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</si>
  <si>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</si>
  <si>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</si>
  <si>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</si>
  <si>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</si>
  <si>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</si>
  <si>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</si>
  <si>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</si>
  <si>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</si>
  <si>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</si>
  <si>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</si>
  <si>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</si>
  <si>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</si>
  <si>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</si>
  <si>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</si>
  <si>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</si>
  <si>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</si>
  <si>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</si>
  <si>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</si>
  <si>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</si>
  <si>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</si>
  <si>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</si>
  <si>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</si>
  <si>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</si>
  <si>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</si>
  <si>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</si>
  <si>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</si>
  <si>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</si>
  <si>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</si>
  <si>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</si>
  <si>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</si>
  <si>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</si>
  <si>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</si>
  <si>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</si>
  <si>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</si>
  <si>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</si>
  <si>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</si>
  <si>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</si>
  <si>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</si>
  <si>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</si>
  <si>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</si>
  <si>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</si>
  <si>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</si>
  <si>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</si>
  <si>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</si>
  <si>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</si>
  <si>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</si>
  <si>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</si>
  <si>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</si>
  <si>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</si>
  <si>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</si>
  <si>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</si>
  <si>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</si>
  <si>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</si>
  <si>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</si>
  <si>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</si>
  <si>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</si>
  <si>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</si>
  <si>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</si>
  <si>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</si>
  <si>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</si>
  <si>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</si>
  <si>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</si>
  <si>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</si>
  <si>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</si>
  <si>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</si>
  <si>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</si>
  <si>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</si>
  <si>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</si>
  <si>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</si>
  <si>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</si>
  <si>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</si>
  <si>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</si>
  <si>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</si>
  <si>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</si>
  <si>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</si>
  <si>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</si>
  <si>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</si>
  <si>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</si>
  <si>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</si>
  <si>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</si>
  <si>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</si>
  <si>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</si>
  <si>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</si>
  <si>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</si>
  <si>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</si>
  <si>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</si>
  <si>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</si>
  <si>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</si>
  <si>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</si>
  <si>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</si>
  <si>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</si>
  <si>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</si>
  <si>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</si>
  <si>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</si>
  <si>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</si>
  <si>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</si>
  <si>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</si>
  <si>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</si>
  <si>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</si>
  <si>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</si>
  <si>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</si>
  <si>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</si>
  <si>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</si>
  <si>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</si>
  <si>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</si>
  <si>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</si>
  <si>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</si>
  <si>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</si>
  <si>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</si>
  <si>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</si>
  <si>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</si>
  <si>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</si>
  <si>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</si>
  <si>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</si>
  <si>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</si>
  <si>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</si>
  <si>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</si>
  <si>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</si>
  <si>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</si>
  <si>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</si>
  <si>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</si>
  <si>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</si>
  <si>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</si>
  <si>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</si>
  <si>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</si>
  <si>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</si>
  <si>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</si>
  <si>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</si>
  <si>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</si>
  <si>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</si>
  <si>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</si>
  <si>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</si>
  <si>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</si>
  <si>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</si>
  <si>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</si>
  <si>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</si>
  <si>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</si>
  <si>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</si>
  <si>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</si>
  <si>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</si>
  <si>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</si>
  <si>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</si>
  <si>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</si>
  <si>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</si>
  <si>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</si>
  <si>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</si>
  <si>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</si>
  <si>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</si>
  <si>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</si>
  <si>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</si>
  <si>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</si>
  <si>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</si>
  <si>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</si>
  <si>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</si>
  <si>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</si>
  <si>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</si>
  <si>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</si>
  <si>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</si>
  <si>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</si>
  <si>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</si>
  <si>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</si>
  <si>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</si>
  <si>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</si>
  <si>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</si>
  <si>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</si>
  <si>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</si>
  <si>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</si>
  <si>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</si>
  <si>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</si>
  <si>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</si>
  <si>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</si>
  <si>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</si>
  <si>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</si>
  <si>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</si>
  <si>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</si>
  <si>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</si>
  <si>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</si>
  <si>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</si>
  <si>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</si>
  <si>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</si>
  <si>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</si>
  <si>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</si>
  <si>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</si>
  <si>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</si>
  <si>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</si>
  <si>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</si>
  <si>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</si>
  <si>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</si>
  <si>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</si>
  <si>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</si>
  <si>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</si>
  <si>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</si>
  <si>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</si>
  <si>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</si>
  <si>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</si>
  <si>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</si>
  <si>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</si>
  <si>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</si>
  <si>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</si>
  <si>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</si>
  <si>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</si>
  <si>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</si>
  <si>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</si>
  <si>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</si>
  <si>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</si>
  <si>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</si>
  <si>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</si>
  <si>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</si>
  <si>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</si>
  <si>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</si>
  <si>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</si>
  <si>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</si>
  <si>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</si>
  <si>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</si>
  <si>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</si>
  <si>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</si>
  <si>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</si>
  <si>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</si>
  <si>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</si>
  <si>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</si>
  <si>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</si>
  <si>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</si>
  <si>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</si>
  <si>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</si>
  <si>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</si>
  <si>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</si>
  <si>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</si>
  <si>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</si>
  <si>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</si>
  <si>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</si>
  <si>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</si>
  <si>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</si>
  <si>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</si>
  <si>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</si>
  <si>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</si>
  <si>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</si>
  <si>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</si>
  <si>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</si>
  <si>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</si>
  <si>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</si>
  <si>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</si>
  <si>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</si>
  <si>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</si>
  <si>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</si>
  <si>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</si>
  <si>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</si>
  <si>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</si>
  <si>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</si>
  <si>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</si>
  <si>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</si>
  <si>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</si>
  <si>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</si>
  <si>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</si>
  <si>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</si>
  <si>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</si>
  <si>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</si>
  <si>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</si>
  <si>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</si>
  <si>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</si>
  <si>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</si>
  <si>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</si>
  <si>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</si>
  <si>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</si>
  <si>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</si>
  <si>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</si>
  <si>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</si>
  <si>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</si>
  <si>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</si>
  <si>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</si>
  <si>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</si>
  <si>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</si>
  <si>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</si>
  <si>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</si>
  <si>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</si>
  <si>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</si>
  <si>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</si>
  <si>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</si>
  <si>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</si>
  <si>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</si>
  <si>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</si>
  <si>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</si>
  <si>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</si>
  <si>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</si>
  <si>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</si>
  <si>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</si>
  <si>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</si>
  <si>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</si>
  <si>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</si>
  <si>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</si>
  <si>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</si>
  <si>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</si>
  <si>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</si>
  <si>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</si>
  <si>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</si>
  <si>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</si>
  <si>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</si>
  <si>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</si>
  <si>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</si>
  <si>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</si>
  <si>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</si>
  <si>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</si>
  <si>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</si>
  <si>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</si>
  <si>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</si>
  <si>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</si>
  <si>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</si>
  <si>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</si>
  <si>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</si>
  <si>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</si>
  <si>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</si>
  <si>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</si>
  <si>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</si>
  <si>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</si>
  <si>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</si>
  <si>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</si>
  <si>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</si>
  <si>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</si>
  <si>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</si>
  <si>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</si>
  <si>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</si>
  <si>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</si>
  <si>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</si>
  <si>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</si>
  <si>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</si>
  <si>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</si>
  <si>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</si>
  <si>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</si>
  <si>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</si>
  <si>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</si>
  <si>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</si>
  <si>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</si>
  <si>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</si>
  <si>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</si>
  <si>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</si>
  <si>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</si>
  <si>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</si>
  <si>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</si>
  <si>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</si>
  <si>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</si>
  <si>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</si>
  <si>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</si>
  <si>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</si>
  <si>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</si>
  <si>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</si>
  <si>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</si>
  <si>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</si>
  <si>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</si>
  <si>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</si>
  <si>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</si>
  <si>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</si>
  <si>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</si>
  <si>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</si>
  <si>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</si>
  <si>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</si>
  <si>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</si>
  <si>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</si>
  <si>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</si>
  <si>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</si>
  <si>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</si>
  <si>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</si>
  <si>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</si>
  <si>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</si>
  <si>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</si>
  <si>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</si>
  <si>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</si>
  <si>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</si>
  <si>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</si>
  <si>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</si>
  <si>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</si>
  <si>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</si>
  <si>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</si>
  <si>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</si>
  <si>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</si>
  <si>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</si>
  <si>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</si>
  <si>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</si>
  <si>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</si>
  <si>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</si>
  <si>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</si>
  <si>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</si>
  <si>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</si>
  <si>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</si>
  <si>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</si>
  <si>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</si>
  <si>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</si>
  <si>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</si>
  <si>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</si>
  <si>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</si>
  <si>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</si>
  <si>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</si>
  <si>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</si>
  <si>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</si>
  <si>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</si>
  <si>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</si>
  <si>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</si>
  <si>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</si>
  <si>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</si>
  <si>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</si>
  <si>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</si>
  <si>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</si>
  <si>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</si>
  <si>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</si>
  <si>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</si>
  <si>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</si>
  <si>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</si>
  <si>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</si>
  <si>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</si>
  <si>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</si>
  <si>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</si>
  <si>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</si>
  <si>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</si>
  <si>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</si>
  <si>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</si>
  <si>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</si>
  <si>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</si>
  <si>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</si>
  <si>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</si>
  <si>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</si>
  <si>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</si>
  <si>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</si>
  <si>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</si>
  <si>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</si>
  <si>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</si>
  <si>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</si>
  <si>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</si>
  <si>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</si>
  <si>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</si>
  <si>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</si>
  <si>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</si>
  <si>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</si>
  <si>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</si>
  <si>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</si>
  <si>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</si>
  <si>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</si>
  <si>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</si>
  <si>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</si>
  <si>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</si>
  <si>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</si>
  <si>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</si>
  <si>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</si>
  <si>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</si>
  <si>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</si>
  <si>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</si>
  <si>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</si>
  <si>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</si>
  <si>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</si>
  <si>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</si>
  <si>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</si>
  <si>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</si>
  <si>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</si>
  <si>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</si>
  <si>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</si>
  <si>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</si>
  <si>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</si>
  <si>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</si>
  <si>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</si>
  <si>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</si>
  <si>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</si>
  <si>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</si>
  <si>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</si>
  <si>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</si>
  <si>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</si>
  <si>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</si>
  <si>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</si>
  <si>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</si>
  <si>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</si>
  <si>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</si>
  <si>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</si>
  <si>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</si>
  <si>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</si>
  <si>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</si>
  <si>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</si>
  <si>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</si>
  <si>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</si>
  <si>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</si>
  <si>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</si>
  <si>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</si>
  <si>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</si>
  <si>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</si>
  <si>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</si>
  <si>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</si>
  <si>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</si>
  <si>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</si>
  <si>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</si>
  <si>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</si>
  <si>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</si>
  <si>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</si>
  <si>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</si>
  <si>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</si>
  <si>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</si>
  <si>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</si>
  <si>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</si>
  <si>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</si>
  <si>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</si>
  <si>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</si>
  <si>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</si>
  <si>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</si>
  <si>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</si>
  <si>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</si>
  <si>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</si>
  <si>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</si>
  <si>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</si>
  <si>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</si>
  <si>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</si>
  <si>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</si>
  <si>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</si>
  <si>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</si>
  <si>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</si>
  <si>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</si>
  <si>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</si>
  <si>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</si>
  <si>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</si>
  <si>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</si>
  <si>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</si>
  <si>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</si>
  <si>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</si>
  <si>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</si>
  <si>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</si>
  <si>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</si>
  <si>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</si>
  <si>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</si>
  <si>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</si>
  <si>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</si>
  <si>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</si>
  <si>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</si>
  <si>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</si>
  <si>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</si>
  <si>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</si>
  <si>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</si>
  <si>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</si>
  <si>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</si>
  <si>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</si>
  <si>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</si>
  <si>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</si>
  <si>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</si>
  <si>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</si>
  <si>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</si>
  <si>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</si>
  <si>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</si>
  <si>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</si>
  <si>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</si>
  <si>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</si>
  <si>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</si>
  <si>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</si>
  <si>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</si>
  <si>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</si>
  <si>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</si>
  <si>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</si>
  <si>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</si>
  <si>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</si>
  <si>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</si>
  <si>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</si>
  <si>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</si>
  <si>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</si>
  <si>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</si>
  <si>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</si>
  <si>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</si>
  <si>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</si>
  <si>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</si>
  <si>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</si>
  <si>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</si>
  <si>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</si>
  <si>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</si>
  <si>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</si>
  <si>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</si>
  <si>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</si>
  <si>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</si>
  <si>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</si>
  <si>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</si>
  <si>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</si>
  <si>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</si>
  <si>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</si>
  <si>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</si>
  <si>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</si>
  <si>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</si>
  <si>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</si>
  <si>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</si>
  <si>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</si>
  <si>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</si>
  <si>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</si>
  <si>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</si>
  <si>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</si>
  <si>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</si>
  <si>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</si>
  <si>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</si>
  <si>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</si>
  <si>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</si>
  <si>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</si>
  <si>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</si>
  <si>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</si>
  <si>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</si>
  <si>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</si>
  <si>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</si>
  <si>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</si>
  <si>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</si>
  <si>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</si>
  <si>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</si>
  <si>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</si>
  <si>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</si>
  <si>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</si>
  <si>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</si>
  <si>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</si>
  <si>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</si>
  <si>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</si>
  <si>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</si>
  <si>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</si>
  <si>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</si>
  <si>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</si>
  <si>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</si>
  <si>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</si>
  <si>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</si>
  <si>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</si>
  <si>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</si>
  <si>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</si>
  <si>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</si>
  <si>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</si>
  <si>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</si>
  <si>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</si>
  <si>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</si>
  <si>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</si>
  <si>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</si>
  <si>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</si>
  <si>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</si>
  <si>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</si>
  <si>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</si>
  <si>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</si>
  <si>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</si>
  <si>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</si>
  <si>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</si>
  <si>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</si>
  <si>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</si>
  <si>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</si>
  <si>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</si>
  <si>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</si>
  <si>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</si>
  <si>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</si>
  <si>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</si>
  <si>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</si>
  <si>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</si>
  <si>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</si>
  <si>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</si>
  <si>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</si>
  <si>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</si>
  <si>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</si>
  <si>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</si>
  <si>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</si>
  <si>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</si>
  <si>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</si>
  <si>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</si>
  <si>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</si>
  <si>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</si>
  <si>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</si>
  <si>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</si>
  <si>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</si>
  <si>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</si>
  <si>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</si>
  <si>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</si>
  <si>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</si>
  <si>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</si>
  <si>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</si>
  <si>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</si>
  <si>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</si>
  <si>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</si>
  <si>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</si>
  <si>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</si>
  <si>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</si>
  <si>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</si>
  <si>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</si>
  <si>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</si>
  <si>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</si>
  <si>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</si>
  <si>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</si>
  <si>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</si>
  <si>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</si>
  <si>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</si>
  <si>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</si>
  <si>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</si>
  <si>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</si>
  <si>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</si>
  <si>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</si>
  <si>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</si>
  <si>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</si>
  <si>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</si>
  <si>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</si>
  <si>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</si>
  <si>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</si>
  <si>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</si>
  <si>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</si>
  <si>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</si>
  <si>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</si>
  <si>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</si>
  <si>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</si>
  <si>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</si>
  <si>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</si>
  <si>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</si>
  <si>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</si>
  <si>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</si>
  <si>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</si>
  <si>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</si>
  <si>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</si>
  <si>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</si>
  <si>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</si>
  <si>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</si>
  <si>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</si>
  <si>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</si>
  <si>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</si>
  <si>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</si>
  <si>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</si>
  <si>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</si>
  <si>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</si>
  <si>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</si>
  <si>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</si>
  <si>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</si>
  <si>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</si>
  <si>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</si>
  <si>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</si>
  <si>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</si>
  <si>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</si>
  <si>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</si>
  <si>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</si>
  <si>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</si>
  <si>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</si>
  <si>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</si>
  <si>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</si>
  <si>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</si>
  <si>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</si>
  <si>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</si>
  <si>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</si>
  <si>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</si>
  <si>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</si>
  <si>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</si>
  <si>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</si>
  <si>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</si>
  <si>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</si>
  <si>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</si>
  <si>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</si>
  <si>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</si>
  <si>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</si>
  <si>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</si>
  <si>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</si>
  <si>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</si>
  <si>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</si>
  <si>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</si>
  <si>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</si>
  <si>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</si>
  <si>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</si>
  <si>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</si>
  <si>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</si>
  <si>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</si>
  <si>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</si>
  <si>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</si>
  <si>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</si>
  <si>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</si>
  <si>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</si>
  <si>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</si>
  <si>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</si>
  <si>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</si>
  <si>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</si>
  <si>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</si>
  <si>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</si>
  <si>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</si>
  <si>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</si>
  <si>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</si>
  <si>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</si>
  <si>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</si>
  <si>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</si>
  <si>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</si>
  <si>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</si>
  <si>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</si>
  <si>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</si>
  <si>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</si>
  <si>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</si>
  <si>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</si>
  <si>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</si>
  <si>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</si>
  <si>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</si>
  <si>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</si>
  <si>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</si>
  <si>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</si>
  <si>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</si>
  <si>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</si>
  <si>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</si>
  <si>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</si>
  <si>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</si>
  <si>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</si>
  <si>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</si>
  <si>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</si>
  <si>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</si>
  <si>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</si>
  <si>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</si>
  <si>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</si>
  <si>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</si>
  <si>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</si>
  <si>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</si>
  <si>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</si>
  <si>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</si>
  <si>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</si>
  <si>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</si>
  <si>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</si>
  <si>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</si>
  <si>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</si>
  <si>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</si>
  <si>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</si>
  <si>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</si>
  <si>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</si>
  <si>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</si>
  <si>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</si>
  <si>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</si>
  <si>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</si>
  <si>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</si>
  <si>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</si>
  <si>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</si>
  <si>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</si>
  <si>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</si>
  <si>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</si>
  <si>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</si>
  <si>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</si>
  <si>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</si>
  <si>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</si>
  <si>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</si>
  <si>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</si>
  <si>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</si>
  <si>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</si>
  <si>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</si>
  <si>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</si>
  <si>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</si>
  <si>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</si>
  <si>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</si>
  <si>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</si>
  <si>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</si>
  <si>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</si>
  <si>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</si>
  <si>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</si>
  <si>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</si>
  <si>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</si>
  <si>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</si>
  <si>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</si>
  <si>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</si>
  <si>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</si>
  <si>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</si>
  <si>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</si>
  <si>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</si>
  <si>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</si>
  <si>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</si>
  <si>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</si>
  <si>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</si>
  <si>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</si>
  <si>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</si>
  <si>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</si>
  <si>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</si>
  <si>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</si>
  <si>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</si>
  <si>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</si>
  <si>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</si>
  <si>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</si>
  <si>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</si>
  <si>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</si>
  <si>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</si>
  <si>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</si>
  <si>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</si>
  <si>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</si>
  <si>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</si>
  <si>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</si>
  <si>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</si>
  <si>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</si>
  <si>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</si>
  <si>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</si>
  <si>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</si>
  <si>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</si>
  <si>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</si>
  <si>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</si>
  <si>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</si>
  <si>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</si>
  <si>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</si>
  <si>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</si>
  <si>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</si>
  <si>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</si>
  <si>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</si>
  <si>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</si>
  <si>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</si>
  <si>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</si>
  <si>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</si>
  <si>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</si>
  <si>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</si>
  <si>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</si>
  <si>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</si>
  <si>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</si>
  <si>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</si>
  <si>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</si>
  <si>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</si>
  <si>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</si>
  <si>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</si>
  <si>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</si>
  <si>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</si>
  <si>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</si>
  <si>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</si>
  <si>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</si>
  <si>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</si>
  <si>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</si>
  <si>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</si>
  <si>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</si>
  <si>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</si>
  <si>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</si>
  <si>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</si>
  <si>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</si>
  <si>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</si>
  <si>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</si>
  <si>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</si>
  <si>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</si>
  <si>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</si>
  <si>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</si>
  <si>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</si>
  <si>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</si>
  <si>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</si>
  <si>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</si>
  <si>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</si>
  <si>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</si>
  <si>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</si>
  <si>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</si>
  <si>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</si>
  <si>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</si>
  <si>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</si>
  <si>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</si>
  <si>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</si>
  <si>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</si>
  <si>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</si>
  <si>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</si>
  <si>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</si>
  <si>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</si>
  <si>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</si>
  <si>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</si>
  <si>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</si>
  <si>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</si>
  <si>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</si>
  <si>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</si>
  <si>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</si>
  <si>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</si>
  <si>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</si>
  <si>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</si>
  <si>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</si>
  <si>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</si>
  <si>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</si>
  <si>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</si>
  <si>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</si>
  <si>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</si>
  <si>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</si>
  <si>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</si>
  <si>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</si>
  <si>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</si>
  <si>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</si>
  <si>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</si>
  <si>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</si>
  <si>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</si>
  <si>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</si>
  <si>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</si>
  <si>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</si>
  <si>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</si>
  <si>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</si>
  <si>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</si>
  <si>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</si>
  <si>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</si>
  <si>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</si>
  <si>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</si>
  <si>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</si>
  <si>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</si>
  <si>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</si>
  <si>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</si>
  <si>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</si>
  <si>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</si>
  <si>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</si>
  <si>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</si>
  <si>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</si>
  <si>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</si>
  <si>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</si>
  <si>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</si>
  <si>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</si>
  <si>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</si>
  <si>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</si>
  <si>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</si>
  <si>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</si>
  <si>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</si>
  <si>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</si>
  <si>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</si>
  <si>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</si>
  <si>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</si>
  <si>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</si>
  <si>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</si>
  <si>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</si>
  <si>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</si>
  <si>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</si>
  <si>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</si>
  <si>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</si>
  <si>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</si>
  <si>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</si>
  <si>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</si>
  <si>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</si>
  <si>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</si>
  <si>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</si>
  <si>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</si>
  <si>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</si>
  <si>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</si>
  <si>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</si>
  <si>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</si>
  <si>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</si>
  <si>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</si>
  <si>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</si>
  <si>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</si>
  <si>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</si>
  <si>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</si>
  <si>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</si>
  <si>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</si>
  <si>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</si>
  <si>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</si>
  <si>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</si>
  <si>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</si>
  <si>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</si>
  <si>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</si>
  <si>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</si>
  <si>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</si>
  <si>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</si>
  <si>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</si>
  <si>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</si>
  <si>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</si>
  <si>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</si>
  <si>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</si>
  <si>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</si>
  <si>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</si>
  <si>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</si>
  <si>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</si>
  <si>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</si>
  <si>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</si>
  <si>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</si>
  <si>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</si>
  <si>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</si>
  <si>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</si>
  <si>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</si>
  <si>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</si>
  <si>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</si>
  <si>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</si>
  <si>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</si>
  <si>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</si>
  <si>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</si>
  <si>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</si>
  <si>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</si>
  <si>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</si>
  <si>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</si>
  <si>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</si>
  <si>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</si>
  <si>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</si>
  <si>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</si>
  <si>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</si>
  <si>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</si>
  <si>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</si>
  <si>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</si>
  <si>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</si>
  <si>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</si>
  <si>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</si>
  <si>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</si>
  <si>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</si>
  <si>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</si>
  <si>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</si>
  <si>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</si>
  <si>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</si>
  <si>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</si>
  <si>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</si>
  <si>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</si>
  <si>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</si>
  <si>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</si>
  <si>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</si>
  <si>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</si>
  <si>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</si>
  <si>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</si>
  <si>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</si>
  <si>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</si>
  <si>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</si>
  <si>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</si>
  <si>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</si>
  <si>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</si>
  <si>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</si>
  <si>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</si>
  <si>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</si>
  <si>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</si>
  <si>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</si>
  <si>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</si>
  <si>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</si>
  <si>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</si>
  <si>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</si>
  <si>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</si>
  <si>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</si>
  <si>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</si>
  <si>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</si>
  <si>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</si>
  <si>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</si>
  <si>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</si>
  <si>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</si>
  <si>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</si>
  <si>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</si>
  <si>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</si>
  <si>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</si>
  <si>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</si>
  <si>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</si>
  <si>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</si>
  <si>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</si>
  <si>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</si>
  <si>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</si>
  <si>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</si>
  <si>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</si>
  <si>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</si>
  <si>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</si>
  <si>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</si>
  <si>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</si>
  <si>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</si>
  <si>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</si>
  <si>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</si>
  <si>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</si>
  <si>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</si>
  <si>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</si>
  <si>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</si>
  <si>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</si>
  <si>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</si>
  <si>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</si>
  <si>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</si>
  <si>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</si>
  <si>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</si>
  <si>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</si>
  <si>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</si>
  <si>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</si>
  <si>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</si>
  <si>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</si>
  <si>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</si>
  <si>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</si>
  <si>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</si>
  <si>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</si>
  <si>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</si>
  <si>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</si>
  <si>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</si>
  <si>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</si>
  <si>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</si>
  <si>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</si>
  <si>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</si>
  <si>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</si>
  <si>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</si>
  <si>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</si>
  <si>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</si>
  <si>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</si>
  <si>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</si>
  <si>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</si>
  <si>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</si>
  <si>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</si>
  <si>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</si>
  <si>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</si>
  <si>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</si>
  <si>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</si>
  <si>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</si>
  <si>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</si>
  <si>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</si>
  <si>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</si>
  <si>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</si>
  <si>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</si>
  <si>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</si>
  <si>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</si>
  <si>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</si>
  <si>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</si>
  <si>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</si>
  <si>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</si>
  <si>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</si>
  <si>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</si>
  <si>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</si>
  <si>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</si>
  <si>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</si>
  <si>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</si>
  <si>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</si>
  <si>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</si>
  <si>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</si>
  <si>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</si>
  <si>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</si>
  <si>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</si>
  <si>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</si>
  <si>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</si>
  <si>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</si>
  <si>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</si>
  <si>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</si>
  <si>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</si>
  <si>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</si>
  <si>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</si>
  <si>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</si>
  <si>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</si>
  <si>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</si>
  <si>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</si>
  <si>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</si>
  <si>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</si>
  <si>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</si>
  <si>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</si>
  <si>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</si>
  <si>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</si>
  <si>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</si>
  <si>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</si>
  <si>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</si>
  <si>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</si>
  <si>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</si>
  <si>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</si>
  <si>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</si>
  <si>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</si>
  <si>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</si>
  <si>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</si>
  <si>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</si>
  <si>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</si>
  <si>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</si>
  <si>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</si>
  <si>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</si>
  <si>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</si>
  <si>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</si>
  <si>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</si>
  <si>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</si>
  <si>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</si>
  <si>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</si>
  <si>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</si>
  <si>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</si>
  <si>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</si>
  <si>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</si>
  <si>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</si>
  <si>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</si>
  <si>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</si>
  <si>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</si>
  <si>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</si>
  <si>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</si>
  <si>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</si>
  <si>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</si>
  <si>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</si>
  <si>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</si>
  <si>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</si>
  <si>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</si>
  <si>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</si>
  <si>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</si>
  <si>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</si>
  <si>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</si>
  <si>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</si>
  <si>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</si>
  <si>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</si>
  <si>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</si>
  <si>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</si>
  <si>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</si>
  <si>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</si>
  <si>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</si>
  <si>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</si>
  <si>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</si>
  <si>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</si>
  <si>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</si>
  <si>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</si>
  <si>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</si>
  <si>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</si>
  <si>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</si>
  <si>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</si>
  <si>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</si>
  <si>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</si>
  <si>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</si>
  <si>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</si>
  <si>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</si>
  <si>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</si>
  <si>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</si>
  <si>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</si>
  <si>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</si>
  <si>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</si>
  <si>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</si>
  <si>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</si>
  <si>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</si>
  <si>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</si>
  <si>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</si>
  <si>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</si>
  <si>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</si>
  <si>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</si>
  <si>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</si>
  <si>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</si>
  <si>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</si>
  <si>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</si>
  <si>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</si>
  <si>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</si>
  <si>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</si>
  <si>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</si>
  <si>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</si>
  <si>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</si>
  <si>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</si>
  <si>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</si>
  <si>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</si>
  <si>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</si>
  <si>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</si>
  <si>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</si>
  <si>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</si>
  <si>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</si>
  <si>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</si>
  <si>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</si>
  <si>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</si>
  <si>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</si>
  <si>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</si>
  <si>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</si>
  <si>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</si>
  <si>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</si>
  <si>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</si>
  <si>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</si>
  <si>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</si>
  <si>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</si>
  <si>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</si>
  <si>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</si>
  <si>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</si>
  <si>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</si>
  <si>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</si>
  <si>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</si>
  <si>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</si>
  <si>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</si>
  <si>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</si>
  <si>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</si>
  <si>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</si>
  <si>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</si>
  <si>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</si>
  <si>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</si>
  <si>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</si>
  <si>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</si>
  <si>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</si>
  <si>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</si>
  <si>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</si>
  <si>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</si>
  <si>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</si>
  <si>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</si>
  <si>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</si>
  <si>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</si>
  <si>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</si>
  <si>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</si>
  <si>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</si>
  <si>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</si>
  <si>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</si>
  <si>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</si>
  <si>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</si>
  <si>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</si>
  <si>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</si>
  <si>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</si>
  <si>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</si>
  <si>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</si>
  <si>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</si>
  <si>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</si>
  <si>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</si>
  <si>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</si>
  <si>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</si>
  <si>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</si>
  <si>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</si>
  <si>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</si>
  <si>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</si>
  <si>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</si>
  <si>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</si>
  <si>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</si>
  <si>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</si>
  <si>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</si>
  <si>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</si>
  <si>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</si>
  <si>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</si>
  <si>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</si>
  <si>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</si>
  <si>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</si>
  <si>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</si>
  <si>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</si>
  <si>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</si>
  <si>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</si>
  <si>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</si>
  <si>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</si>
  <si>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</si>
  <si>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</si>
  <si>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</si>
  <si>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</si>
  <si>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</si>
  <si>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</si>
  <si>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</si>
  <si>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</si>
  <si>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</si>
  <si>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</si>
  <si>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</si>
  <si>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</si>
  <si>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</si>
  <si>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</si>
  <si>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</si>
  <si>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</si>
  <si>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</si>
  <si>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</si>
  <si>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</si>
  <si>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</si>
  <si>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</si>
  <si>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</si>
  <si>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</si>
  <si>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</si>
  <si>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</si>
  <si>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</si>
  <si>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</si>
  <si>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</si>
  <si>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</si>
  <si>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</si>
  <si>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</si>
  <si>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</si>
  <si>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</si>
  <si>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</si>
  <si>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</si>
  <si>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</si>
  <si>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</si>
  <si>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</si>
  <si>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</si>
  <si>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</si>
  <si>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</si>
  <si>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</si>
  <si>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</si>
  <si>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</si>
  <si>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</si>
  <si>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</si>
  <si>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</si>
  <si>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</si>
  <si>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</si>
  <si>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</si>
  <si>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</si>
  <si>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</si>
  <si>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</si>
  <si>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</si>
  <si>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</si>
  <si>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</si>
  <si>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</si>
  <si>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</si>
  <si>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</si>
  <si>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</si>
  <si>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</si>
  <si>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</si>
  <si>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</si>
  <si>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</si>
  <si>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</si>
  <si>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</si>
  <si>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</si>
  <si>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</si>
  <si>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</si>
  <si>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</si>
  <si>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</si>
  <si>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</si>
  <si>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</si>
  <si>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</si>
  <si>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</si>
  <si>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</si>
  <si>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</si>
  <si>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</si>
  <si>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</si>
  <si>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</si>
  <si>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</si>
  <si>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</si>
  <si>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</si>
  <si>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</si>
  <si>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</si>
  <si>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</si>
  <si>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</si>
  <si>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</si>
  <si>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</si>
  <si>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</si>
  <si>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</si>
  <si>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</si>
  <si>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</si>
  <si>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</si>
  <si>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</si>
  <si>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</si>
  <si>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</si>
  <si>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</si>
  <si>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</si>
  <si>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</si>
  <si>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</si>
  <si>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</si>
  <si>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</si>
  <si>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</si>
  <si>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</si>
  <si>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</si>
  <si>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</si>
  <si>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</si>
  <si>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</si>
  <si>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</si>
  <si>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</si>
  <si>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</si>
  <si>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</si>
  <si>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</si>
  <si>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</si>
  <si>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</si>
  <si>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</si>
  <si>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</si>
  <si>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</si>
  <si>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</si>
  <si>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</si>
  <si>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</si>
  <si>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</si>
  <si>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</si>
  <si>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</si>
  <si>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</si>
  <si>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</si>
  <si>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</si>
  <si>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</si>
  <si>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</si>
  <si>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</si>
  <si>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</si>
  <si>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</si>
  <si>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</si>
  <si>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</si>
  <si>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</si>
  <si>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</si>
  <si>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</si>
  <si>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</si>
  <si>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</si>
  <si>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</si>
  <si>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</si>
  <si>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</si>
  <si>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</si>
  <si>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</si>
  <si>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</si>
  <si>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</si>
  <si>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</si>
  <si>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</si>
  <si>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</si>
  <si>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</si>
  <si>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</si>
  <si>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</si>
  <si>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</si>
  <si>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</si>
  <si>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</si>
  <si>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</si>
  <si>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</si>
  <si>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</si>
  <si>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</si>
  <si>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</si>
  <si>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</si>
  <si>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</si>
  <si>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</si>
  <si>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</si>
  <si>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</si>
  <si>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</si>
  <si>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</si>
  <si>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</si>
  <si>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</si>
  <si>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</si>
  <si>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</si>
  <si>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</si>
  <si>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</si>
  <si>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</si>
  <si>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</si>
  <si>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</si>
  <si>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</si>
  <si>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</si>
  <si>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</si>
  <si>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</si>
  <si>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</si>
  <si>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</si>
  <si>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</si>
  <si>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</si>
  <si>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</si>
  <si>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</si>
  <si>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</si>
  <si>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</si>
  <si>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</si>
  <si>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</si>
  <si>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</si>
  <si>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</si>
  <si>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</si>
  <si>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</si>
  <si>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</si>
  <si>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</si>
  <si>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</si>
  <si>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</si>
  <si>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</si>
  <si>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</si>
  <si>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</si>
  <si>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</si>
  <si>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</si>
  <si>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</si>
  <si>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</si>
  <si>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</si>
  <si>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</si>
  <si>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</si>
  <si>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</si>
  <si>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</si>
  <si>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</si>
  <si>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</si>
  <si>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</si>
  <si>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</si>
  <si>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</si>
  <si>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</si>
  <si>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</si>
  <si>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</si>
  <si>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</si>
  <si>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</si>
  <si>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</si>
  <si>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</si>
  <si>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</si>
  <si>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</si>
  <si>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</si>
  <si>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</si>
  <si>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</si>
  <si>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</si>
  <si>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</si>
  <si>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</si>
  <si>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</si>
  <si>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</si>
  <si>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</si>
  <si>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</si>
  <si>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</si>
  <si>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</si>
  <si>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</si>
  <si>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</si>
  <si>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</si>
  <si>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</si>
  <si>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</si>
  <si>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</si>
  <si>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</si>
  <si>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</si>
  <si>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</si>
  <si>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</si>
  <si>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</si>
  <si>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</si>
  <si>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</si>
  <si>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</si>
  <si>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</si>
  <si>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</si>
  <si>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</si>
  <si>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</si>
  <si>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</si>
  <si>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</si>
  <si>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</si>
  <si>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</si>
  <si>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</si>
  <si>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</si>
  <si>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</si>
  <si>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</si>
  <si>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</si>
  <si>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</si>
  <si>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</si>
  <si>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</si>
  <si>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</si>
  <si>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</si>
  <si>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</si>
  <si>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</si>
  <si>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</si>
  <si>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</si>
  <si>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</si>
  <si>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</si>
  <si>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</si>
  <si>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</si>
  <si>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</si>
  <si>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</si>
  <si>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</si>
  <si>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</si>
  <si>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</si>
  <si>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</si>
  <si>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</si>
  <si>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</si>
  <si>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</si>
  <si>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</si>
  <si>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</si>
  <si>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</si>
  <si>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</si>
  <si>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</si>
  <si>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</si>
  <si>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</si>
  <si>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</si>
  <si>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</si>
  <si>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</si>
  <si>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</si>
  <si>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</si>
  <si>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</si>
  <si>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</si>
  <si>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</si>
  <si>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</si>
  <si>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</si>
  <si>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</si>
  <si>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</si>
  <si>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</si>
  <si>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</si>
  <si>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</si>
  <si>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</si>
  <si>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</si>
  <si>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</si>
  <si>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</si>
  <si>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</si>
  <si>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</si>
  <si>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</si>
  <si>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</si>
  <si>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</si>
  <si>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</si>
  <si>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</si>
  <si>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</si>
  <si>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</si>
  <si>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</si>
  <si>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</si>
  <si>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</si>
  <si>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</si>
  <si>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</si>
  <si>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</si>
  <si>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</si>
  <si>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</si>
  <si>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</si>
  <si>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</si>
  <si>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</si>
  <si>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</si>
  <si>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</si>
  <si>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</si>
  <si>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</si>
  <si>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</si>
  <si>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</si>
  <si>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</si>
  <si>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</si>
  <si>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</si>
  <si>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</si>
  <si>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</si>
  <si>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</si>
  <si>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</si>
  <si>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</si>
  <si>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</si>
  <si>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</si>
  <si>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</si>
  <si>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</si>
  <si>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</si>
  <si>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</si>
  <si>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</si>
  <si>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</si>
  <si>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</si>
  <si>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</si>
  <si>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</si>
  <si>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</si>
  <si>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</si>
  <si>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</si>
  <si>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</si>
  <si>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</si>
  <si>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</si>
  <si>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</si>
  <si>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</si>
  <si>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</si>
  <si>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</si>
  <si>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</si>
  <si>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</si>
  <si>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</si>
  <si>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</si>
  <si>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</si>
  <si>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</si>
  <si>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</si>
  <si>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</si>
  <si>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</si>
  <si>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</si>
  <si>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</si>
  <si>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</si>
  <si>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</si>
  <si>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</si>
  <si>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</si>
  <si>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</si>
  <si>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</si>
  <si>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</si>
  <si>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</si>
  <si>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</si>
  <si>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</si>
  <si>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</si>
  <si>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</si>
  <si>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</si>
  <si>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</si>
  <si>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</si>
  <si>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</si>
  <si>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</si>
  <si>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</si>
  <si>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</si>
  <si>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</si>
  <si>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</si>
  <si>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</si>
  <si>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</si>
  <si>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</si>
  <si>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</si>
  <si>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</si>
  <si>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</si>
  <si>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</si>
  <si>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</si>
  <si>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</si>
  <si>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</si>
  <si>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</si>
  <si>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</si>
  <si>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</si>
  <si>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</si>
  <si>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</si>
  <si>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</si>
  <si>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</si>
  <si>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</si>
  <si>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</si>
  <si>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</si>
  <si>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</si>
  <si>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</si>
  <si>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</si>
  <si>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</si>
  <si>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</si>
  <si>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</si>
  <si>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</si>
  <si>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</si>
  <si>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</si>
  <si>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</si>
  <si>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</si>
  <si>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</si>
  <si>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</si>
  <si>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</si>
  <si>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</si>
  <si>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</si>
  <si>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</si>
  <si>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</si>
  <si>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</si>
  <si>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</si>
  <si>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</si>
  <si>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</si>
  <si>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</si>
  <si>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</si>
  <si>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</si>
  <si>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</si>
  <si>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</si>
  <si>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</si>
  <si>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</si>
  <si>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</si>
  <si>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</si>
  <si>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</si>
  <si>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</si>
  <si>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</si>
  <si>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</si>
  <si>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</si>
  <si>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</si>
  <si>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</si>
  <si>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</si>
  <si>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</si>
  <si>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</si>
  <si>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</si>
  <si>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</si>
  <si>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</si>
  <si>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</si>
  <si>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</si>
  <si>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</si>
  <si>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</si>
  <si>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</si>
  <si>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</si>
  <si>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</si>
  <si>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</si>
  <si>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</si>
  <si>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</si>
  <si>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</si>
  <si>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</si>
  <si>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</si>
  <si>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</si>
  <si>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</si>
  <si>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</si>
  <si>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</si>
  <si>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</si>
  <si>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</si>
  <si>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</si>
  <si>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</si>
  <si>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</si>
  <si>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</si>
  <si>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</si>
  <si>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</si>
  <si>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</si>
  <si>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</si>
  <si>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</si>
  <si>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</si>
  <si>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</si>
  <si>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</si>
  <si>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</si>
  <si>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</si>
  <si>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</si>
  <si>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</si>
  <si>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</si>
  <si>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</si>
  <si>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</si>
  <si>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</si>
  <si>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</si>
  <si>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</si>
  <si>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</si>
  <si>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</si>
  <si>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</si>
  <si>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</si>
  <si>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</si>
  <si>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</si>
  <si>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</si>
  <si>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</si>
  <si>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</si>
  <si>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</si>
  <si>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</si>
  <si>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</si>
  <si>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</si>
  <si>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</si>
  <si>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</si>
  <si>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</si>
  <si>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</si>
  <si>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</si>
  <si>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</si>
  <si>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</si>
  <si>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</si>
  <si>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</si>
  <si>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</si>
  <si>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</si>
  <si>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</si>
  <si>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</si>
  <si>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</si>
  <si>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</si>
  <si>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</si>
  <si>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</si>
  <si>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</si>
  <si>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</si>
  <si>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</si>
  <si>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</si>
  <si>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</si>
  <si>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</si>
  <si>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</si>
  <si>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</si>
  <si>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</si>
  <si>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</si>
  <si>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</si>
  <si>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</si>
  <si>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</si>
  <si>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</si>
  <si>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</si>
  <si>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</si>
  <si>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</si>
  <si>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</si>
  <si>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</si>
  <si>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</si>
  <si>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</si>
  <si>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</si>
  <si>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</si>
  <si>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</si>
  <si>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</si>
  <si>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</si>
  <si>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</si>
  <si>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</si>
  <si>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</si>
  <si>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</si>
  <si>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</si>
  <si>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</si>
  <si>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</si>
  <si>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</si>
  <si>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</si>
  <si>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</si>
  <si>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</si>
  <si>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</si>
  <si>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</si>
  <si>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</si>
  <si>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</si>
  <si>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</si>
  <si>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</si>
  <si>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</si>
  <si>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</si>
  <si>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</si>
  <si>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</si>
  <si>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</si>
  <si>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</si>
  <si>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</si>
  <si>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</si>
  <si>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</si>
  <si>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</si>
  <si>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</si>
  <si>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</si>
  <si>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</si>
  <si>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</si>
  <si>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</si>
  <si>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</si>
  <si>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</si>
  <si>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</si>
  <si>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</si>
  <si>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</si>
  <si>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</si>
  <si>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</si>
  <si>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</si>
  <si>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</si>
  <si>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</si>
  <si>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</si>
  <si>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</si>
  <si>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</si>
  <si>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</si>
  <si>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</si>
  <si>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</si>
  <si>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</si>
  <si>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</si>
  <si>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</si>
  <si>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</si>
  <si>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</si>
  <si>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</si>
  <si>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</si>
  <si>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</si>
  <si>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</si>
  <si>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</si>
  <si>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</si>
  <si>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</si>
  <si>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</si>
  <si>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</si>
  <si>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</si>
  <si>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</si>
  <si>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</si>
  <si>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</si>
  <si>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</si>
  <si>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</si>
  <si>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</si>
  <si>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</si>
  <si>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</si>
  <si>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</si>
  <si>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</si>
  <si>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</si>
  <si>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</si>
  <si>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</si>
  <si>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</si>
  <si>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</si>
  <si>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</si>
  <si>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</si>
  <si>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</si>
  <si>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</si>
  <si>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</si>
  <si>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</si>
  <si>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</si>
  <si>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</si>
  <si>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</si>
  <si>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</si>
  <si>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</si>
  <si>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</si>
  <si>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</si>
  <si>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</si>
  <si>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</si>
  <si>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</si>
  <si>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</si>
  <si>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</si>
  <si>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</si>
  <si>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</si>
  <si>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</si>
  <si>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</si>
  <si>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</si>
  <si>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</si>
  <si>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</si>
  <si>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</si>
  <si>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</si>
  <si>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</si>
  <si>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</si>
  <si>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</si>
  <si>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</si>
  <si>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</si>
  <si>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</si>
  <si>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</si>
  <si>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</si>
  <si>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</si>
  <si>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</si>
  <si>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</si>
  <si>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</si>
  <si>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</si>
  <si>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</si>
  <si>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</si>
  <si>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</si>
  <si>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</si>
  <si>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</si>
  <si>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</si>
  <si>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</si>
  <si>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</si>
  <si>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</si>
  <si>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</si>
  <si>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</si>
  <si>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</si>
  <si>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</si>
  <si>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</si>
  <si>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</si>
  <si>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</si>
  <si>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</si>
  <si>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</si>
  <si>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</si>
  <si>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</si>
  <si>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</si>
  <si>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</si>
  <si>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</si>
  <si>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</si>
  <si>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</si>
  <si>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</si>
  <si>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</si>
  <si>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</si>
  <si>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</si>
  <si>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</si>
  <si>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</si>
  <si>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</si>
  <si>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</si>
  <si>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</si>
  <si>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</si>
  <si>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</si>
  <si>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</si>
  <si>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</si>
  <si>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</si>
  <si>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</si>
  <si>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</si>
  <si>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</si>
  <si>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</si>
  <si>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</si>
  <si>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</si>
  <si>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</si>
  <si>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</si>
  <si>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</si>
  <si>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</si>
  <si>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</si>
  <si>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</si>
  <si>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</si>
  <si>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</si>
  <si>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</si>
  <si>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</si>
  <si>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</si>
  <si>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</si>
  <si>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</si>
  <si>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</si>
  <si>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</si>
  <si>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</si>
  <si>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</si>
  <si>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</si>
  <si>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</si>
  <si>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</si>
  <si>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</si>
  <si>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</si>
  <si>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</si>
  <si>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</si>
  <si>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</si>
  <si>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</si>
  <si>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</si>
  <si>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</si>
  <si>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</si>
  <si>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</si>
  <si>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</si>
  <si>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</si>
  <si>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</si>
  <si>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</si>
  <si>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</si>
  <si>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</si>
  <si>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</si>
  <si>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</si>
  <si>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</si>
  <si>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</si>
  <si>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</si>
  <si>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</si>
  <si>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</si>
  <si>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</si>
  <si>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</si>
  <si>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</si>
  <si>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</si>
  <si>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</si>
  <si>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</si>
  <si>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</si>
  <si>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</si>
  <si>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</si>
  <si>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</si>
  <si>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</si>
  <si>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</si>
  <si>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</si>
  <si>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</si>
  <si>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</si>
  <si>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</si>
  <si>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</si>
  <si>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</si>
  <si>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</si>
  <si>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</si>
  <si>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</si>
  <si>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</si>
  <si>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</si>
  <si>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</si>
  <si>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</si>
  <si>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</si>
  <si>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</si>
  <si>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</si>
  <si>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</si>
  <si>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</si>
  <si>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</si>
  <si>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</si>
  <si>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</si>
  <si>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</si>
  <si>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</si>
  <si>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</si>
  <si>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</si>
  <si>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</si>
  <si>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</si>
  <si>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</si>
  <si>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</si>
  <si>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</si>
  <si>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</si>
  <si>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</si>
  <si>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</si>
  <si>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</si>
  <si>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</si>
  <si>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</si>
  <si>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</si>
  <si>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</si>
  <si>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</si>
  <si>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</si>
  <si>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</si>
  <si>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</si>
  <si>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</si>
  <si>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</si>
  <si>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</si>
  <si>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</si>
  <si>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</si>
  <si>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</si>
  <si>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</si>
  <si>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</si>
  <si>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</si>
  <si>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</si>
  <si>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</si>
  <si>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</si>
  <si>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</si>
  <si>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</si>
  <si>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</si>
  <si>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</si>
  <si>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</si>
  <si>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</si>
  <si>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</si>
  <si>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</si>
  <si>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</si>
  <si>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</si>
  <si>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</si>
  <si>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</si>
  <si>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</si>
  <si>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</si>
  <si>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</si>
  <si>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</si>
  <si>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</si>
  <si>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</si>
  <si>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</si>
  <si>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</si>
  <si>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</si>
  <si>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</si>
  <si>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</si>
  <si>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</si>
  <si>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</si>
  <si>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</si>
  <si>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</si>
  <si>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</si>
  <si>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</si>
  <si>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</si>
  <si>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</si>
  <si>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</si>
  <si>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</si>
  <si>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</si>
  <si>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</si>
  <si>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</si>
  <si>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</si>
  <si>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</si>
  <si>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</si>
  <si>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</si>
  <si>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</si>
  <si>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</si>
  <si>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</si>
  <si>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</si>
  <si>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</si>
  <si>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</si>
  <si>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</si>
  <si>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</si>
  <si>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</si>
  <si>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</si>
  <si>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</si>
  <si>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</si>
  <si>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</si>
  <si>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</si>
  <si>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</si>
  <si>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</si>
  <si>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</si>
  <si>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</si>
  <si>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</si>
  <si>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</si>
  <si>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</si>
  <si>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</si>
  <si>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</si>
  <si>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</si>
  <si>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</si>
  <si>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</si>
  <si>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</si>
  <si>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</si>
  <si>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</si>
  <si>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</si>
  <si>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</si>
  <si>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</si>
  <si>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</si>
  <si>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</si>
  <si>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</si>
  <si>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</si>
  <si>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</si>
  <si>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</si>
  <si>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</si>
  <si>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</si>
  <si>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</si>
  <si>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</si>
  <si>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</si>
  <si>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</si>
  <si>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</si>
  <si>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</si>
  <si>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</si>
  <si>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</si>
  <si>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</si>
  <si>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</si>
  <si>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</si>
  <si>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</si>
  <si>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</si>
  <si>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</si>
  <si>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</si>
  <si>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</si>
  <si>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</si>
  <si>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</si>
  <si>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</si>
  <si>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</si>
  <si>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</si>
  <si>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</si>
  <si>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</si>
  <si>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</si>
  <si>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</si>
  <si>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</si>
  <si>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</si>
  <si>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</si>
  <si>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</si>
  <si>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</si>
  <si>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</si>
  <si>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</si>
  <si>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</si>
  <si>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</si>
  <si>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</si>
  <si>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</si>
  <si>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</si>
  <si>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</si>
  <si>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</si>
  <si>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</si>
  <si>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</si>
  <si>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</si>
  <si>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</si>
  <si>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</si>
  <si>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</si>
  <si>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</si>
  <si>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</si>
  <si>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</si>
  <si>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</si>
  <si>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</si>
  <si>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</si>
  <si>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</si>
  <si>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</si>
  <si>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</si>
  <si>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</si>
  <si>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</si>
  <si>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</si>
  <si>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</si>
  <si>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</si>
  <si>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</si>
  <si>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</si>
  <si>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</si>
  <si>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</si>
  <si>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</si>
  <si>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</si>
  <si>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</si>
  <si>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</si>
  <si>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</si>
  <si>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</si>
  <si>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</si>
  <si>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</si>
  <si>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</si>
  <si>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</si>
  <si>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</si>
  <si>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</si>
  <si>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</si>
  <si>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</si>
  <si>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</si>
  <si>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</si>
  <si>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</si>
  <si>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</si>
  <si>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</si>
  <si>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</si>
  <si>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</si>
  <si>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</si>
  <si>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</si>
  <si>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</si>
  <si>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</si>
  <si>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</si>
  <si>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</si>
  <si>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</si>
  <si>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</si>
  <si>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</si>
  <si>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</si>
  <si>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</si>
  <si>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</si>
  <si>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</si>
  <si>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</si>
  <si>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</si>
  <si>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</si>
  <si>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</si>
  <si>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</si>
  <si>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</si>
  <si>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</si>
  <si>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</si>
  <si>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</si>
  <si>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</si>
  <si>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</si>
  <si>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</si>
  <si>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</si>
  <si>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</si>
  <si>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</si>
  <si>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</si>
  <si>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</si>
  <si>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</si>
  <si>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</si>
  <si>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</si>
  <si>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</si>
  <si>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</si>
  <si>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</si>
  <si>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</si>
  <si>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</si>
  <si>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</si>
  <si>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</si>
  <si>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</si>
  <si>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</si>
  <si>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</si>
  <si>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</si>
  <si>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</si>
  <si>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</si>
  <si>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</si>
  <si>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</si>
  <si>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</si>
  <si>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</si>
  <si>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</si>
  <si>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</si>
  <si>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</si>
  <si>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</si>
  <si>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</si>
  <si>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</si>
  <si>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</si>
  <si>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</si>
  <si>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</si>
  <si>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</si>
  <si>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</si>
  <si>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</si>
  <si>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</si>
  <si>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</si>
  <si>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</si>
  <si>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</si>
  <si>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</si>
  <si>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</si>
  <si>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</si>
  <si>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</si>
  <si>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</si>
  <si>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</si>
  <si>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</si>
  <si>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</si>
  <si>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</si>
  <si>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</si>
  <si>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</si>
  <si>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</si>
  <si>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</si>
  <si>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</si>
  <si>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</si>
  <si>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</si>
  <si>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</si>
  <si>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</si>
  <si>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</si>
  <si>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</si>
  <si>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</si>
  <si>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</si>
  <si>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</si>
  <si>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</si>
  <si>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</si>
  <si>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</si>
  <si>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</si>
  <si>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</si>
  <si>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</si>
  <si>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</si>
  <si>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</si>
  <si>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</si>
  <si>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</si>
  <si>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</si>
  <si>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</si>
  <si>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</si>
  <si>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</si>
  <si>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</si>
  <si>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</si>
  <si>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</si>
  <si>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</si>
  <si>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</si>
  <si>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</si>
  <si>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</si>
  <si>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</si>
  <si>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</si>
  <si>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</si>
  <si>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</si>
  <si>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</si>
  <si>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</si>
  <si>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</si>
  <si>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</si>
  <si>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</si>
  <si>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</si>
  <si>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</si>
  <si>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</si>
  <si>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</si>
  <si>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</si>
  <si>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</si>
  <si>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</si>
  <si>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</si>
  <si>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</si>
  <si>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</si>
  <si>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</si>
  <si>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</si>
  <si>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</si>
  <si>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</si>
  <si>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</si>
  <si>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</si>
  <si>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</si>
  <si>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</si>
  <si>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</si>
  <si>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</si>
  <si>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</si>
  <si>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</si>
  <si>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</si>
  <si>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</si>
  <si>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</si>
  <si>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</si>
  <si>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</si>
  <si>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</si>
  <si>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</si>
  <si>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</si>
  <si>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</si>
  <si>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</si>
  <si>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</si>
  <si>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</si>
  <si>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</si>
  <si>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</si>
  <si>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</si>
  <si>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</si>
  <si>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</si>
  <si>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</si>
  <si>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</si>
  <si>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</si>
  <si>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</si>
  <si>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</si>
  <si>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</si>
  <si>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</si>
  <si>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</si>
  <si>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</si>
  <si>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</si>
  <si>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</si>
  <si>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</si>
  <si>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</si>
  <si>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</si>
  <si>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</si>
  <si>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</si>
  <si>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</si>
  <si>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</si>
  <si>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</si>
  <si>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</si>
  <si>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</si>
  <si>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</si>
  <si>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</si>
  <si>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</si>
  <si>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</si>
  <si>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</si>
  <si>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</si>
  <si>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</si>
  <si>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</si>
  <si>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</si>
  <si>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</si>
  <si>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</si>
  <si>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</si>
  <si>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</si>
  <si>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</si>
  <si>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</si>
  <si>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</si>
  <si>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</si>
  <si>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</si>
  <si>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</si>
  <si>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</si>
  <si>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</si>
  <si>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</si>
  <si>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</si>
  <si>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</si>
  <si>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</si>
  <si>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</si>
  <si>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</si>
  <si>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</si>
  <si>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</si>
  <si>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</si>
  <si>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</si>
  <si>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</si>
  <si>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</si>
  <si>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</si>
  <si>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</si>
  <si>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</si>
  <si>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</si>
  <si>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</si>
  <si>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</si>
  <si>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</si>
  <si>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</si>
  <si>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</si>
  <si>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</si>
  <si>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</si>
  <si>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</si>
  <si>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</si>
  <si>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</si>
  <si>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</si>
  <si>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</si>
  <si>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</si>
  <si>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</si>
  <si>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</si>
  <si>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</si>
  <si>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</si>
  <si>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</si>
  <si>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</si>
  <si>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</si>
  <si>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</si>
  <si>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</si>
  <si>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</si>
  <si>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</si>
  <si>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</si>
  <si>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</si>
  <si>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</si>
  <si>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</si>
  <si>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</si>
  <si>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</si>
  <si>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</si>
  <si>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</si>
  <si>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</si>
  <si>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</si>
  <si>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</si>
  <si>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</si>
  <si>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</si>
  <si>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</si>
  <si>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</si>
  <si>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</si>
  <si>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</si>
  <si>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</si>
  <si>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</si>
  <si>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</si>
  <si>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</si>
  <si>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</si>
  <si>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</si>
  <si>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</si>
  <si>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</si>
  <si>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</si>
  <si>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</si>
  <si>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</si>
  <si>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</si>
  <si>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</si>
  <si>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</si>
  <si>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</si>
  <si>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</si>
  <si>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</si>
  <si>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</si>
  <si>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</si>
  <si>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</si>
  <si>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</si>
  <si>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</si>
  <si>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</si>
  <si>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</si>
  <si>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</si>
  <si>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</si>
  <si>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</si>
  <si>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</si>
  <si>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</si>
  <si>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</si>
  <si>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</si>
  <si>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</si>
  <si>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</si>
  <si>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</si>
  <si>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</si>
  <si>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</si>
  <si>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</si>
  <si>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</si>
  <si>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</si>
  <si>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</si>
  <si>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</si>
  <si>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</si>
  <si>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</si>
  <si>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</si>
  <si>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</si>
  <si>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</si>
  <si>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</si>
  <si>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</si>
  <si>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</si>
  <si>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</si>
  <si>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</si>
  <si>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</si>
  <si>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</si>
  <si>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</si>
  <si>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</si>
  <si>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</si>
  <si>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</si>
  <si>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</si>
  <si>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</si>
  <si>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</si>
  <si>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</si>
  <si>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</si>
  <si>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</si>
  <si>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</si>
  <si>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</si>
  <si>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</si>
  <si>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</si>
  <si>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</si>
  <si>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</si>
  <si>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</si>
  <si>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</si>
  <si>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</si>
  <si>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</si>
  <si>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</si>
  <si>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</si>
  <si>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</si>
  <si>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</si>
  <si>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</si>
  <si>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</si>
  <si>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</si>
  <si>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</si>
  <si>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</si>
  <si>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</si>
  <si>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</si>
  <si>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</si>
  <si>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</si>
  <si>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</si>
  <si>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</si>
  <si>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</si>
  <si>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</si>
  <si>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</si>
  <si>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</si>
  <si>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</si>
  <si>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</si>
  <si>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</si>
  <si>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</si>
  <si>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</si>
  <si>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</si>
  <si>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</si>
  <si>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</si>
  <si>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</si>
  <si>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</si>
  <si>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</si>
  <si>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</si>
  <si>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</si>
  <si>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</si>
  <si>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</si>
  <si>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</si>
  <si>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</si>
  <si>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</si>
  <si>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</si>
  <si>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</si>
  <si>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</si>
  <si>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</si>
  <si>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</si>
  <si>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</si>
  <si>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</si>
  <si>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</si>
  <si>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</si>
  <si>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</si>
  <si>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</si>
  <si>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</si>
  <si>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</si>
  <si>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</si>
  <si>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</si>
  <si>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</si>
  <si>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</si>
  <si>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</si>
  <si>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</si>
  <si>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</si>
  <si>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</si>
  <si>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</si>
  <si>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</si>
  <si>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</si>
  <si>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</si>
  <si>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</si>
  <si>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</si>
  <si>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</si>
  <si>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</si>
  <si>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</si>
  <si>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</si>
  <si>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</si>
  <si>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</si>
  <si>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</si>
  <si>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</si>
  <si>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</si>
  <si>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</si>
  <si>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</si>
  <si>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</si>
  <si>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</si>
  <si>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</si>
  <si>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</si>
  <si>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</si>
  <si>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</si>
  <si>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</si>
  <si>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</si>
  <si>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</si>
  <si>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</si>
  <si>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</si>
  <si>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</si>
  <si>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</si>
  <si>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</si>
  <si>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</si>
  <si>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</si>
  <si>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</si>
  <si>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</si>
  <si>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</si>
  <si>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</si>
  <si>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</si>
  <si>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</si>
  <si>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</si>
  <si>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</si>
  <si>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</si>
  <si>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</si>
  <si>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</si>
  <si>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</si>
  <si>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</si>
  <si>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</si>
  <si>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</si>
  <si>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</si>
  <si>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</si>
  <si>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</si>
  <si>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</si>
  <si>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</si>
  <si>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</si>
  <si>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</si>
  <si>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</si>
  <si>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</si>
  <si>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</si>
  <si>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</si>
  <si>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</si>
  <si>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</si>
  <si>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</si>
  <si>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</si>
  <si>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</si>
  <si>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</si>
  <si>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</si>
  <si>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</si>
  <si>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</si>
  <si>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</si>
  <si>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</si>
  <si>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</si>
  <si>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</si>
  <si>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</si>
  <si>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</si>
  <si>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</si>
  <si>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</si>
  <si>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</si>
  <si>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</si>
  <si>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</si>
  <si>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</si>
  <si>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</si>
  <si>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</si>
  <si>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</si>
  <si>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</si>
  <si>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</si>
  <si>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</si>
  <si>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</si>
  <si>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</si>
  <si>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</si>
  <si>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</si>
  <si>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</si>
  <si>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</si>
  <si>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</si>
  <si>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</si>
  <si>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</si>
  <si>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</si>
  <si>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</si>
  <si>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</si>
  <si>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</si>
  <si>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</si>
  <si>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</si>
  <si>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</si>
  <si>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</si>
  <si>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</si>
  <si>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</si>
  <si>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</si>
  <si>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</si>
  <si>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</si>
  <si>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</si>
  <si>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</si>
  <si>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</si>
  <si>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</si>
  <si>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</si>
  <si>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</si>
  <si>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</si>
  <si>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</si>
  <si>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</si>
  <si>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</si>
  <si>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</si>
  <si>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</si>
  <si>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</si>
  <si>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</si>
  <si>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</si>
  <si>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</si>
  <si>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</si>
  <si>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</si>
  <si>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</si>
  <si>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</si>
  <si>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</si>
  <si>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</si>
  <si>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</si>
  <si>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</si>
  <si>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</si>
  <si>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</si>
  <si>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</si>
  <si>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</si>
  <si>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</si>
  <si>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</si>
  <si>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</si>
  <si>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</si>
  <si>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</si>
  <si>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</si>
  <si>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</si>
  <si>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</si>
  <si>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</si>
  <si>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</si>
  <si>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</si>
  <si>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</si>
  <si>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</si>
  <si>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</si>
  <si>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</si>
  <si>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</si>
  <si>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</si>
  <si>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</si>
  <si>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</si>
  <si>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</si>
  <si>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</si>
  <si>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</si>
  <si>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</si>
  <si>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</si>
  <si>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</si>
  <si>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</si>
  <si>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</si>
  <si>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</si>
  <si>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</si>
  <si>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</si>
  <si>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</si>
  <si>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</si>
  <si>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</si>
  <si>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</si>
  <si>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</si>
  <si>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</si>
  <si>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</si>
  <si>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</si>
  <si>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</si>
  <si>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</si>
  <si>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</si>
  <si>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</si>
  <si>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</si>
  <si>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</si>
  <si>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</si>
  <si>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</si>
  <si>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</si>
  <si>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</si>
  <si>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</si>
  <si>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</si>
  <si>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</si>
  <si>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</si>
  <si>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</si>
  <si>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</si>
  <si>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</si>
  <si>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</si>
  <si>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</si>
  <si>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</si>
  <si>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</si>
  <si>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</si>
  <si>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</si>
  <si>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</si>
  <si>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</si>
  <si>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</si>
  <si>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</si>
  <si>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</si>
  <si>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</si>
  <si>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</si>
  <si>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</si>
  <si>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</si>
  <si>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</si>
  <si>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</si>
  <si>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</si>
  <si>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</si>
  <si>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</si>
  <si>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</si>
  <si>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</si>
  <si>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</si>
  <si>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</si>
  <si>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</si>
  <si>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</si>
  <si>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</si>
  <si>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</si>
  <si>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</si>
  <si>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</si>
  <si>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</si>
  <si>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</si>
  <si>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</si>
  <si>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</si>
  <si>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</si>
  <si>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</si>
  <si>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</si>
  <si>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</si>
  <si>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</si>
  <si>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</si>
  <si>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</si>
  <si>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</si>
  <si>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</si>
  <si>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</si>
  <si>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</si>
  <si>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</si>
  <si>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</si>
  <si>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</si>
  <si>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</si>
  <si>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</si>
  <si>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</si>
  <si>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</si>
  <si>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</si>
  <si>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</si>
  <si>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</si>
  <si>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</si>
  <si>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</si>
  <si>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</si>
  <si>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</si>
  <si>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</si>
  <si>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</si>
  <si>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</si>
  <si>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</si>
  <si>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</si>
  <si>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</si>
  <si>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</si>
  <si>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</si>
  <si>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</si>
  <si>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</si>
  <si>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</si>
  <si>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</si>
  <si>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</si>
  <si>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</si>
  <si>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</si>
  <si>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</si>
  <si>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</si>
  <si>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</si>
  <si>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</si>
  <si>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</si>
  <si>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</si>
  <si>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</si>
  <si>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</si>
  <si>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</si>
  <si>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</si>
  <si>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</si>
  <si>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</si>
  <si>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</si>
  <si>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</si>
  <si>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</si>
  <si>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</si>
  <si>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</si>
  <si>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</si>
  <si>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</si>
  <si>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</si>
  <si>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</si>
  <si>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</si>
  <si>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</si>
  <si>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</si>
  <si>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</si>
  <si>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</si>
  <si>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</si>
  <si>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</si>
  <si>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</si>
  <si>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</si>
  <si>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</si>
  <si>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</si>
  <si>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</si>
  <si>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</si>
  <si>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</si>
  <si>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</si>
  <si>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</si>
  <si>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</si>
  <si>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</si>
  <si>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</si>
  <si>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</si>
  <si>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</si>
  <si>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</si>
  <si>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</si>
  <si>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</si>
  <si>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</si>
  <si>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</si>
  <si>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</si>
  <si>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</si>
  <si>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</si>
  <si>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</si>
  <si>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</si>
  <si>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</si>
  <si>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</si>
  <si>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</si>
  <si>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</si>
  <si>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</si>
  <si>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</si>
  <si>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</si>
  <si>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</si>
  <si>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</si>
  <si>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</si>
  <si>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</si>
  <si>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</si>
  <si>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</si>
  <si>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</si>
  <si>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</si>
  <si>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</si>
  <si>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</si>
  <si>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</si>
  <si>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</si>
  <si>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</si>
  <si>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</si>
  <si>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</si>
  <si>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</si>
  <si>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</si>
  <si>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</si>
  <si>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</si>
  <si>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</si>
  <si>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</si>
  <si>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</si>
  <si>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</si>
  <si>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</si>
  <si>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</si>
  <si>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</si>
  <si>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</si>
  <si>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</si>
  <si>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</si>
  <si>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</si>
  <si>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</si>
  <si>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</si>
  <si>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</si>
  <si>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</si>
  <si>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</si>
  <si>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</si>
  <si>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</si>
  <si>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</si>
  <si>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</si>
  <si>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</si>
  <si>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</si>
  <si>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</si>
  <si>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</si>
  <si>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</si>
  <si>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</si>
  <si>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</si>
  <si>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</si>
  <si>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</si>
  <si>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</si>
  <si>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</si>
  <si>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</si>
  <si>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</si>
  <si>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</si>
  <si>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</si>
  <si>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</si>
  <si>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</si>
  <si>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</si>
  <si>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</si>
  <si>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</si>
  <si>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</si>
  <si>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</si>
  <si>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</si>
  <si>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</si>
  <si>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</si>
  <si>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</si>
  <si>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</si>
  <si>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</si>
  <si>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</si>
  <si>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</si>
  <si>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</si>
  <si>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</si>
  <si>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</si>
  <si>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</si>
  <si>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</si>
  <si>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</si>
  <si>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</si>
  <si>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</si>
  <si>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</si>
  <si>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</si>
  <si>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</si>
  <si>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</si>
  <si>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</si>
  <si>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</si>
  <si>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</si>
  <si>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</si>
  <si>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</si>
  <si>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</si>
  <si>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</si>
  <si>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</si>
  <si>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</si>
  <si>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</si>
  <si>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</si>
  <si>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</si>
  <si>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</si>
  <si>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</si>
  <si>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</si>
  <si>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</si>
  <si>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</si>
  <si>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</si>
  <si>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</si>
  <si>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</si>
  <si>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</si>
  <si>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</si>
  <si>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</si>
  <si>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</si>
  <si>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</si>
  <si>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</si>
  <si>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</si>
  <si>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</si>
  <si>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</si>
  <si>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</si>
  <si>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</si>
  <si>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</si>
  <si>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</si>
  <si>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</si>
  <si>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</si>
  <si>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</si>
  <si>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</si>
  <si>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</si>
  <si>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</si>
  <si>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</si>
  <si>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</si>
  <si>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</si>
  <si>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</si>
  <si>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</si>
  <si>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</si>
  <si>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</si>
  <si>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</si>
  <si>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</si>
  <si>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</si>
  <si>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</si>
  <si>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</si>
  <si>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</si>
  <si>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</si>
  <si>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</si>
  <si>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</si>
  <si>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</si>
  <si>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</si>
  <si>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</si>
  <si>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</si>
  <si>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</si>
  <si>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</si>
  <si>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</si>
  <si>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</si>
  <si>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</si>
  <si>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</si>
  <si>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</si>
  <si>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</si>
  <si>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</si>
  <si>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</si>
  <si>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</si>
  <si>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</si>
  <si>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</si>
  <si>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</si>
  <si>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</si>
  <si>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</si>
  <si>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</si>
  <si>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</si>
  <si>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</si>
  <si>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</si>
  <si>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</si>
  <si>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</si>
  <si>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</si>
  <si>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</si>
  <si>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</si>
  <si>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</si>
  <si>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</si>
  <si>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</si>
  <si>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</si>
  <si>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</si>
  <si>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</si>
  <si>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</si>
  <si>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</si>
  <si>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</si>
  <si>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</si>
  <si>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</si>
  <si>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</si>
  <si>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</si>
  <si>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</si>
  <si>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</si>
  <si>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</si>
  <si>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</si>
  <si>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</si>
  <si>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</si>
  <si>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</si>
  <si>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</si>
  <si>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</si>
  <si>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</si>
  <si>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</si>
  <si>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</si>
  <si>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</si>
  <si>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</si>
  <si>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</si>
  <si>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</si>
  <si>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</si>
  <si>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</si>
  <si>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</si>
  <si>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</si>
  <si>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</si>
  <si>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</si>
  <si>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</si>
  <si>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</si>
  <si>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</si>
  <si>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</si>
  <si>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</si>
  <si>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</si>
  <si>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</si>
  <si>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</si>
  <si>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</si>
  <si>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</si>
  <si>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</si>
  <si>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</si>
  <si>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</si>
  <si>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</si>
  <si>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</si>
  <si>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</si>
  <si>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</si>
  <si>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</si>
  <si>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</si>
  <si>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</si>
  <si>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</si>
  <si>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</si>
  <si>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</si>
  <si>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</si>
  <si>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</si>
  <si>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</si>
  <si>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</si>
  <si>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</si>
  <si>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</si>
  <si>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</si>
  <si>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</si>
  <si>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</si>
  <si>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</si>
  <si>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</si>
  <si>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</si>
  <si>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</si>
  <si>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</si>
  <si>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</si>
  <si>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</si>
  <si>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</si>
  <si>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</si>
  <si>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</si>
  <si>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</si>
  <si>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</si>
  <si>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</si>
  <si>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</si>
  <si>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</si>
  <si>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</si>
  <si>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</si>
  <si>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</si>
  <si>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</si>
  <si>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</si>
  <si>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</si>
  <si>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</si>
  <si>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</si>
  <si>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</si>
  <si>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</si>
  <si>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</si>
  <si>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</si>
  <si>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</si>
  <si>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</si>
  <si>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</si>
  <si>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</si>
  <si>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</si>
  <si>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</si>
  <si>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</si>
  <si>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</si>
  <si>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</si>
  <si>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</si>
  <si>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</si>
  <si>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</si>
  <si>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</si>
  <si>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</si>
  <si>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</si>
  <si>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</si>
  <si>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</si>
  <si>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</si>
  <si>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</si>
  <si>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</si>
  <si>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</si>
  <si>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</si>
  <si>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</si>
  <si>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</si>
  <si>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</si>
  <si>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</si>
  <si>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</si>
  <si>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</si>
  <si>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</si>
  <si>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</si>
  <si>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</si>
  <si>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</si>
  <si>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</si>
  <si>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</si>
  <si>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</si>
  <si>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</si>
  <si>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</si>
  <si>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</si>
  <si>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</si>
  <si>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</si>
  <si>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</si>
  <si>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</si>
  <si>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</si>
  <si>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</si>
  <si>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</si>
  <si>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</si>
  <si>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</si>
  <si>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</si>
  <si>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</si>
  <si>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</si>
  <si>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</si>
  <si>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</si>
  <si>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</si>
  <si>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</si>
  <si>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</si>
  <si>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</si>
  <si>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</si>
  <si>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</si>
  <si>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</si>
  <si>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</si>
  <si>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</si>
  <si>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</si>
  <si>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</si>
  <si>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</si>
  <si>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</si>
  <si>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</si>
  <si>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</si>
  <si>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</si>
  <si>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</si>
  <si>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</si>
  <si>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</si>
  <si>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</si>
  <si>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</si>
  <si>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</si>
  <si>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</si>
  <si>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</si>
  <si>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</si>
  <si>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</si>
  <si>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</si>
  <si>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</si>
  <si>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</si>
  <si>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</si>
  <si>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</si>
  <si>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</si>
  <si>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</si>
  <si>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</si>
  <si>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</si>
  <si>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</si>
  <si>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</si>
  <si>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</si>
  <si>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</si>
  <si>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</si>
  <si>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</si>
  <si>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</si>
  <si>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</si>
  <si>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</si>
  <si>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</si>
  <si>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</si>
  <si>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</si>
  <si>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</si>
  <si>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</si>
  <si>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</si>
  <si>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</si>
  <si>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</si>
  <si>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</si>
  <si>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</si>
  <si>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</si>
  <si>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</si>
  <si>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</si>
  <si>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</si>
  <si>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</si>
  <si>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</si>
  <si>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</si>
  <si>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</si>
  <si>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</si>
  <si>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</si>
  <si>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</si>
  <si>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</si>
  <si>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</si>
  <si>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</si>
  <si>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</si>
  <si>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</si>
  <si>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</si>
  <si>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</si>
  <si>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</si>
  <si>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</si>
  <si>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</si>
  <si>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</si>
  <si>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</si>
  <si>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</si>
  <si>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</si>
  <si>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</si>
  <si>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</si>
  <si>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</si>
  <si>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</si>
  <si>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</si>
  <si>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</si>
  <si>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</si>
  <si>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</si>
  <si>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</si>
  <si>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</si>
  <si>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</si>
  <si>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</si>
  <si>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</si>
  <si>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</si>
  <si>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</si>
  <si>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</si>
  <si>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</si>
  <si>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</si>
  <si>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</si>
  <si>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</si>
  <si>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</si>
  <si>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</si>
  <si>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</si>
  <si>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</si>
  <si>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</si>
  <si>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200X700</t>
  </si>
  <si>
    <t>30X200</t>
  </si>
  <si>
    <t>30x75</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</si>
  <si>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</si>
  <si>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</si>
  <si>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</si>
  <si>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</si>
  <si>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</si>
  <si>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</si>
  <si>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</si>
  <si>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</si>
  <si>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</si>
  <si>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</si>
  <si>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</si>
  <si>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</si>
  <si>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</si>
  <si>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</si>
  <si>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</si>
  <si>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</si>
  <si>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</si>
  <si>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</si>
  <si>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</si>
  <si>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</si>
  <si>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</si>
  <si>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</si>
  <si>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</si>
  <si>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</si>
  <si>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</si>
  <si>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</si>
  <si>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</si>
  <si>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</si>
  <si>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</si>
  <si>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</si>
  <si>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</si>
  <si>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</si>
  <si>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</si>
  <si>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</si>
  <si>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</si>
  <si>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</si>
  <si>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</si>
  <si>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</si>
  <si>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</si>
  <si>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</si>
  <si>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</si>
  <si>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</si>
  <si>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</si>
  <si>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</si>
  <si>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</si>
  <si>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</si>
  <si>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</si>
  <si>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</si>
  <si>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</si>
  <si>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</si>
  <si>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</si>
  <si>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</si>
  <si>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</si>
  <si>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</si>
  <si>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</si>
  <si>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</si>
  <si>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</si>
  <si>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</si>
  <si>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</si>
  <si>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</si>
  <si>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</si>
  <si>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</si>
  <si>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</si>
  <si>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</si>
  <si>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INDCO2S</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</si>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</sst>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0">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s>
  <fonts count="236">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s>
  <fills count="83">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28">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20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0" xfId="515" applyFont="1" applyBorder="1" applyAlignment="1">
      <alignment horizontal="left" vertical="top" wrapText="1" indent="1"/>
    </xf>
    <xf numFmtId="0" fontId="7" fillId="0" borderId="113" xfId="515" applyFont="1" applyBorder="1" applyAlignment="1">
      <alignment horizontal="left" vertical="top"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7" fillId="0" borderId="102" xfId="515" applyFont="1" applyBorder="1" applyAlignment="1">
      <alignment horizontal="right" wrapText="1"/>
    </xf>
    <xf numFmtId="0" fontId="219" fillId="0" borderId="0" xfId="515" applyFont="1" applyAlignment="1">
      <alignment horizontal="left" vertical="top" wrapText="1"/>
    </xf>
    <xf numFmtId="0" fontId="91" fillId="0" borderId="0" xfId="0" applyFont="1"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133" fillId="0" borderId="16" xfId="0" applyFont="1" applyFill="1" applyBorder="1" applyAlignment="1">
      <alignment horizontal="center" vertical="top"/>
    </xf>
    <xf numFmtId="0" fontId="0" fillId="0" borderId="16" xfId="0" applyFill="1" applyBorder="1" applyAlignment="1">
      <alignment horizontal="left"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132" fillId="0" borderId="16" xfId="0" applyFont="1" applyFill="1" applyBorder="1" applyAlignment="1">
      <alignment horizontal="center" vertical="top"/>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27" fillId="34" borderId="16" xfId="0" applyFont="1" applyFill="1" applyBorder="1" applyAlignment="1">
      <alignment horizontal="left" vertical="top" wrapText="1"/>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HydrogenELT2019!$F$5:$H$5</c:f>
              <c:numCache>
                <c:formatCode>General</c:formatCode>
                <c:ptCount val="3"/>
                <c:pt idx="0">
                  <c:v>2020</c:v>
                </c:pt>
                <c:pt idx="1">
                  <c:v>2030</c:v>
                </c:pt>
                <c:pt idx="2">
                  <c:v>2035</c:v>
                </c:pt>
              </c:numCache>
            </c:numRef>
          </c:xVal>
          <c:yVal>
            <c:numRef>
              <c:f>HydrogenELT2019!$F$15:$H$15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HydrogenELT2019!$B$6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HydrogenELT2019!$A$6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HydrogenELT2019!$F$5:$J$5</c:f>
              <c:numCache>
                <c:formatCode>General</c:formatCode>
                <c:ptCount val="5"/>
                <c:pt idx="0">
                  <c:v>2020</c:v>
                </c:pt>
                <c:pt idx="1">
                  <c:v>2030</c:v>
                </c:pt>
                <c:pt idx="2">
                  <c:v>2035</c:v>
                </c:pt>
                <c:pt idx="3">
                  <c:v>2040</c:v>
                </c:pt>
                <c:pt idx="4">
                  <c:v>2050</c:v>
                </c:pt>
              </c:numCache>
            </c:numRef>
          </c:xVal>
          <c:yVal>
            <c:numRef>
              <c:f>HydrogenELT2019!$F$6:$J$6</c:f>
              <c:numCache>
                <c:formatCode>0.00</c:formatCode>
                <c:ptCount val="5"/>
                <c:pt idx="0">
                  <c:v>622.84426708278443</c:v>
                </c:pt>
                <c:pt idx="1">
                  <c:v>429.54777040192027</c:v>
                </c:pt>
                <c:pt idx="2">
                  <c:v>236.25127372105612</c:v>
                </c:pt>
                <c:pt idx="3">
                  <c:v>198.85358322102883</c:v>
                </c:pt>
                <c:pt idx="4">
                  <c:v>161.45589272100153</c:v>
                </c:pt>
              </c:numCache>
            </c:numRef>
          </c:yVal>
          <c:smooth val="0"/>
          <c:extLst>
            <c:ext xmlns:c16="http://schemas.microsoft.com/office/drawing/2014/chart" uri="{C3380CC4-5D6E-409C-BE32-E72D297353CC}">
              <c16:uniqueId val="{00000000-B606-4323-998D-3F87EA336698}"/>
            </c:ext>
          </c:extLst>
        </c:ser>
        <c:ser>
          <c:idx val="1"/>
          <c:order val="1"/>
          <c:tx>
            <c:strRef>
              <c:f>HydrogenELT2019!$A$7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HydrogenELT2019!$F$5:$J$5</c:f>
              <c:numCache>
                <c:formatCode>General</c:formatCode>
                <c:ptCount val="5"/>
                <c:pt idx="0">
                  <c:v>2020</c:v>
                </c:pt>
                <c:pt idx="1">
                  <c:v>2030</c:v>
                </c:pt>
                <c:pt idx="2">
                  <c:v>2035</c:v>
                </c:pt>
                <c:pt idx="3">
                  <c:v>2040</c:v>
                </c:pt>
                <c:pt idx="4">
                  <c:v>2050</c:v>
                </c:pt>
              </c:numCache>
            </c:numRef>
          </c:xVal>
          <c:yVal>
            <c:numRef>
              <c:f>HydrogenELT2019!$F$7:$J$7</c:f>
              <c:numCache>
                <c:formatCode>0.00</c:formatCode>
                <c:ptCount val="5"/>
                <c:pt idx="0">
                  <c:v>408.07038188182429</c:v>
                </c:pt>
                <c:pt idx="1">
                  <c:v>300.68343928134419</c:v>
                </c:pt>
                <c:pt idx="2">
                  <c:v>193.29649668086412</c:v>
                </c:pt>
                <c:pt idx="3">
                  <c:v>154.0130681056458</c:v>
                </c:pt>
                <c:pt idx="4">
                  <c:v>114.72963953042742</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8180336832895889"/>
                  <c:y val="-9.6759259259259264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0</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79.png"/><Relationship Id="rId5" Type="http://schemas.openxmlformats.org/officeDocument/2006/relationships/chart" Target="../charts/chart15.xml"/><Relationship Id="rId4" Type="http://schemas.openxmlformats.org/officeDocument/2006/relationships/chart" Target="../charts/chart14.xml"/></Relationships>
</file>

<file path=xl/drawings/_rels/drawing2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10" Type="http://schemas.openxmlformats.org/officeDocument/2006/relationships/image" Target="../media/image87.png"/><Relationship Id="rId4" Type="http://schemas.openxmlformats.org/officeDocument/2006/relationships/image" Target="../media/image83.png"/><Relationship Id="rId9"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image" Target="../media/image89.png"/><Relationship Id="rId1" Type="http://schemas.openxmlformats.org/officeDocument/2006/relationships/image" Target="../media/image88.png"/></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4.png"/><Relationship Id="rId4" Type="http://schemas.openxmlformats.org/officeDocument/2006/relationships/chart" Target="../charts/chart22.xml"/></Relationships>
</file>

<file path=xl/drawings/_rels/vmlDrawing13.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20.emf"/><Relationship Id="rId1" Type="http://schemas.openxmlformats.org/officeDocument/2006/relationships/image" Target="../media/image21.emf"/><Relationship Id="rId4" Type="http://schemas.openxmlformats.org/officeDocument/2006/relationships/image" Target="../media/image18.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28.emf"/><Relationship Id="rId7" Type="http://schemas.openxmlformats.org/officeDocument/2006/relationships/image" Target="../media/image24.emf"/><Relationship Id="rId2" Type="http://schemas.openxmlformats.org/officeDocument/2006/relationships/image" Target="../media/image29.emf"/><Relationship Id="rId1" Type="http://schemas.openxmlformats.org/officeDocument/2006/relationships/image" Target="../media/image30.emf"/><Relationship Id="rId6" Type="http://schemas.openxmlformats.org/officeDocument/2006/relationships/image" Target="../media/image25.emf"/><Relationship Id="rId5" Type="http://schemas.openxmlformats.org/officeDocument/2006/relationships/image" Target="../media/image26.emf"/><Relationship Id="rId4" Type="http://schemas.openxmlformats.org/officeDocument/2006/relationships/image" Target="../media/image27.emf"/><Relationship Id="rId9" Type="http://schemas.openxmlformats.org/officeDocument/2006/relationships/image" Target="../media/image22.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0.emf"/><Relationship Id="rId3" Type="http://schemas.openxmlformats.org/officeDocument/2006/relationships/image" Target="../media/image45.emf"/><Relationship Id="rId7" Type="http://schemas.openxmlformats.org/officeDocument/2006/relationships/image" Target="../media/image41.emf"/><Relationship Id="rId2" Type="http://schemas.openxmlformats.org/officeDocument/2006/relationships/image" Target="../media/image46.emf"/><Relationship Id="rId1" Type="http://schemas.openxmlformats.org/officeDocument/2006/relationships/image" Target="../media/image47.emf"/><Relationship Id="rId6" Type="http://schemas.openxmlformats.org/officeDocument/2006/relationships/image" Target="../media/image42.emf"/><Relationship Id="rId5" Type="http://schemas.openxmlformats.org/officeDocument/2006/relationships/image" Target="../media/image43.emf"/><Relationship Id="rId4" Type="http://schemas.openxmlformats.org/officeDocument/2006/relationships/image" Target="../media/image44.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9.emf"/><Relationship Id="rId2" Type="http://schemas.openxmlformats.org/officeDocument/2006/relationships/image" Target="../media/image50.emf"/><Relationship Id="rId1" Type="http://schemas.openxmlformats.org/officeDocument/2006/relationships/image" Target="../media/image51.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58.emf"/><Relationship Id="rId7" Type="http://schemas.openxmlformats.org/officeDocument/2006/relationships/image" Target="../media/image54.emf"/><Relationship Id="rId2" Type="http://schemas.openxmlformats.org/officeDocument/2006/relationships/image" Target="../media/image59.emf"/><Relationship Id="rId1" Type="http://schemas.openxmlformats.org/officeDocument/2006/relationships/image" Target="../media/image60.emf"/><Relationship Id="rId6" Type="http://schemas.openxmlformats.org/officeDocument/2006/relationships/image" Target="../media/image55.emf"/><Relationship Id="rId5" Type="http://schemas.openxmlformats.org/officeDocument/2006/relationships/image" Target="../media/image56.emf"/><Relationship Id="rId4" Type="http://schemas.openxmlformats.org/officeDocument/2006/relationships/image" Target="../media/image57.emf"/><Relationship Id="rId9" Type="http://schemas.openxmlformats.org/officeDocument/2006/relationships/image" Target="../media/image52.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1.emf"/><Relationship Id="rId3" Type="http://schemas.openxmlformats.org/officeDocument/2006/relationships/image" Target="../media/image66.emf"/><Relationship Id="rId7" Type="http://schemas.openxmlformats.org/officeDocument/2006/relationships/image" Target="../media/image62.emf"/><Relationship Id="rId2" Type="http://schemas.openxmlformats.org/officeDocument/2006/relationships/image" Target="../media/image67.emf"/><Relationship Id="rId1" Type="http://schemas.openxmlformats.org/officeDocument/2006/relationships/image" Target="../media/image68.emf"/><Relationship Id="rId6" Type="http://schemas.openxmlformats.org/officeDocument/2006/relationships/image" Target="../media/image63.emf"/><Relationship Id="rId5" Type="http://schemas.openxmlformats.org/officeDocument/2006/relationships/image" Target="../media/image64.emf"/><Relationship Id="rId4" Type="http://schemas.openxmlformats.org/officeDocument/2006/relationships/image" Target="../media/image65.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2.emf"/><Relationship Id="rId1" Type="http://schemas.openxmlformats.org/officeDocument/2006/relationships/image" Target="../media/image93.emf"/><Relationship Id="rId4" Type="http://schemas.openxmlformats.org/officeDocument/2006/relationships/image" Target="../media/image90.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02.emf"/><Relationship Id="rId3" Type="http://schemas.openxmlformats.org/officeDocument/2006/relationships/image" Target="../media/image97.emf"/><Relationship Id="rId7" Type="http://schemas.openxmlformats.org/officeDocument/2006/relationships/image" Target="../media/image101.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100.emf"/><Relationship Id="rId5" Type="http://schemas.openxmlformats.org/officeDocument/2006/relationships/image" Target="../media/image99.emf"/><Relationship Id="rId4" Type="http://schemas.openxmlformats.org/officeDocument/2006/relationships/image" Target="../media/image98.emf"/><Relationship Id="rId9" Type="http://schemas.openxmlformats.org/officeDocument/2006/relationships/image" Target="../media/image103.emf"/></Relationships>
</file>

<file path=xl/drawings/_rels/vmlDrawing44.vml.rels><?xml version="1.0" encoding="UTF-8" standalone="yes"?>
<Relationships xmlns="http://schemas.openxmlformats.org/package/2006/relationships"><Relationship Id="rId8" Type="http://schemas.openxmlformats.org/officeDocument/2006/relationships/image" Target="../media/image111.emf"/><Relationship Id="rId3" Type="http://schemas.openxmlformats.org/officeDocument/2006/relationships/image" Target="../media/image106.emf"/><Relationship Id="rId7" Type="http://schemas.openxmlformats.org/officeDocument/2006/relationships/image" Target="../media/image110.emf"/><Relationship Id="rId2" Type="http://schemas.openxmlformats.org/officeDocument/2006/relationships/image" Target="../media/image105.emf"/><Relationship Id="rId1" Type="http://schemas.openxmlformats.org/officeDocument/2006/relationships/image" Target="../media/image104.emf"/><Relationship Id="rId6" Type="http://schemas.openxmlformats.org/officeDocument/2006/relationships/image" Target="../media/image109.emf"/><Relationship Id="rId5" Type="http://schemas.openxmlformats.org/officeDocument/2006/relationships/image" Target="../media/image108.emf"/><Relationship Id="rId4" Type="http://schemas.openxmlformats.org/officeDocument/2006/relationships/image" Target="../media/image107.emf"/><Relationship Id="rId9" Type="http://schemas.openxmlformats.org/officeDocument/2006/relationships/image" Target="../media/image112.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314325</xdr:colOff>
      <xdr:row>70</xdr:row>
      <xdr:rowOff>122959</xdr:rowOff>
    </xdr:from>
    <xdr:to>
      <xdr:col>5</xdr:col>
      <xdr:colOff>605956</xdr:colOff>
      <xdr:row>94</xdr:row>
      <xdr:rowOff>38100</xdr:rowOff>
    </xdr:to>
    <xdr:pic>
      <xdr:nvPicPr>
        <xdr:cNvPr id="4" name="Picture 3">
          <a:extLst>
            <a:ext uri="{FF2B5EF4-FFF2-40B4-BE49-F238E27FC236}">
              <a16:creationId xmlns:a16="http://schemas.microsoft.com/office/drawing/2014/main" id="{00000000-0008-0000-2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70</xdr:row>
      <xdr:rowOff>133350</xdr:rowOff>
    </xdr:from>
    <xdr:to>
      <xdr:col>12</xdr:col>
      <xdr:colOff>558512</xdr:colOff>
      <xdr:row>89</xdr:row>
      <xdr:rowOff>57150</xdr:rowOff>
    </xdr:to>
    <xdr:sp macro="" textlink="">
      <xdr:nvSpPr>
        <xdr:cNvPr id="12" name="TextBox 11">
          <a:extLst>
            <a:ext uri="{FF2B5EF4-FFF2-40B4-BE49-F238E27FC236}">
              <a16:creationId xmlns:a16="http://schemas.microsoft.com/office/drawing/2014/main" id="{00000000-0008-0000-23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54</xdr:row>
      <xdr:rowOff>0</xdr:rowOff>
    </xdr:to>
    <xdr:graphicFrame macro="">
      <xdr:nvGraphicFramePr>
        <xdr:cNvPr id="13" name="Chart 12">
          <a:extLst>
            <a:ext uri="{FF2B5EF4-FFF2-40B4-BE49-F238E27FC236}">
              <a16:creationId xmlns:a16="http://schemas.microsoft.com/office/drawing/2014/main" id="{00000000-0008-0000-2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54</xdr:row>
      <xdr:rowOff>0</xdr:rowOff>
    </xdr:to>
    <xdr:graphicFrame macro="">
      <xdr:nvGraphicFramePr>
        <xdr:cNvPr id="14" name="Chart 13">
          <a:extLst>
            <a:ext uri="{FF2B5EF4-FFF2-40B4-BE49-F238E27FC236}">
              <a16:creationId xmlns:a16="http://schemas.microsoft.com/office/drawing/2014/main" id="{00000000-0008-0000-2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56</xdr:row>
      <xdr:rowOff>0</xdr:rowOff>
    </xdr:from>
    <xdr:to>
      <xdr:col>23</xdr:col>
      <xdr:colOff>0</xdr:colOff>
      <xdr:row>70</xdr:row>
      <xdr:rowOff>0</xdr:rowOff>
    </xdr:to>
    <xdr:graphicFrame macro="">
      <xdr:nvGraphicFramePr>
        <xdr:cNvPr id="17" name="Chart 16">
          <a:extLst>
            <a:ext uri="{FF2B5EF4-FFF2-40B4-BE49-F238E27FC236}">
              <a16:creationId xmlns:a16="http://schemas.microsoft.com/office/drawing/2014/main" id="{00000000-0008-0000-2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1028468</xdr:colOff>
      <xdr:row>115</xdr:row>
      <xdr:rowOff>134024</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356447</xdr:colOff>
      <xdr:row>110</xdr:row>
      <xdr:rowOff>102586</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4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14</xdr:col>
      <xdr:colOff>37541</xdr:colOff>
      <xdr:row>84</xdr:row>
      <xdr:rowOff>35113</xdr:rowOff>
    </xdr:to>
    <xdr:pic>
      <xdr:nvPicPr>
        <xdr:cNvPr id="6" name="Picture 5">
          <a:extLst>
            <a:ext uri="{FF2B5EF4-FFF2-40B4-BE49-F238E27FC236}">
              <a16:creationId xmlns:a16="http://schemas.microsoft.com/office/drawing/2014/main" id="{00000000-0008-0000-24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4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6</xdr:col>
      <xdr:colOff>1053354</xdr:colOff>
      <xdr:row>39</xdr:row>
      <xdr:rowOff>134471</xdr:rowOff>
    </xdr:from>
    <xdr:to>
      <xdr:col>14</xdr:col>
      <xdr:colOff>177614</xdr:colOff>
      <xdr:row>52</xdr:row>
      <xdr:rowOff>43984</xdr:rowOff>
    </xdr:to>
    <xdr:graphicFrame macro="">
      <xdr:nvGraphicFramePr>
        <xdr:cNvPr id="9" name="Chart 8">
          <a:extLst>
            <a:ext uri="{FF2B5EF4-FFF2-40B4-BE49-F238E27FC236}">
              <a16:creationId xmlns:a16="http://schemas.microsoft.com/office/drawing/2014/main" id="{00000000-0008-0000-2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4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8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22</xdr:row>
      <xdr:rowOff>31936</xdr:rowOff>
    </xdr:to>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0.xml><?xml version="1.0" encoding="utf-8"?>
<ThreadedComments xmlns="http://schemas.microsoft.com/office/spreadsheetml/2018/threadedcomments" xmlns:x="http://schemas.openxmlformats.org/spreadsheetml/2006/main">
  <threadedComment ref="Z173" dT="2020-10-13T14:54:33.18" personId="{C98AE95B-F7A1-4680-B272-2648DA9D0536}" id="{8D281F20-C49E-4119-B3FE-83CD993F6A61}">
    <text>300 bpd Aramco refinery (as per request from DEFF).</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2.xml"/><Relationship Id="rId1" Type="http://schemas.openxmlformats.org/officeDocument/2006/relationships/hyperlink" Target="https://www1.oanda.com/currency/converter/" TargetMode="External"/><Relationship Id="rId4" Type="http://schemas.openxmlformats.org/officeDocument/2006/relationships/comments" Target="../comments23.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drawing" Target="../drawings/drawing23.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5.xml"/><Relationship Id="rId4" Type="http://schemas.openxmlformats.org/officeDocument/2006/relationships/vmlDrawing" Target="../drawings/vmlDrawing30.vm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4" Type="http://schemas.openxmlformats.org/officeDocument/2006/relationships/drawing" Target="../drawings/drawing25.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31.vml"/><Relationship Id="rId1" Type="http://schemas.openxmlformats.org/officeDocument/2006/relationships/printerSettings" Target="../printerSettings/printerSettings28.bin"/><Relationship Id="rId4" Type="http://schemas.microsoft.com/office/2017/10/relationships/threadedComment" Target="../threadedComments/threadedComment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1.bin"/><Relationship Id="rId4" Type="http://schemas.microsoft.com/office/2017/10/relationships/threadedComment" Target="../threadedComments/threadedComment10.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4.vml"/><Relationship Id="rId7" Type="http://schemas.openxmlformats.org/officeDocument/2006/relationships/image" Target="../media/image91.emf"/><Relationship Id="rId12" Type="http://schemas.openxmlformats.org/officeDocument/2006/relationships/comments" Target="../comments29.xml"/><Relationship Id="rId2" Type="http://schemas.openxmlformats.org/officeDocument/2006/relationships/drawing" Target="../drawings/drawing26.xml"/><Relationship Id="rId1" Type="http://schemas.openxmlformats.org/officeDocument/2006/relationships/printerSettings" Target="../printerSettings/printerSettings34.bin"/><Relationship Id="rId6" Type="http://schemas.openxmlformats.org/officeDocument/2006/relationships/control" Target="../activeX/activeX44.xml"/><Relationship Id="rId11" Type="http://schemas.openxmlformats.org/officeDocument/2006/relationships/image" Target="../media/image93.emf"/><Relationship Id="rId5" Type="http://schemas.openxmlformats.org/officeDocument/2006/relationships/image" Target="../media/image90.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2.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7.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8.vml"/><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9.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27.xml"/><Relationship Id="rId1" Type="http://schemas.openxmlformats.org/officeDocument/2006/relationships/printerSettings" Target="../printerSettings/printerSettings38.bin"/><Relationship Id="rId4" Type="http://schemas.openxmlformats.org/officeDocument/2006/relationships/comments" Target="../comments35.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earch.worldbank.org/data?qterm=gdp%20deflator%20%22south%20africa%22&amp;language=EN" TargetMode="External"/></Relationships>
</file>

<file path=xl/worksheets/_rels/sheet58.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41.vml"/><Relationship Id="rId1" Type="http://schemas.openxmlformats.org/officeDocument/2006/relationships/printerSettings" Target="../printerSettings/printerSettings4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99.emf"/><Relationship Id="rId18" Type="http://schemas.openxmlformats.org/officeDocument/2006/relationships/control" Target="../activeX/activeX54.xml"/><Relationship Id="rId3" Type="http://schemas.openxmlformats.org/officeDocument/2006/relationships/vmlDrawing" Target="../drawings/vmlDrawing43.vml"/><Relationship Id="rId21" Type="http://schemas.openxmlformats.org/officeDocument/2006/relationships/image" Target="../media/image103.emf"/><Relationship Id="rId7" Type="http://schemas.openxmlformats.org/officeDocument/2006/relationships/image" Target="../media/image96.emf"/><Relationship Id="rId12" Type="http://schemas.openxmlformats.org/officeDocument/2006/relationships/control" Target="../activeX/activeX51.xml"/><Relationship Id="rId17" Type="http://schemas.openxmlformats.org/officeDocument/2006/relationships/image" Target="../media/image101.emf"/><Relationship Id="rId2" Type="http://schemas.openxmlformats.org/officeDocument/2006/relationships/drawing" Target="../drawings/drawing28.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3.bin"/><Relationship Id="rId6" Type="http://schemas.openxmlformats.org/officeDocument/2006/relationships/control" Target="../activeX/activeX48.xml"/><Relationship Id="rId11" Type="http://schemas.openxmlformats.org/officeDocument/2006/relationships/image" Target="../media/image98.emf"/><Relationship Id="rId5" Type="http://schemas.openxmlformats.org/officeDocument/2006/relationships/image" Target="../media/image95.emf"/><Relationship Id="rId15" Type="http://schemas.openxmlformats.org/officeDocument/2006/relationships/image" Target="../media/image100.emf"/><Relationship Id="rId10" Type="http://schemas.openxmlformats.org/officeDocument/2006/relationships/control" Target="../activeX/activeX50.xml"/><Relationship Id="rId19" Type="http://schemas.openxmlformats.org/officeDocument/2006/relationships/image" Target="../media/image102.emf"/><Relationship Id="rId4" Type="http://schemas.openxmlformats.org/officeDocument/2006/relationships/control" Target="../activeX/activeX47.xml"/><Relationship Id="rId9" Type="http://schemas.openxmlformats.org/officeDocument/2006/relationships/image" Target="../media/image97.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08.emf"/><Relationship Id="rId18" Type="http://schemas.openxmlformats.org/officeDocument/2006/relationships/control" Target="../activeX/activeX63.xml"/><Relationship Id="rId3" Type="http://schemas.openxmlformats.org/officeDocument/2006/relationships/vmlDrawing" Target="../drawings/vmlDrawing44.vml"/><Relationship Id="rId21" Type="http://schemas.openxmlformats.org/officeDocument/2006/relationships/image" Target="../media/image112.emf"/><Relationship Id="rId7" Type="http://schemas.openxmlformats.org/officeDocument/2006/relationships/image" Target="../media/image105.emf"/><Relationship Id="rId12" Type="http://schemas.openxmlformats.org/officeDocument/2006/relationships/control" Target="../activeX/activeX60.xml"/><Relationship Id="rId17" Type="http://schemas.openxmlformats.org/officeDocument/2006/relationships/image" Target="../media/image110.emf"/><Relationship Id="rId2" Type="http://schemas.openxmlformats.org/officeDocument/2006/relationships/drawing" Target="../drawings/drawing29.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4.bin"/><Relationship Id="rId6" Type="http://schemas.openxmlformats.org/officeDocument/2006/relationships/control" Target="../activeX/activeX57.xml"/><Relationship Id="rId11" Type="http://schemas.openxmlformats.org/officeDocument/2006/relationships/image" Target="../media/image107.emf"/><Relationship Id="rId5" Type="http://schemas.openxmlformats.org/officeDocument/2006/relationships/image" Target="../media/image104.emf"/><Relationship Id="rId15" Type="http://schemas.openxmlformats.org/officeDocument/2006/relationships/image" Target="../media/image109.emf"/><Relationship Id="rId10" Type="http://schemas.openxmlformats.org/officeDocument/2006/relationships/control" Target="../activeX/activeX59.xml"/><Relationship Id="rId19" Type="http://schemas.openxmlformats.org/officeDocument/2006/relationships/image" Target="../media/image111.emf"/><Relationship Id="rId4" Type="http://schemas.openxmlformats.org/officeDocument/2006/relationships/control" Target="../activeX/activeX56.xml"/><Relationship Id="rId9" Type="http://schemas.openxmlformats.org/officeDocument/2006/relationships/image" Target="../media/image106.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38.xml"/><Relationship Id="rId1" Type="http://schemas.openxmlformats.org/officeDocument/2006/relationships/vmlDrawing" Target="../drawings/vmlDrawing45.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election activeCell="B7" sqref="B7"/>
    </sheetView>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1478</v>
      </c>
      <c r="B1" s="1367" t="s">
        <v>1479</v>
      </c>
      <c r="C1" s="1366" t="s">
        <v>1475</v>
      </c>
      <c r="D1" s="1366" t="s">
        <v>924</v>
      </c>
      <c r="E1" s="1366" t="s">
        <v>925</v>
      </c>
      <c r="F1" s="1366" t="s">
        <v>926</v>
      </c>
      <c r="G1" s="1366" t="s">
        <v>927</v>
      </c>
      <c r="H1" s="1366" t="s">
        <v>928</v>
      </c>
      <c r="I1" s="1366" t="s">
        <v>872</v>
      </c>
      <c r="J1" s="1366" t="s">
        <v>1657</v>
      </c>
      <c r="K1" s="1366" t="s">
        <v>929</v>
      </c>
      <c r="L1" s="1366" t="s">
        <v>13559</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1477</v>
      </c>
      <c r="D3" s="894" t="s">
        <v>881</v>
      </c>
      <c r="E3" s="893" t="s">
        <v>882</v>
      </c>
      <c r="F3" s="894" t="s">
        <v>883</v>
      </c>
      <c r="G3" s="893" t="s">
        <v>884</v>
      </c>
      <c r="H3" s="894" t="s">
        <v>885</v>
      </c>
      <c r="I3" s="893" t="s">
        <v>873</v>
      </c>
      <c r="J3" s="894" t="s">
        <v>887</v>
      </c>
      <c r="K3" s="894" t="s">
        <v>13560</v>
      </c>
      <c r="L3" s="894" t="s">
        <v>295</v>
      </c>
    </row>
    <row r="4" spans="1:12">
      <c r="B4" t="s">
        <v>2183</v>
      </c>
      <c r="C4" t="s">
        <v>2184</v>
      </c>
    </row>
    <row r="5" spans="1:12">
      <c r="A5" t="s">
        <v>2087</v>
      </c>
      <c r="B5" s="1370">
        <v>0</v>
      </c>
      <c r="C5" s="1370">
        <v>1</v>
      </c>
      <c r="D5" t="s">
        <v>2182</v>
      </c>
    </row>
    <row r="6" spans="1:12">
      <c r="A6" t="s">
        <v>2172</v>
      </c>
      <c r="B6" s="1650">
        <v>0</v>
      </c>
    </row>
    <row r="8" spans="1:12">
      <c r="A8" t="s">
        <v>13558</v>
      </c>
      <c r="B8" s="581">
        <f>SUM(B5:B6)</f>
        <v>0</v>
      </c>
    </row>
    <row r="10" spans="1:12">
      <c r="A10" s="1382" t="s">
        <v>13992</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16"/>
  <sheetViews>
    <sheetView topLeftCell="A88" workbookViewId="0">
      <selection activeCell="A113" sqref="A113"/>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1573</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1414</v>
      </c>
      <c r="B6" s="770">
        <v>41347.449376504628</v>
      </c>
      <c r="C6" s="610" t="s">
        <v>1245</v>
      </c>
    </row>
    <row r="7" spans="1:3">
      <c r="A7" s="890" t="s">
        <v>1415</v>
      </c>
      <c r="B7" s="770">
        <v>41347.449376504628</v>
      </c>
      <c r="C7" s="610" t="s">
        <v>1245</v>
      </c>
    </row>
    <row r="8" spans="1:3">
      <c r="A8" s="890" t="s">
        <v>1416</v>
      </c>
      <c r="B8" s="770">
        <v>41347.449376504628</v>
      </c>
      <c r="C8" s="610" t="s">
        <v>1245</v>
      </c>
    </row>
    <row r="9" spans="1:3">
      <c r="A9" s="890" t="s">
        <v>1417</v>
      </c>
      <c r="B9" s="770">
        <v>41347.449376504628</v>
      </c>
      <c r="C9" s="610" t="s">
        <v>1245</v>
      </c>
    </row>
    <row r="10" spans="1:3">
      <c r="A10" s="890" t="s">
        <v>1418</v>
      </c>
      <c r="B10" s="770">
        <v>41347.449376504628</v>
      </c>
      <c r="C10" s="610" t="s">
        <v>1245</v>
      </c>
    </row>
    <row r="11" spans="1:3">
      <c r="A11" s="890" t="s">
        <v>1463</v>
      </c>
      <c r="B11" s="887">
        <v>41456</v>
      </c>
      <c r="C11" s="885" t="s">
        <v>1462</v>
      </c>
    </row>
    <row r="12" spans="1:3">
      <c r="A12" s="890" t="s">
        <v>1464</v>
      </c>
      <c r="B12" s="532"/>
      <c r="C12" s="886"/>
    </row>
    <row r="13" spans="1:3">
      <c r="A13" s="890" t="s">
        <v>1465</v>
      </c>
      <c r="B13" s="532"/>
      <c r="C13" s="886"/>
    </row>
    <row r="14" spans="1:3">
      <c r="A14" s="890" t="s">
        <v>1469</v>
      </c>
      <c r="B14" s="888">
        <v>41481</v>
      </c>
      <c r="C14" s="889" t="s">
        <v>1462</v>
      </c>
    </row>
    <row r="15" spans="1:3">
      <c r="A15" s="890" t="s">
        <v>1470</v>
      </c>
      <c r="B15" s="387"/>
      <c r="C15" s="600"/>
    </row>
    <row r="16" spans="1:3">
      <c r="A16" s="890" t="s">
        <v>1473</v>
      </c>
      <c r="B16" s="888">
        <v>41491</v>
      </c>
      <c r="C16" s="598" t="s">
        <v>1472</v>
      </c>
    </row>
    <row r="17" spans="1:3">
      <c r="A17" s="877" t="s">
        <v>1474</v>
      </c>
      <c r="B17" s="888">
        <v>41499</v>
      </c>
      <c r="C17" s="886" t="s">
        <v>1472</v>
      </c>
    </row>
    <row r="18" spans="1:3" ht="30">
      <c r="A18" s="890" t="s">
        <v>1476</v>
      </c>
      <c r="B18" s="888">
        <v>41500</v>
      </c>
      <c r="C18" s="600" t="s">
        <v>1472</v>
      </c>
    </row>
    <row r="19" spans="1:3" ht="30">
      <c r="A19" s="905" t="s">
        <v>1499</v>
      </c>
      <c r="B19" s="904" t="s">
        <v>1572</v>
      </c>
      <c r="C19" s="905" t="s">
        <v>1472</v>
      </c>
    </row>
    <row r="21" spans="1:3">
      <c r="A21" s="986" t="s">
        <v>1574</v>
      </c>
      <c r="B21" s="904">
        <v>41589.665909722222</v>
      </c>
      <c r="C21" s="392" t="s">
        <v>1462</v>
      </c>
    </row>
    <row r="23" spans="1:3">
      <c r="A23" s="430" t="s">
        <v>1612</v>
      </c>
      <c r="B23" s="904">
        <v>41597.58110949074</v>
      </c>
      <c r="C23" s="392" t="s">
        <v>1472</v>
      </c>
    </row>
    <row r="24" spans="1:3">
      <c r="A24" s="392" t="s">
        <v>1853</v>
      </c>
      <c r="B24" s="904">
        <v>41765.779536921298</v>
      </c>
      <c r="C24" s="392" t="s">
        <v>1472</v>
      </c>
    </row>
    <row r="26" spans="1:3">
      <c r="B26" s="904">
        <f ca="1">NOW()</f>
        <v>44340.433955092594</v>
      </c>
    </row>
    <row r="28" spans="1:3">
      <c r="A28" s="430" t="s">
        <v>2113</v>
      </c>
      <c r="B28" s="1244">
        <v>41858</v>
      </c>
      <c r="C28" s="430" t="s">
        <v>1462</v>
      </c>
    </row>
    <row r="29" spans="1:3">
      <c r="A29" s="39" t="s">
        <v>2114</v>
      </c>
    </row>
    <row r="30" spans="1:3">
      <c r="A30" s="430" t="s">
        <v>2133</v>
      </c>
    </row>
    <row r="31" spans="1:3">
      <c r="A31" s="430" t="s">
        <v>2134</v>
      </c>
    </row>
    <row r="32" spans="1:3">
      <c r="A32" s="430" t="s">
        <v>2115</v>
      </c>
    </row>
    <row r="33" spans="1:3">
      <c r="A33" s="430" t="s">
        <v>2116</v>
      </c>
    </row>
    <row r="34" spans="1:3">
      <c r="A34" s="430" t="s">
        <v>2118</v>
      </c>
    </row>
    <row r="35" spans="1:3">
      <c r="A35" s="430" t="s">
        <v>2120</v>
      </c>
    </row>
    <row r="36" spans="1:3">
      <c r="A36" s="430" t="s">
        <v>2128</v>
      </c>
    </row>
    <row r="37" spans="1:3">
      <c r="A37" s="430" t="s">
        <v>2129</v>
      </c>
    </row>
    <row r="38" spans="1:3">
      <c r="A38" s="430" t="s">
        <v>2130</v>
      </c>
    </row>
    <row r="39" spans="1:3">
      <c r="A39" s="430" t="s">
        <v>2131</v>
      </c>
    </row>
    <row r="40" spans="1:3">
      <c r="A40" s="430" t="s">
        <v>2132</v>
      </c>
    </row>
    <row r="41" spans="1:3">
      <c r="A41" s="430" t="s">
        <v>2135</v>
      </c>
    </row>
    <row r="43" spans="1:3">
      <c r="A43" s="430" t="s">
        <v>2188</v>
      </c>
      <c r="B43" s="1299">
        <v>41866</v>
      </c>
      <c r="C43" s="430" t="s">
        <v>2189</v>
      </c>
    </row>
    <row r="44" spans="1:3">
      <c r="A44" s="430" t="s">
        <v>2191</v>
      </c>
      <c r="B44" s="1299">
        <v>41866</v>
      </c>
      <c r="C44" s="430" t="s">
        <v>1462</v>
      </c>
    </row>
    <row r="45" spans="1:3">
      <c r="A45" s="430" t="s">
        <v>2190</v>
      </c>
      <c r="B45" s="1299">
        <v>41869</v>
      </c>
      <c r="C45" s="430" t="s">
        <v>1462</v>
      </c>
    </row>
    <row r="46" spans="1:3">
      <c r="A46" s="430" t="s">
        <v>2192</v>
      </c>
    </row>
    <row r="48" spans="1:3">
      <c r="A48" s="430" t="s">
        <v>2195</v>
      </c>
      <c r="B48" s="1299">
        <v>42059</v>
      </c>
      <c r="C48" s="430" t="s">
        <v>1462</v>
      </c>
    </row>
    <row r="49" spans="1:3">
      <c r="A49" s="430" t="s">
        <v>2196</v>
      </c>
      <c r="B49" s="1302">
        <v>42064</v>
      </c>
      <c r="C49" s="430" t="s">
        <v>1462</v>
      </c>
    </row>
    <row r="50" spans="1:3">
      <c r="A50" s="430" t="s">
        <v>2197</v>
      </c>
      <c r="B50" s="1302">
        <v>42064</v>
      </c>
      <c r="C50" s="430" t="s">
        <v>1462</v>
      </c>
    </row>
    <row r="52" spans="1:3">
      <c r="A52" s="430" t="s">
        <v>13422</v>
      </c>
      <c r="B52" s="1302">
        <v>42064</v>
      </c>
      <c r="C52" s="430" t="s">
        <v>1462</v>
      </c>
    </row>
    <row r="53" spans="1:3">
      <c r="A53" s="430" t="s">
        <v>13423</v>
      </c>
    </row>
    <row r="54" spans="1:3">
      <c r="A54" s="430" t="s">
        <v>13424</v>
      </c>
    </row>
    <row r="55" spans="1:3">
      <c r="A55" s="430" t="s">
        <v>13425</v>
      </c>
    </row>
    <row r="56" spans="1:3">
      <c r="A56" s="430" t="s">
        <v>13426</v>
      </c>
    </row>
    <row r="57" spans="1:3">
      <c r="A57" s="430" t="s">
        <v>13427</v>
      </c>
    </row>
    <row r="58" spans="1:3">
      <c r="A58" s="430" t="s">
        <v>13428</v>
      </c>
    </row>
    <row r="60" spans="1:3">
      <c r="A60" s="430" t="s">
        <v>13451</v>
      </c>
      <c r="B60" s="1336">
        <v>42090</v>
      </c>
      <c r="C60" s="430" t="s">
        <v>1462</v>
      </c>
    </row>
    <row r="61" spans="1:3">
      <c r="A61" s="430" t="s">
        <v>13452</v>
      </c>
    </row>
    <row r="63" spans="1:3">
      <c r="A63" s="430" t="s">
        <v>13470</v>
      </c>
      <c r="B63" s="1299">
        <v>42108</v>
      </c>
      <c r="C63" s="430" t="s">
        <v>1462</v>
      </c>
    </row>
    <row r="65" spans="1:4">
      <c r="A65" s="430" t="s">
        <v>13495</v>
      </c>
      <c r="B65" s="1299">
        <v>42109</v>
      </c>
      <c r="C65" s="430" t="s">
        <v>1462</v>
      </c>
    </row>
    <row r="67" spans="1:4">
      <c r="A67" s="430" t="s">
        <v>13562</v>
      </c>
      <c r="B67" s="1299">
        <v>42135</v>
      </c>
      <c r="C67" s="430" t="s">
        <v>13561</v>
      </c>
    </row>
    <row r="69" spans="1:4">
      <c r="A69" s="430" t="s">
        <v>13975</v>
      </c>
      <c r="B69" s="1244">
        <v>42534</v>
      </c>
      <c r="C69" s="430" t="s">
        <v>13977</v>
      </c>
    </row>
    <row r="70" spans="1:4" s="1409" customFormat="1" ht="30">
      <c r="A70" s="2" t="s">
        <v>14099</v>
      </c>
      <c r="B70" s="1244">
        <v>42767</v>
      </c>
      <c r="C70" s="1409" t="s">
        <v>13977</v>
      </c>
    </row>
    <row r="71" spans="1:4">
      <c r="A71" s="430" t="s">
        <v>14042</v>
      </c>
      <c r="B71" s="430" t="s">
        <v>14043</v>
      </c>
      <c r="C71" s="430" t="s">
        <v>14044</v>
      </c>
    </row>
    <row r="73" spans="1:4">
      <c r="A73" s="430" t="s">
        <v>14046</v>
      </c>
      <c r="B73" s="1244">
        <v>43124</v>
      </c>
      <c r="C73" s="430" t="s">
        <v>14045</v>
      </c>
    </row>
    <row r="75" spans="1:4">
      <c r="A75" s="1409" t="s">
        <v>14093</v>
      </c>
      <c r="B75" s="1244">
        <v>43862</v>
      </c>
      <c r="C75" s="719" t="s">
        <v>1472</v>
      </c>
      <c r="D75" s="1409" t="s">
        <v>14094</v>
      </c>
    </row>
    <row r="76" spans="1:4">
      <c r="A76" s="1409" t="s">
        <v>14095</v>
      </c>
      <c r="B76" s="1244">
        <v>43862</v>
      </c>
      <c r="C76" s="719" t="s">
        <v>1472</v>
      </c>
      <c r="D76" s="1409" t="s">
        <v>14094</v>
      </c>
    </row>
    <row r="77" spans="1:4">
      <c r="B77" s="1409" t="s">
        <v>14096</v>
      </c>
    </row>
    <row r="78" spans="1:4" ht="30">
      <c r="A78" s="1469" t="s">
        <v>14098</v>
      </c>
      <c r="B78" s="1244">
        <v>44007.689838194441</v>
      </c>
      <c r="C78" s="719" t="s">
        <v>1472</v>
      </c>
      <c r="D78" s="1409" t="s">
        <v>14097</v>
      </c>
    </row>
    <row r="79" spans="1:4">
      <c r="B79" s="1409"/>
    </row>
    <row r="80" spans="1:4" ht="30">
      <c r="A80" s="1586" t="s">
        <v>14303</v>
      </c>
      <c r="B80" s="1244">
        <v>44029.689837962964</v>
      </c>
      <c r="C80" s="430" t="s">
        <v>1472</v>
      </c>
      <c r="D80" s="430" t="s">
        <v>14097</v>
      </c>
    </row>
    <row r="81" spans="1:4">
      <c r="A81" s="430" t="s">
        <v>14378</v>
      </c>
      <c r="B81" s="430" t="s">
        <v>14379</v>
      </c>
      <c r="C81" s="430" t="s">
        <v>1462</v>
      </c>
      <c r="D81" s="1409" t="s">
        <v>14097</v>
      </c>
    </row>
    <row r="82" spans="1:4">
      <c r="A82" s="430" t="s">
        <v>14376</v>
      </c>
      <c r="B82" s="1244">
        <v>44276</v>
      </c>
      <c r="C82" s="430" t="s">
        <v>1462</v>
      </c>
      <c r="D82" s="430" t="s">
        <v>14727</v>
      </c>
    </row>
    <row r="83" spans="1:4">
      <c r="A83" s="1653" t="s">
        <v>14377</v>
      </c>
      <c r="B83" s="1244">
        <v>44276</v>
      </c>
      <c r="C83" s="1409" t="s">
        <v>1462</v>
      </c>
      <c r="D83" s="1409" t="s">
        <v>14727</v>
      </c>
    </row>
    <row r="84" spans="1:4">
      <c r="A84" s="430" t="s">
        <v>14380</v>
      </c>
      <c r="B84" s="1244">
        <v>44278</v>
      </c>
      <c r="C84" s="430" t="s">
        <v>1462</v>
      </c>
      <c r="D84" s="1409" t="s">
        <v>14727</v>
      </c>
    </row>
    <row r="85" spans="1:4">
      <c r="A85" s="430" t="s">
        <v>14405</v>
      </c>
      <c r="B85" s="1244">
        <v>44293</v>
      </c>
      <c r="C85" s="430" t="s">
        <v>1462</v>
      </c>
      <c r="D85" s="1409" t="s">
        <v>14727</v>
      </c>
    </row>
    <row r="86" spans="1:4">
      <c r="A86" s="430" t="s">
        <v>14406</v>
      </c>
      <c r="B86" s="1244">
        <v>44294</v>
      </c>
      <c r="C86" s="430" t="s">
        <v>1462</v>
      </c>
      <c r="D86" s="1409" t="s">
        <v>14727</v>
      </c>
    </row>
    <row r="87" spans="1:4">
      <c r="A87" s="430" t="s">
        <v>14407</v>
      </c>
      <c r="B87" s="1244">
        <v>44294</v>
      </c>
      <c r="C87" s="1409" t="s">
        <v>1462</v>
      </c>
      <c r="D87" s="1409" t="s">
        <v>14727</v>
      </c>
    </row>
    <row r="88" spans="1:4">
      <c r="A88" s="430" t="s">
        <v>14537</v>
      </c>
      <c r="B88" s="1244">
        <v>44294</v>
      </c>
      <c r="C88" s="430" t="s">
        <v>13977</v>
      </c>
      <c r="D88" s="1409" t="s">
        <v>14727</v>
      </c>
    </row>
    <row r="89" spans="1:4">
      <c r="A89" s="430" t="s">
        <v>14569</v>
      </c>
      <c r="B89" s="1244">
        <v>44295</v>
      </c>
      <c r="C89" s="1409" t="s">
        <v>13977</v>
      </c>
      <c r="D89" s="1409" t="s">
        <v>14727</v>
      </c>
    </row>
    <row r="90" spans="1:4" s="1409" customFormat="1">
      <c r="A90" s="1409" t="s">
        <v>14542</v>
      </c>
      <c r="B90" s="1244">
        <v>44295</v>
      </c>
      <c r="C90" s="1409" t="s">
        <v>13977</v>
      </c>
      <c r="D90" s="1409" t="s">
        <v>14727</v>
      </c>
    </row>
    <row r="91" spans="1:4" s="1409" customFormat="1">
      <c r="A91" s="1410" t="s">
        <v>14603</v>
      </c>
      <c r="B91" s="1244">
        <v>44295</v>
      </c>
      <c r="C91" s="1409" t="s">
        <v>13977</v>
      </c>
      <c r="D91" s="1409" t="s">
        <v>14727</v>
      </c>
    </row>
    <row r="92" spans="1:4" s="1409" customFormat="1">
      <c r="A92" s="1409" t="s">
        <v>14570</v>
      </c>
      <c r="B92" s="1244">
        <v>44295</v>
      </c>
      <c r="C92" s="1409" t="s">
        <v>13977</v>
      </c>
      <c r="D92" s="1409" t="s">
        <v>14727</v>
      </c>
    </row>
    <row r="93" spans="1:4" s="1409" customFormat="1">
      <c r="A93" s="1409" t="s">
        <v>14774</v>
      </c>
      <c r="B93" s="1244">
        <v>44295</v>
      </c>
      <c r="C93" s="1409" t="s">
        <v>13977</v>
      </c>
      <c r="D93" s="1409" t="s">
        <v>14727</v>
      </c>
    </row>
    <row r="94" spans="1:4" s="1409" customFormat="1">
      <c r="A94" s="1409" t="s">
        <v>14571</v>
      </c>
      <c r="B94" s="1244">
        <v>44295</v>
      </c>
      <c r="C94" s="1409" t="s">
        <v>13977</v>
      </c>
      <c r="D94" s="1409" t="s">
        <v>14727</v>
      </c>
    </row>
    <row r="95" spans="1:4" s="1409" customFormat="1">
      <c r="A95" s="1409" t="s">
        <v>14572</v>
      </c>
      <c r="B95" s="1244">
        <v>44295</v>
      </c>
      <c r="C95" s="1409" t="s">
        <v>13977</v>
      </c>
      <c r="D95" s="1409" t="s">
        <v>14727</v>
      </c>
    </row>
    <row r="96" spans="1:4" s="1409" customFormat="1">
      <c r="A96" s="1409" t="s">
        <v>14577</v>
      </c>
      <c r="B96" s="1244">
        <v>44295</v>
      </c>
      <c r="C96" s="1409" t="s">
        <v>13977</v>
      </c>
      <c r="D96" s="1409" t="s">
        <v>14727</v>
      </c>
    </row>
    <row r="97" spans="1:4" s="1409" customFormat="1">
      <c r="A97" s="1409" t="s">
        <v>14580</v>
      </c>
      <c r="B97" s="1244">
        <v>44295</v>
      </c>
      <c r="C97" s="1409" t="s">
        <v>13977</v>
      </c>
      <c r="D97" s="1409" t="s">
        <v>14727</v>
      </c>
    </row>
    <row r="98" spans="1:4" s="1409" customFormat="1">
      <c r="A98" s="1409" t="s">
        <v>14602</v>
      </c>
      <c r="B98" s="1244">
        <v>44295</v>
      </c>
      <c r="C98" s="1409" t="s">
        <v>13977</v>
      </c>
      <c r="D98" s="1409" t="s">
        <v>14727</v>
      </c>
    </row>
    <row r="99" spans="1:4" s="1409" customFormat="1">
      <c r="A99" s="1409" t="s">
        <v>14605</v>
      </c>
      <c r="B99" s="1244">
        <v>44296</v>
      </c>
      <c r="C99" s="1409" t="s">
        <v>13977</v>
      </c>
      <c r="D99" s="1409" t="s">
        <v>14727</v>
      </c>
    </row>
    <row r="100" spans="1:4" s="1409" customFormat="1">
      <c r="A100" s="1409" t="s">
        <v>14723</v>
      </c>
      <c r="B100" s="1244">
        <v>44297</v>
      </c>
      <c r="C100" s="1409" t="s">
        <v>13977</v>
      </c>
      <c r="D100" s="1409" t="s">
        <v>14727</v>
      </c>
    </row>
    <row r="101" spans="1:4" s="1409" customFormat="1">
      <c r="A101" s="1409" t="s">
        <v>14728</v>
      </c>
      <c r="B101" s="1244">
        <v>44308</v>
      </c>
      <c r="C101" s="1409" t="s">
        <v>13977</v>
      </c>
      <c r="D101" s="1409" t="s">
        <v>14727</v>
      </c>
    </row>
    <row r="102" spans="1:4" s="1409" customFormat="1">
      <c r="A102" s="1409" t="s">
        <v>14729</v>
      </c>
      <c r="B102" s="1244">
        <v>44308</v>
      </c>
      <c r="C102" s="1409" t="s">
        <v>13977</v>
      </c>
      <c r="D102" s="1409" t="s">
        <v>14727</v>
      </c>
    </row>
    <row r="103" spans="1:4" s="1409" customFormat="1" ht="30">
      <c r="A103" s="2" t="s">
        <v>14775</v>
      </c>
      <c r="B103" s="1244">
        <v>44317</v>
      </c>
      <c r="C103" s="1409" t="s">
        <v>14736</v>
      </c>
      <c r="D103" s="1409" t="s">
        <v>14727</v>
      </c>
    </row>
    <row r="104" spans="1:4" s="1409" customFormat="1">
      <c r="A104" s="1409" t="s">
        <v>14776</v>
      </c>
      <c r="B104" s="1244">
        <v>44321</v>
      </c>
      <c r="C104" s="1409" t="s">
        <v>13977</v>
      </c>
      <c r="D104" s="1409" t="s">
        <v>14727</v>
      </c>
    </row>
    <row r="105" spans="1:4" s="1409" customFormat="1">
      <c r="A105" s="1409" t="s">
        <v>14773</v>
      </c>
      <c r="B105" s="1244">
        <v>44322</v>
      </c>
      <c r="C105" s="1409" t="s">
        <v>13977</v>
      </c>
      <c r="D105" s="1409" t="s">
        <v>14727</v>
      </c>
    </row>
    <row r="106" spans="1:4" s="1409" customFormat="1">
      <c r="A106" s="1409" t="s">
        <v>14778</v>
      </c>
      <c r="B106" s="1244">
        <v>44327</v>
      </c>
      <c r="C106" s="1409" t="s">
        <v>1462</v>
      </c>
      <c r="D106" s="1409" t="s">
        <v>14727</v>
      </c>
    </row>
    <row r="107" spans="1:4" s="1409" customFormat="1">
      <c r="A107" s="1409" t="s">
        <v>14780</v>
      </c>
      <c r="B107" s="1244">
        <v>44328</v>
      </c>
      <c r="C107" s="1409" t="s">
        <v>13977</v>
      </c>
      <c r="D107" s="1409" t="s">
        <v>14727</v>
      </c>
    </row>
    <row r="113" spans="1:1">
      <c r="A113" s="1470">
        <f ca="1">NOW()</f>
        <v>44340.433955092594</v>
      </c>
    </row>
    <row r="114" spans="1:1">
      <c r="A114" s="430" t="s">
        <v>13429</v>
      </c>
    </row>
    <row r="115" spans="1:1">
      <c r="A115" s="430" t="s">
        <v>13430</v>
      </c>
    </row>
    <row r="116" spans="1:1">
      <c r="A116" s="430" t="s">
        <v>13431</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pane xSplit="4" ySplit="4" topLeftCell="J5" activePane="bottomRight" state="frozen"/>
      <selection pane="topRight" activeCell="E1" sqref="E1"/>
      <selection pane="bottomLeft" activeCell="A5" sqref="A5"/>
      <selection pane="bottomRight" activeCell="P1" sqref="P1"/>
    </sheetView>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1466</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1467</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1793</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1808</v>
      </c>
      <c r="C15" s="561" t="s">
        <v>1807</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1796</v>
      </c>
      <c r="C19" s="561" t="s">
        <v>1809</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1802</v>
      </c>
      <c r="C20" s="561" t="s">
        <v>1810</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1811</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1812</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1813</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1803</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1804</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1776</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c r="A26" s="93">
        <f t="shared" si="36"/>
        <v>22</v>
      </c>
      <c r="B26" s="561" t="s">
        <v>1722</v>
      </c>
      <c r="C26" s="561" t="s">
        <v>1806</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93">
        <v>56.1</v>
      </c>
      <c r="AZ26" s="93">
        <v>1E-3</v>
      </c>
      <c r="BA26" s="93">
        <v>1E-4</v>
      </c>
      <c r="BB26" s="93">
        <v>0</v>
      </c>
      <c r="BC26" s="93">
        <v>0.15</v>
      </c>
      <c r="BD26" s="93">
        <v>0.02</v>
      </c>
      <c r="BE26" s="93">
        <v>5.0000000000000001E-3</v>
      </c>
      <c r="BF26" s="93">
        <v>0</v>
      </c>
      <c r="BG26" s="93">
        <v>0</v>
      </c>
      <c r="BH26" s="93">
        <v>0</v>
      </c>
      <c r="BI26" s="93">
        <v>0</v>
      </c>
      <c r="BJ26" s="93">
        <v>0</v>
      </c>
      <c r="BK26" s="93">
        <v>0</v>
      </c>
      <c r="BL26" s="93">
        <v>0</v>
      </c>
      <c r="BM26" s="93">
        <v>0</v>
      </c>
      <c r="BN26" s="93">
        <v>0</v>
      </c>
      <c r="BO26" s="93">
        <f t="shared" si="35"/>
        <v>21</v>
      </c>
      <c r="BP26" s="93">
        <f t="shared" si="46"/>
        <v>6</v>
      </c>
      <c r="BR26" s="93">
        <f t="shared" si="47"/>
        <v>1</v>
      </c>
      <c r="BS26" s="93">
        <f t="shared" si="48"/>
        <v>2</v>
      </c>
      <c r="BT26" s="93">
        <f t="shared" si="49"/>
        <v>3</v>
      </c>
      <c r="BU26" s="93">
        <f t="shared" si="50"/>
        <v>3</v>
      </c>
      <c r="BV26" s="93">
        <f t="shared" si="51"/>
        <v>4</v>
      </c>
      <c r="BW26" s="93">
        <f t="shared" si="52"/>
        <v>5</v>
      </c>
      <c r="BX26" s="93">
        <f t="shared" si="53"/>
        <v>6</v>
      </c>
      <c r="BY26" s="93">
        <f t="shared" si="54"/>
        <v>6</v>
      </c>
      <c r="BZ26" s="93">
        <f t="shared" si="55"/>
        <v>6</v>
      </c>
      <c r="CA26" s="93">
        <f t="shared" si="56"/>
        <v>6</v>
      </c>
      <c r="CB26" s="93">
        <f t="shared" si="57"/>
        <v>6</v>
      </c>
      <c r="CC26" s="93">
        <f t="shared" si="58"/>
        <v>6</v>
      </c>
      <c r="CD26" s="93">
        <f t="shared" si="59"/>
        <v>6</v>
      </c>
      <c r="CE26" s="93">
        <f t="shared" si="60"/>
        <v>6</v>
      </c>
      <c r="CF26" s="93">
        <f t="shared" si="61"/>
        <v>6</v>
      </c>
      <c r="CG26" s="93">
        <f t="shared" si="62"/>
        <v>6</v>
      </c>
      <c r="CH26" s="93">
        <f>IFERROR(HLOOKUP(CH$4,$BR26:$CG$46,$BO26,FALSE),"")</f>
        <v>1</v>
      </c>
      <c r="CI26" s="93">
        <f>IFERROR(HLOOKUP(CI$4,$BR26:$CG$46,$BO26,FALSE),"")</f>
        <v>2</v>
      </c>
      <c r="CJ26" s="93">
        <f>IFERROR(HLOOKUP(CJ$4,$BR26:$CG$46,$BO26,FALSE),"")</f>
        <v>3</v>
      </c>
      <c r="CK26" s="93">
        <f>IFERROR(HLOOKUP(CK$4,$BR26:$CG$46,$BO26,FALSE),"")</f>
        <v>5</v>
      </c>
      <c r="CL26" s="93">
        <f>IFERROR(HLOOKUP(CL$4,$BR26:$CG$46,$BO26,FALSE),"")</f>
        <v>6</v>
      </c>
      <c r="CM26" s="93">
        <f>IFERROR(HLOOKUP(CM$4,$BR26:$CG$46,$BO26,FALSE),"")</f>
        <v>7</v>
      </c>
      <c r="CN26" s="93" t="str">
        <f>IFERROR(HLOOKUP(CN$4,$BR26:$CG$46,$BO26,FALSE),"")</f>
        <v/>
      </c>
    </row>
    <row r="27" spans="1:95">
      <c r="A27" s="93">
        <f t="shared" si="36"/>
        <v>23</v>
      </c>
      <c r="B27" s="391" t="s">
        <v>597</v>
      </c>
      <c r="C27" s="391" t="s">
        <v>1805</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1471</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1413</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topLeftCell="K1" workbookViewId="0">
      <selection activeCell="W7" sqref="W7"/>
    </sheetView>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14037</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pane xSplit="3" ySplit="26" topLeftCell="N99" activePane="bottomRight" state="frozen"/>
      <selection pane="topRight" activeCell="D1" sqref="D1"/>
      <selection pane="bottomLeft" activeCell="A27" sqref="A27"/>
      <selection pane="bottomRight" activeCell="AO116" sqref="AO116"/>
    </sheetView>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1520</v>
      </c>
      <c r="W1" s="963">
        <v>40909</v>
      </c>
      <c r="AS1" s="430" t="s">
        <v>14035</v>
      </c>
      <c r="AU1" s="430" t="s">
        <v>14036</v>
      </c>
      <c r="AV1" s="430" t="s">
        <v>610</v>
      </c>
    </row>
    <row r="2" spans="4:49" ht="18" thickBot="1">
      <c r="D2" s="672" t="s">
        <v>1523</v>
      </c>
      <c r="E2" s="672"/>
      <c r="F2" s="672"/>
      <c r="G2" s="672"/>
      <c r="H2" s="672"/>
      <c r="U2" s="430" t="s">
        <v>1521</v>
      </c>
      <c r="V2" s="430" t="s">
        <v>764</v>
      </c>
      <c r="W2" s="406">
        <f>SUMIF($C$27:$C$110,$W$1,$J$27:$J$110)</f>
        <v>8.2121999999999993</v>
      </c>
      <c r="AS2" s="430" t="s">
        <v>1085</v>
      </c>
      <c r="AT2" s="430" t="s">
        <v>1522</v>
      </c>
      <c r="AU2" s="430">
        <v>661</v>
      </c>
    </row>
    <row r="3" spans="4:49" ht="15.75" thickTop="1">
      <c r="D3" s="964" t="s">
        <v>1527</v>
      </c>
      <c r="V3" s="430" t="s">
        <v>760</v>
      </c>
      <c r="W3" s="430">
        <f>SUMIF($C$27:$C$110,$W$1,$K$27:$K$110)</f>
        <v>107.96</v>
      </c>
      <c r="AS3" s="430" t="s">
        <v>1784</v>
      </c>
      <c r="AT3" s="430" t="s">
        <v>705</v>
      </c>
      <c r="AU3" s="430">
        <f>AU2*W7+W8*1.3</f>
        <v>140.47035923202716</v>
      </c>
      <c r="AV3" s="430">
        <v>152.27714285714299</v>
      </c>
      <c r="AW3" s="430">
        <f>AV3/AU3</f>
        <v>1.0840517792484146</v>
      </c>
    </row>
    <row r="4" spans="4:49">
      <c r="V4" s="430" t="s">
        <v>1522</v>
      </c>
      <c r="W4" s="430">
        <f>W3*W2</f>
        <v>886.58911199999989</v>
      </c>
      <c r="AS4" s="430" t="s">
        <v>32</v>
      </c>
      <c r="AT4" s="1409" t="s">
        <v>705</v>
      </c>
      <c r="AU4" s="430">
        <f>AU2*X7+X8*1.3</f>
        <v>130.60568568627889</v>
      </c>
      <c r="AV4" s="430">
        <v>144.90263157894699</v>
      </c>
      <c r="AW4" s="1409">
        <f>AV4/AU4</f>
        <v>1.1094664892844714</v>
      </c>
    </row>
    <row r="5" spans="4:49" ht="18" thickBot="1">
      <c r="U5" s="964" t="s">
        <v>1524</v>
      </c>
      <c r="AB5" s="672" t="s">
        <v>1525</v>
      </c>
      <c r="AC5" s="672"/>
      <c r="AD5" s="672"/>
      <c r="AF5" s="672" t="s">
        <v>1526</v>
      </c>
      <c r="AG5" s="672"/>
      <c r="AH5" s="672"/>
      <c r="AI5" s="672"/>
      <c r="AJ5" s="672"/>
      <c r="AN5" s="430" t="s">
        <v>1379</v>
      </c>
      <c r="AO5" s="430" t="s">
        <v>13984</v>
      </c>
    </row>
    <row r="6" spans="4:49" ht="16.5" thickTop="1" thickBot="1">
      <c r="D6" s="990" t="s">
        <v>394</v>
      </c>
      <c r="H6" s="990" t="s">
        <v>32</v>
      </c>
      <c r="L6" s="990" t="s">
        <v>1514</v>
      </c>
      <c r="P6" s="990" t="s">
        <v>34</v>
      </c>
      <c r="V6" s="430" t="s">
        <v>153</v>
      </c>
      <c r="W6" s="430" t="s">
        <v>394</v>
      </c>
      <c r="X6" s="430" t="s">
        <v>32</v>
      </c>
      <c r="Y6" s="430" t="s">
        <v>1514</v>
      </c>
      <c r="Z6" s="430" t="s">
        <v>34</v>
      </c>
      <c r="AB6" s="430" t="s">
        <v>110</v>
      </c>
      <c r="AC6" s="430">
        <v>45</v>
      </c>
      <c r="AD6" s="430" t="s">
        <v>649</v>
      </c>
      <c r="AM6" s="430" t="s">
        <v>13985</v>
      </c>
      <c r="AN6" s="430" t="s">
        <v>1528</v>
      </c>
      <c r="AO6" s="430" t="s">
        <v>13986</v>
      </c>
      <c r="AP6" s="430" t="s">
        <v>767</v>
      </c>
    </row>
    <row r="7" spans="4:49">
      <c r="D7" s="430" t="s">
        <v>1580</v>
      </c>
      <c r="E7" s="430">
        <f t="array" ref="E7:F9">LINEST(M75:M110,$L$75:$L$110,TRUE,TRUE)</f>
        <v>0.69131118046539197</v>
      </c>
      <c r="F7" s="430">
        <v>18.039952527622177</v>
      </c>
      <c r="H7" s="430" t="s">
        <v>1580</v>
      </c>
      <c r="I7" s="430">
        <f t="array" ref="I7:J9">LINEST(N75:N110,$L$75:$L$110,TRUE,TRUE)</f>
        <v>0.76576896825557872</v>
      </c>
      <c r="J7" s="430">
        <v>-6.588942732473015</v>
      </c>
      <c r="L7" s="430" t="s">
        <v>1580</v>
      </c>
      <c r="M7" s="430">
        <f t="array" ref="M7:N9">LINEST(H27:H110,$L$27:$L$110,TRUE,TRUE)</f>
        <v>0.71824017800423035</v>
      </c>
      <c r="N7" s="430">
        <v>47.381796282440177</v>
      </c>
      <c r="P7" s="430" t="s">
        <v>1580</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1528</v>
      </c>
      <c r="AF7" s="430" t="s">
        <v>1529</v>
      </c>
      <c r="AI7" s="430">
        <v>200</v>
      </c>
      <c r="AJ7" s="430" t="s">
        <v>705</v>
      </c>
      <c r="AL7" s="430" t="s">
        <v>110</v>
      </c>
      <c r="AM7" s="430">
        <v>1</v>
      </c>
      <c r="AN7" s="430">
        <v>38.5</v>
      </c>
      <c r="AP7" s="430">
        <v>6.15</v>
      </c>
    </row>
    <row r="8" spans="4:49">
      <c r="D8" s="430" t="s">
        <v>1530</v>
      </c>
      <c r="E8" s="430">
        <v>2.1689295799937405E-2</v>
      </c>
      <c r="F8" s="430">
        <v>16.805407207022476</v>
      </c>
      <c r="H8" s="430" t="s">
        <v>1530</v>
      </c>
      <c r="I8" s="430">
        <v>1.88945947014778E-2</v>
      </c>
      <c r="J8" s="430">
        <v>14.640003110239293</v>
      </c>
      <c r="L8" s="430" t="s">
        <v>1530</v>
      </c>
      <c r="M8" s="430">
        <v>2.0929526528181964E-2</v>
      </c>
      <c r="N8" s="430">
        <v>14.002957365912605</v>
      </c>
      <c r="P8" s="430" t="s">
        <v>1530</v>
      </c>
      <c r="Q8" s="430">
        <v>0.17222197251198301</v>
      </c>
      <c r="R8" s="430">
        <v>158.56449471815961</v>
      </c>
      <c r="U8" s="430" t="s">
        <v>1531</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1528</v>
      </c>
      <c r="AI8" s="433">
        <f>AI7/AC9*100</f>
        <v>524.93438320209975</v>
      </c>
      <c r="AJ8" s="430" t="s">
        <v>941</v>
      </c>
      <c r="AL8" s="430" t="s">
        <v>394</v>
      </c>
      <c r="AM8" s="430">
        <v>1</v>
      </c>
      <c r="AN8" s="430">
        <v>32.1</v>
      </c>
      <c r="AO8" s="430">
        <v>0.745</v>
      </c>
    </row>
    <row r="9" spans="4:49">
      <c r="D9" s="430" t="s">
        <v>1532</v>
      </c>
      <c r="E9" s="430">
        <v>0.96761634565975629</v>
      </c>
      <c r="F9" s="430">
        <v>19.266650663456474</v>
      </c>
      <c r="H9" s="430" t="s">
        <v>1532</v>
      </c>
      <c r="I9" s="430">
        <v>0.97972033969162609</v>
      </c>
      <c r="J9" s="430">
        <v>16.784111337631305</v>
      </c>
      <c r="L9" s="430" t="s">
        <v>1532</v>
      </c>
      <c r="M9" s="430">
        <v>0.93490316152328135</v>
      </c>
      <c r="N9" s="430">
        <v>36.92368042685311</v>
      </c>
      <c r="P9" s="430" t="s">
        <v>1532</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1528</v>
      </c>
      <c r="AL9" s="430" t="s">
        <v>32</v>
      </c>
      <c r="AM9" s="430">
        <v>1</v>
      </c>
      <c r="AN9" s="430">
        <v>35.799999999999997</v>
      </c>
      <c r="AO9" s="430">
        <v>0.83699999999999997</v>
      </c>
    </row>
    <row r="10" spans="4:49">
      <c r="U10" s="430" t="s">
        <v>1533</v>
      </c>
      <c r="W10" s="406">
        <f>W9*100*AC8/1000</f>
        <v>630.94891813210575</v>
      </c>
      <c r="X10" s="406">
        <f>X9*100*AC9/1000</f>
        <v>672.33348683039662</v>
      </c>
      <c r="Y10" s="406">
        <f>Y9*100*AC10/1000</f>
        <v>684.16571790193268</v>
      </c>
      <c r="Z10" s="406">
        <f>Z9*100*AC11/1000</f>
        <v>1499.4264938423782</v>
      </c>
      <c r="AB10" s="430" t="s">
        <v>1514</v>
      </c>
      <c r="AC10" s="430">
        <v>37</v>
      </c>
      <c r="AD10" s="430" t="s">
        <v>1528</v>
      </c>
    </row>
    <row r="11" spans="4:49">
      <c r="D11" s="964" t="s">
        <v>1534</v>
      </c>
      <c r="U11" s="430" t="s">
        <v>1535</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1537</v>
      </c>
    </row>
    <row r="12" spans="4:49">
      <c r="D12" s="430" t="s">
        <v>1580</v>
      </c>
      <c r="E12" s="430">
        <f t="array" ref="E12:F14">LINEST($Z$75:$Z$110,$L$75:$L$110,1,1)</f>
        <v>0.93691765795315396</v>
      </c>
      <c r="F12" s="430">
        <v>265.34488871773931</v>
      </c>
      <c r="H12" s="430" t="s">
        <v>1580</v>
      </c>
      <c r="I12" s="430">
        <f t="array" ref="I12:J14">LINEST($AA$75:$AA$110,$L$75:$L$110,1,1)</f>
        <v>0.96018863587643721</v>
      </c>
      <c r="J12" s="430">
        <v>173.46397553035843</v>
      </c>
      <c r="L12" s="430" t="s">
        <v>1580</v>
      </c>
      <c r="M12" s="430">
        <f t="array" ref="M12:N14">LINEST($AB$75:$AB$110,$L$75:$L$110,1,1)</f>
        <v>0.80597468921050219</v>
      </c>
      <c r="N12" s="430">
        <v>51.88943126981917</v>
      </c>
      <c r="P12" s="430" t="s">
        <v>1580</v>
      </c>
      <c r="Q12" s="430">
        <f t="array" ref="Q12:R14">LINEST($AC$101:$AC$110,$L$101:$L$110,1,1)</f>
        <v>1.0131044969917056</v>
      </c>
      <c r="R12" s="430">
        <v>1298.0776327747087</v>
      </c>
      <c r="V12" s="430">
        <v>661.9</v>
      </c>
      <c r="W12" s="430">
        <f>W7*V12+W8</f>
        <v>139.06983125077926</v>
      </c>
      <c r="X12" s="430">
        <f>X7*V12+X8</f>
        <v>131.30539038212453</v>
      </c>
      <c r="AF12" s="430" t="s">
        <v>1540</v>
      </c>
      <c r="AJ12" s="430">
        <v>247</v>
      </c>
      <c r="AK12" s="430" t="s">
        <v>1541</v>
      </c>
    </row>
    <row r="13" spans="4:49">
      <c r="D13" s="430" t="s">
        <v>1530</v>
      </c>
      <c r="E13" s="430">
        <v>3.5673569679450304E-2</v>
      </c>
      <c r="F13" s="430">
        <v>27.640771305861513</v>
      </c>
      <c r="H13" s="430" t="s">
        <v>1530</v>
      </c>
      <c r="I13" s="430">
        <v>3.108958023439274E-2</v>
      </c>
      <c r="J13" s="430">
        <v>24.088981982341494</v>
      </c>
      <c r="L13" s="430" t="s">
        <v>1530</v>
      </c>
      <c r="M13" s="430">
        <v>2.1167655434585625E-2</v>
      </c>
      <c r="N13" s="430">
        <v>16.401227244878111</v>
      </c>
      <c r="P13" s="430" t="s">
        <v>1530</v>
      </c>
      <c r="Q13" s="430">
        <v>0.22541092540186744</v>
      </c>
      <c r="R13" s="430">
        <v>207.53547859761611</v>
      </c>
      <c r="U13" s="964" t="s">
        <v>1571</v>
      </c>
      <c r="AB13" s="964" t="s">
        <v>1536</v>
      </c>
      <c r="AF13" s="430" t="s">
        <v>1544</v>
      </c>
      <c r="AJ13" s="430">
        <f>124+107</f>
        <v>231</v>
      </c>
      <c r="AK13" s="430" t="s">
        <v>1511</v>
      </c>
    </row>
    <row r="14" spans="4:49">
      <c r="D14" s="430" t="s">
        <v>1532</v>
      </c>
      <c r="E14" s="430">
        <v>0.95302430812025962</v>
      </c>
      <c r="F14" s="430">
        <v>31.68891287537447</v>
      </c>
      <c r="H14" s="430" t="s">
        <v>1532</v>
      </c>
      <c r="I14" s="430">
        <v>0.96558207335934509</v>
      </c>
      <c r="J14" s="430">
        <v>27.616944652083852</v>
      </c>
      <c r="L14" s="430" t="s">
        <v>1532</v>
      </c>
      <c r="M14" s="430">
        <v>0.977085303672103</v>
      </c>
      <c r="N14" s="430">
        <v>18.803276343520299</v>
      </c>
      <c r="P14" s="430" t="s">
        <v>1532</v>
      </c>
      <c r="Q14" s="430">
        <v>0.71631542231007461</v>
      </c>
      <c r="R14" s="430">
        <v>37.712811832395388</v>
      </c>
      <c r="W14" s="430" t="s">
        <v>394</v>
      </c>
      <c r="X14" s="430" t="s">
        <v>32</v>
      </c>
      <c r="Y14" s="430" t="s">
        <v>1514</v>
      </c>
      <c r="Z14" s="430" t="s">
        <v>34</v>
      </c>
      <c r="AB14" s="430" t="s">
        <v>1538</v>
      </c>
      <c r="AC14" s="430">
        <v>159</v>
      </c>
      <c r="AD14" s="430" t="s">
        <v>1539</v>
      </c>
      <c r="AF14" s="430" t="s">
        <v>1545</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1542</v>
      </c>
      <c r="AC15" s="430">
        <v>1183</v>
      </c>
      <c r="AD15" s="430" t="s">
        <v>1543</v>
      </c>
      <c r="AF15" s="430" t="s">
        <v>3</v>
      </c>
      <c r="AJ15" s="458">
        <f>AJ13/AJ14</f>
        <v>0.36724960254372019</v>
      </c>
      <c r="AK15" s="430" t="s">
        <v>1546</v>
      </c>
      <c r="AL15" s="966">
        <f>(AJ14*3.6)/(AJ13/AC9)/1000</f>
        <v>0.37347896103896105</v>
      </c>
    </row>
    <row r="16" spans="4:49">
      <c r="D16" s="964" t="s">
        <v>1547</v>
      </c>
      <c r="U16" s="430" t="s">
        <v>1531</v>
      </c>
      <c r="W16" s="458">
        <f>1/AC8/100*1000*F17</f>
        <v>70.230748454632177</v>
      </c>
      <c r="X16" s="458">
        <f>1/AC9/100*1000*J17</f>
        <v>47.226464833505872</v>
      </c>
      <c r="Y16" s="458">
        <f>1/AC10/100*1000*N17</f>
        <v>14.749344752353803</v>
      </c>
      <c r="Z16" s="458">
        <f>1/AC11/100*1000*R17</f>
        <v>50.285290465410377</v>
      </c>
      <c r="AF16" s="430" t="s">
        <v>1548</v>
      </c>
      <c r="AJ16" s="406">
        <f>AJ12/AJ15</f>
        <v>672.5670995670996</v>
      </c>
      <c r="AK16" s="430" t="s">
        <v>941</v>
      </c>
    </row>
    <row r="17" spans="3:37">
      <c r="D17" s="430" t="s">
        <v>1580</v>
      </c>
      <c r="E17" s="430">
        <f t="array" ref="E17:F19">LINEST($Z$75:$Z$110,$M$75:$M$110,1,1)</f>
        <v>1.3565756517544196</v>
      </c>
      <c r="F17" s="430">
        <v>240.18915971484205</v>
      </c>
      <c r="H17" s="430" t="s">
        <v>1580</v>
      </c>
      <c r="I17" s="430">
        <f t="array" ref="I17:J19">LINEST($AA$75:$AA$110,$N$75:$N$110,1,1)</f>
        <v>1.2570018926592408</v>
      </c>
      <c r="J17" s="430">
        <v>179.93283101565737</v>
      </c>
      <c r="L17" s="430" t="s">
        <v>1580</v>
      </c>
      <c r="M17" s="430">
        <f t="array" ref="M17:N19">LINEST($AB$75:$AB$110,$H$75:$H$110,1,1)</f>
        <v>1.0689483180091128</v>
      </c>
      <c r="N17" s="430">
        <v>54.572575583709067</v>
      </c>
      <c r="P17" s="430" t="s">
        <v>1580</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1549</v>
      </c>
      <c r="AJ17" s="406">
        <f>AVERAGE(N94:N100)</f>
        <v>647.57899999999984</v>
      </c>
      <c r="AK17" s="430" t="s">
        <v>941</v>
      </c>
    </row>
    <row r="18" spans="3:37">
      <c r="D18" s="430" t="s">
        <v>1530</v>
      </c>
      <c r="E18" s="430">
        <v>2.6898357481685498E-2</v>
      </c>
      <c r="F18" s="430">
        <v>14.893086073456775</v>
      </c>
      <c r="H18" s="430" t="s">
        <v>1530</v>
      </c>
      <c r="I18" s="430">
        <v>2.1145683471638581E-2</v>
      </c>
      <c r="J18" s="430">
        <v>12.414574263894144</v>
      </c>
      <c r="L18" s="430" t="s">
        <v>1530</v>
      </c>
      <c r="M18" s="430">
        <v>4.5274592231916537E-3</v>
      </c>
      <c r="N18" s="430">
        <v>2.6349353504746529</v>
      </c>
      <c r="P18" s="430" t="s">
        <v>1530</v>
      </c>
      <c r="Q18" s="430">
        <v>1.2268570690478447E-3</v>
      </c>
      <c r="R18" s="430">
        <v>1.871413674110501</v>
      </c>
      <c r="U18" s="430" t="s">
        <v>1533</v>
      </c>
      <c r="W18" s="406">
        <f>W17*100*AC8/1000</f>
        <v>1096.1190995536492</v>
      </c>
      <c r="X18" s="406">
        <f>X17*100*AC9/1000</f>
        <v>1025.0572964596524</v>
      </c>
      <c r="Y18" s="406">
        <f>Y17*100*AC10/1000</f>
        <v>785.91036897447725</v>
      </c>
      <c r="Z18" s="406">
        <f>Z17*100*AC11/1000</f>
        <v>2196.3017531219862</v>
      </c>
      <c r="AF18" s="430" t="s">
        <v>1550</v>
      </c>
      <c r="AJ18" s="406">
        <f>AVERAGE(AA94:AA100)</f>
        <v>979.92485714285704</v>
      </c>
      <c r="AK18" s="430" t="s">
        <v>941</v>
      </c>
    </row>
    <row r="19" spans="3:37">
      <c r="D19" s="430" t="s">
        <v>1532</v>
      </c>
      <c r="E19" s="430">
        <v>0.98680906639693522</v>
      </c>
      <c r="F19" s="430">
        <v>16.79223544836556</v>
      </c>
      <c r="H19" s="430" t="s">
        <v>1532</v>
      </c>
      <c r="I19" s="430">
        <v>0.99047002318918431</v>
      </c>
      <c r="J19" s="430">
        <v>14.532127488105694</v>
      </c>
      <c r="L19" s="430" t="s">
        <v>1532</v>
      </c>
      <c r="M19" s="430">
        <v>0.99939044936173471</v>
      </c>
      <c r="N19" s="430">
        <v>3.0667711621812406</v>
      </c>
      <c r="P19" s="430" t="s">
        <v>1532</v>
      </c>
      <c r="Q19" s="430">
        <v>0.99999298859893382</v>
      </c>
      <c r="R19" s="430">
        <v>0.18748799131796864</v>
      </c>
      <c r="U19" s="430" t="s">
        <v>1535</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1551</v>
      </c>
      <c r="E22" s="967"/>
      <c r="F22" s="967"/>
      <c r="G22" s="967"/>
      <c r="H22" s="967"/>
      <c r="I22" s="967"/>
      <c r="K22" s="387"/>
      <c r="L22" s="387"/>
      <c r="M22" s="387"/>
      <c r="N22" s="387"/>
      <c r="O22" s="387"/>
      <c r="P22" s="387"/>
      <c r="Q22" s="967" t="s">
        <v>1552</v>
      </c>
      <c r="R22" s="967"/>
      <c r="S22" s="967"/>
      <c r="T22" s="967"/>
      <c r="U22" s="967"/>
    </row>
    <row r="23" spans="3:37">
      <c r="C23" s="582"/>
      <c r="D23" s="968" t="s">
        <v>1553</v>
      </c>
      <c r="E23" s="599"/>
      <c r="F23" s="599"/>
      <c r="G23" s="599"/>
      <c r="H23" s="599"/>
      <c r="I23" s="599"/>
      <c r="J23" s="599"/>
      <c r="K23" s="598"/>
      <c r="L23" s="589"/>
      <c r="M23" s="599"/>
      <c r="N23" s="598"/>
      <c r="O23" s="968"/>
      <c r="P23" s="968"/>
      <c r="Q23" s="968"/>
      <c r="R23" s="968"/>
      <c r="S23" s="971" t="s">
        <v>1554</v>
      </c>
      <c r="T23" s="968"/>
      <c r="U23" s="968"/>
      <c r="V23" s="968"/>
      <c r="W23" s="968"/>
      <c r="X23" s="968"/>
      <c r="Y23" s="970"/>
      <c r="Z23" s="971"/>
      <c r="AA23" s="968"/>
      <c r="AB23" s="968"/>
      <c r="AC23" s="968"/>
      <c r="AD23" s="971" t="s">
        <v>1555</v>
      </c>
      <c r="AE23" s="968"/>
      <c r="AF23" s="968"/>
      <c r="AG23" s="968"/>
      <c r="AH23" s="971"/>
      <c r="AI23" s="968"/>
      <c r="AJ23" s="968"/>
      <c r="AK23" s="598"/>
    </row>
    <row r="24" spans="3:37">
      <c r="C24" s="553"/>
      <c r="D24" s="972" t="s">
        <v>1513</v>
      </c>
      <c r="E24" s="532"/>
      <c r="F24" s="532"/>
      <c r="G24" s="532"/>
      <c r="H24" s="532"/>
      <c r="I24" s="532"/>
      <c r="J24" s="973" t="s">
        <v>1517</v>
      </c>
      <c r="K24" s="886"/>
      <c r="L24" s="886"/>
      <c r="M24" s="974" t="s">
        <v>1556</v>
      </c>
      <c r="N24" s="886"/>
      <c r="O24" s="969" t="s">
        <v>1557</v>
      </c>
      <c r="P24" s="969"/>
      <c r="Q24" s="969"/>
      <c r="R24" s="969"/>
      <c r="S24" s="974" t="s">
        <v>394</v>
      </c>
      <c r="T24" s="969"/>
      <c r="U24" s="969"/>
      <c r="V24" s="969" t="s">
        <v>32</v>
      </c>
      <c r="W24" s="969"/>
      <c r="X24" s="969" t="s">
        <v>1514</v>
      </c>
      <c r="Y24" s="975"/>
      <c r="Z24" s="974"/>
      <c r="AA24" s="969"/>
      <c r="AB24" s="969"/>
      <c r="AC24" s="969"/>
      <c r="AD24" s="974" t="s">
        <v>1558</v>
      </c>
      <c r="AE24" s="969"/>
      <c r="AF24" s="969"/>
      <c r="AG24" s="969"/>
      <c r="AH24" s="974" t="s">
        <v>1559</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1560</v>
      </c>
      <c r="M25" s="988" t="s">
        <v>1561</v>
      </c>
      <c r="N25" s="977" t="s">
        <v>1562</v>
      </c>
      <c r="O25" s="988" t="s">
        <v>1563</v>
      </c>
      <c r="P25" s="976" t="s">
        <v>1564</v>
      </c>
      <c r="Q25" s="976" t="s">
        <v>1567</v>
      </c>
      <c r="R25" s="976" t="s">
        <v>1577</v>
      </c>
      <c r="S25" s="988" t="s">
        <v>1518</v>
      </c>
      <c r="T25" s="976" t="s">
        <v>1519</v>
      </c>
      <c r="U25" s="976" t="s">
        <v>1518</v>
      </c>
      <c r="V25" s="976" t="s">
        <v>1516</v>
      </c>
      <c r="W25" s="976" t="s">
        <v>1515</v>
      </c>
      <c r="X25" s="976" t="s">
        <v>1515</v>
      </c>
      <c r="Y25" s="977" t="s">
        <v>1516</v>
      </c>
      <c r="Z25" s="988" t="s">
        <v>1561</v>
      </c>
      <c r="AA25" s="976" t="s">
        <v>1565</v>
      </c>
      <c r="AB25" s="976" t="s">
        <v>1566</v>
      </c>
      <c r="AC25" s="976" t="s">
        <v>1578</v>
      </c>
      <c r="AD25" s="988" t="s">
        <v>1563</v>
      </c>
      <c r="AE25" s="976" t="s">
        <v>1564</v>
      </c>
      <c r="AF25" s="976" t="s">
        <v>1567</v>
      </c>
      <c r="AG25" s="977" t="s">
        <v>1577</v>
      </c>
      <c r="AH25" s="988" t="s">
        <v>1568</v>
      </c>
      <c r="AI25" s="976" t="s">
        <v>1569</v>
      </c>
      <c r="AJ25" s="976" t="s">
        <v>1570</v>
      </c>
      <c r="AK25" s="989" t="s">
        <v>1579</v>
      </c>
    </row>
    <row r="26" spans="3:37">
      <c r="C26" s="590"/>
      <c r="D26" s="988" t="s">
        <v>941</v>
      </c>
      <c r="E26" s="976" t="s">
        <v>941</v>
      </c>
      <c r="F26" s="976" t="s">
        <v>941</v>
      </c>
      <c r="G26" s="976" t="s">
        <v>941</v>
      </c>
      <c r="H26" s="976" t="s">
        <v>941</v>
      </c>
      <c r="I26" s="976" t="s">
        <v>942</v>
      </c>
      <c r="J26" s="976" t="s">
        <v>1575</v>
      </c>
      <c r="K26" s="977" t="s">
        <v>760</v>
      </c>
      <c r="L26" s="977" t="s">
        <v>1522</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14039</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13978</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13987</v>
      </c>
      <c r="AQ74" s="430" t="s">
        <v>13988</v>
      </c>
      <c r="AR74" s="430" t="s">
        <v>13989</v>
      </c>
      <c r="AT74" s="430" t="s">
        <v>13990</v>
      </c>
      <c r="AU74" s="430" t="s">
        <v>13991</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topLeftCell="A51" workbookViewId="0">
      <selection activeCell="F52" sqref="F52"/>
    </sheetView>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1582</v>
      </c>
      <c r="R5" s="614"/>
    </row>
    <row r="6" spans="2:19" ht="15.75" thickTop="1">
      <c r="G6" s="430" t="s">
        <v>1583</v>
      </c>
      <c r="R6" s="614"/>
    </row>
    <row r="7" spans="2:19">
      <c r="B7" s="430" t="s">
        <v>2</v>
      </c>
      <c r="C7" s="430" t="s">
        <v>705</v>
      </c>
      <c r="D7" s="430">
        <v>15</v>
      </c>
      <c r="G7" s="430" t="s">
        <v>1584</v>
      </c>
      <c r="R7" s="614"/>
    </row>
    <row r="8" spans="2:19">
      <c r="B8" s="430" t="s">
        <v>1586</v>
      </c>
      <c r="C8" s="430" t="s">
        <v>705</v>
      </c>
      <c r="D8" s="430">
        <v>7.5</v>
      </c>
      <c r="G8" s="430" t="s">
        <v>1585</v>
      </c>
      <c r="R8" s="614"/>
    </row>
    <row r="9" spans="2:19">
      <c r="G9" s="430" t="s">
        <v>1587</v>
      </c>
      <c r="R9" s="614"/>
    </row>
    <row r="10" spans="2:19">
      <c r="R10" s="614"/>
    </row>
    <row r="11" spans="2:19">
      <c r="R11" s="614"/>
    </row>
    <row r="12" spans="2:19">
      <c r="R12" s="614"/>
    </row>
    <row r="13" spans="2:19">
      <c r="R13" s="614"/>
    </row>
    <row r="14" spans="2:19">
      <c r="R14" s="614"/>
    </row>
    <row r="15" spans="2:19" ht="18" thickBot="1">
      <c r="B15" s="672" t="s">
        <v>1610</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1611</v>
      </c>
      <c r="Q48" s="999"/>
      <c r="R48" s="999"/>
      <c r="S48" s="999"/>
      <c r="T48" s="999"/>
      <c r="U48" s="999"/>
      <c r="V48" s="999"/>
      <c r="W48" s="999"/>
      <c r="X48" s="999"/>
      <c r="Y48" s="999"/>
      <c r="Z48" s="999"/>
      <c r="AA48" s="999"/>
      <c r="AB48" s="999"/>
      <c r="AC48" s="999"/>
      <c r="AD48" s="999"/>
      <c r="AE48" s="999"/>
      <c r="AF48" s="999"/>
    </row>
    <row r="49" spans="2:33" ht="15.75" thickTop="1">
      <c r="B49" s="1014" t="s">
        <v>1609</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1590</v>
      </c>
      <c r="C54" s="999"/>
      <c r="D54" s="999"/>
      <c r="E54" s="999"/>
      <c r="F54" s="999"/>
      <c r="G54" s="999"/>
      <c r="H54" s="999"/>
      <c r="I54" s="999" t="s">
        <v>1591</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1592</v>
      </c>
      <c r="C55" s="999" t="s">
        <v>1593</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1594</v>
      </c>
      <c r="D56" s="999">
        <v>0.48832999999999999</v>
      </c>
      <c r="E56" s="999">
        <f>D56*1000</f>
        <v>488.33</v>
      </c>
      <c r="F56" s="999"/>
      <c r="G56" s="999"/>
      <c r="H56" s="999"/>
      <c r="I56" s="999" t="s">
        <v>1595</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1596</v>
      </c>
      <c r="D57" s="999">
        <f>E55</f>
        <v>100.194</v>
      </c>
      <c r="E57" s="999"/>
      <c r="F57" s="999"/>
      <c r="G57" s="999"/>
      <c r="H57" s="999"/>
      <c r="I57" s="999" t="s">
        <v>1597</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1598</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1598</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1599</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14007</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1600</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1601</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1602</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1603</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1604</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1605</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1606</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1599</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1607</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1608</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1603</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topLeftCell="BS88" zoomScale="80" zoomScaleNormal="80" workbookViewId="0">
      <selection activeCell="CL92" sqref="CL92"/>
    </sheetView>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1614</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1613</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1854</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1855</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13453</v>
      </c>
      <c r="AY44" s="430" t="s">
        <v>13563</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14372</v>
      </c>
      <c r="BL60"/>
      <c r="BM60"/>
      <c r="BN60"/>
      <c r="BO60"/>
      <c r="BP60"/>
      <c r="BX60" s="430" t="s">
        <v>14373</v>
      </c>
      <c r="CJ60" s="430" t="s">
        <v>14381</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13996</v>
      </c>
      <c r="BU85" s="430"/>
      <c r="BV85" s="430"/>
      <c r="BZ85">
        <v>2020</v>
      </c>
      <c r="CA85">
        <v>2030</v>
      </c>
      <c r="CB85">
        <v>2040</v>
      </c>
      <c r="CC85">
        <v>2050</v>
      </c>
      <c r="CK85">
        <v>2019</v>
      </c>
      <c r="CL85">
        <v>2020</v>
      </c>
      <c r="CM85">
        <v>2021</v>
      </c>
      <c r="CN85">
        <v>2025</v>
      </c>
      <c r="CO85">
        <v>2030</v>
      </c>
      <c r="CP85">
        <v>2035</v>
      </c>
      <c r="CQ85">
        <v>2040</v>
      </c>
      <c r="CR85">
        <v>2050</v>
      </c>
    </row>
    <row r="86" spans="63:96">
      <c r="BK86" s="430" t="s">
        <v>13997</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14374</v>
      </c>
      <c r="CK86">
        <v>63</v>
      </c>
      <c r="CL86">
        <v>40</v>
      </c>
      <c r="CM86">
        <f>(62+54)/2</f>
        <v>58</v>
      </c>
      <c r="CN86">
        <v>71</v>
      </c>
      <c r="CO86">
        <v>76</v>
      </c>
      <c r="CP86">
        <v>81</v>
      </c>
      <c r="CQ86">
        <v>85</v>
      </c>
      <c r="CR86">
        <f>FORECAST(CR85,CP86:CQ86,CP85:CQ85)</f>
        <v>93</v>
      </c>
    </row>
    <row r="87" spans="63:96">
      <c r="BK87" s="430" t="s">
        <v>13998</v>
      </c>
      <c r="BL87" s="430" t="s">
        <v>13999</v>
      </c>
      <c r="BM87" s="430">
        <v>51</v>
      </c>
      <c r="BN87" s="430">
        <v>79</v>
      </c>
      <c r="BO87" s="430">
        <v>111</v>
      </c>
      <c r="BP87" s="430">
        <v>124</v>
      </c>
      <c r="BQ87" s="430">
        <v>82</v>
      </c>
      <c r="BR87" s="430">
        <v>127</v>
      </c>
      <c r="BS87" s="430">
        <v>146</v>
      </c>
      <c r="BT87" s="430">
        <v>73</v>
      </c>
      <c r="BU87" s="430">
        <v>85</v>
      </c>
      <c r="BV87" s="430">
        <v>78</v>
      </c>
      <c r="BY87" t="s">
        <v>14374</v>
      </c>
      <c r="BZ87">
        <v>62</v>
      </c>
      <c r="CA87">
        <v>84</v>
      </c>
      <c r="CB87">
        <v>96</v>
      </c>
      <c r="CC87">
        <v>100</v>
      </c>
      <c r="CJ87" t="s">
        <v>14382</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1765</v>
      </c>
      <c r="BL88" s="430" t="s">
        <v>14000</v>
      </c>
      <c r="BM88" s="430"/>
      <c r="BN88" s="430"/>
      <c r="BO88" s="430"/>
      <c r="BP88" s="430"/>
      <c r="BQ88" s="430"/>
      <c r="BR88" s="430"/>
      <c r="BS88" s="430"/>
      <c r="BT88" s="430"/>
      <c r="BU88" s="430"/>
      <c r="BV88" s="430"/>
      <c r="BY88" t="s">
        <v>14375</v>
      </c>
      <c r="BZ88">
        <v>62</v>
      </c>
      <c r="CA88">
        <v>60</v>
      </c>
      <c r="CB88">
        <v>58</v>
      </c>
      <c r="CC88">
        <v>58</v>
      </c>
      <c r="CJ88" t="s">
        <v>14383</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14001</v>
      </c>
      <c r="BL90" s="430"/>
      <c r="BM90" s="430">
        <v>7</v>
      </c>
      <c r="BN90" s="430">
        <v>7.1</v>
      </c>
      <c r="BO90" s="430">
        <v>10.3</v>
      </c>
      <c r="BP90" s="430">
        <v>11.5</v>
      </c>
      <c r="BQ90" s="430">
        <v>7.3</v>
      </c>
      <c r="BR90" s="430">
        <v>11.1</v>
      </c>
      <c r="BS90" s="430">
        <v>13</v>
      </c>
      <c r="BT90" s="430">
        <v>6.9</v>
      </c>
      <c r="BU90" s="430">
        <v>9.4</v>
      </c>
      <c r="BV90" s="430">
        <v>9.9</v>
      </c>
      <c r="CJ90" t="s">
        <v>14387</v>
      </c>
      <c r="CL90">
        <v>1</v>
      </c>
    </row>
    <row r="91" spans="63:96">
      <c r="BK91" s="430" t="s">
        <v>14002</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14003</v>
      </c>
      <c r="BL93" s="430" t="s">
        <v>14004</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14005</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14001</v>
      </c>
      <c r="BL96" s="430"/>
      <c r="BM96" s="430">
        <v>57</v>
      </c>
      <c r="BN96" s="430">
        <v>63</v>
      </c>
      <c r="BO96" s="430">
        <v>74</v>
      </c>
      <c r="BP96" s="430">
        <v>77</v>
      </c>
      <c r="BQ96" s="430">
        <v>65</v>
      </c>
      <c r="BR96" s="430">
        <v>80</v>
      </c>
      <c r="BS96" s="430">
        <v>88</v>
      </c>
      <c r="BT96" s="430">
        <v>58</v>
      </c>
      <c r="BU96" s="430">
        <v>57</v>
      </c>
      <c r="BV96" s="430">
        <v>51</v>
      </c>
      <c r="CJ96" t="s">
        <v>1007</v>
      </c>
      <c r="CL96" t="s">
        <v>14402</v>
      </c>
      <c r="CO96" t="s">
        <v>1088</v>
      </c>
      <c r="CR96" t="s">
        <v>14002</v>
      </c>
    </row>
    <row r="97" spans="63:98">
      <c r="BK97" s="430" t="s">
        <v>14006</v>
      </c>
      <c r="BL97" s="430"/>
      <c r="BM97" s="430">
        <v>72</v>
      </c>
      <c r="BN97" s="430">
        <v>78</v>
      </c>
      <c r="BO97" s="430">
        <v>86</v>
      </c>
      <c r="BP97" s="430">
        <v>89</v>
      </c>
      <c r="BQ97" s="430">
        <v>79</v>
      </c>
      <c r="BR97" s="430">
        <v>92</v>
      </c>
      <c r="BS97" s="430">
        <v>98</v>
      </c>
      <c r="BT97" s="430">
        <v>73</v>
      </c>
      <c r="BU97" s="430">
        <v>72</v>
      </c>
      <c r="BV97" s="430">
        <v>67</v>
      </c>
      <c r="CL97">
        <v>2025</v>
      </c>
      <c r="CM97">
        <v>2040</v>
      </c>
      <c r="CN97" t="s">
        <v>14403</v>
      </c>
      <c r="CO97">
        <f>CL97</f>
        <v>2025</v>
      </c>
      <c r="CP97" s="1409">
        <f>CM97</f>
        <v>2040</v>
      </c>
      <c r="CQ97" s="1409" t="s">
        <v>14403</v>
      </c>
      <c r="CR97" s="1409">
        <f>CO97</f>
        <v>2025</v>
      </c>
      <c r="CS97" s="1409">
        <f>CP97</f>
        <v>2040</v>
      </c>
      <c r="CT97" s="1409" t="s">
        <v>14403</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14395</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14390</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14397</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14401</v>
      </c>
      <c r="CK120" s="1409"/>
      <c r="CL120" s="1409"/>
      <c r="CM120" s="1409"/>
      <c r="CN120" s="1409"/>
      <c r="CO120" s="1409"/>
      <c r="CP120" s="1409"/>
      <c r="CQ120" s="1409"/>
    </row>
    <row r="121" spans="88:96">
      <c r="CJ121" s="1409"/>
      <c r="CK121" s="1409" t="s">
        <v>14392</v>
      </c>
      <c r="CL121" s="1409" t="s">
        <v>14394</v>
      </c>
      <c r="CM121" s="1409" t="s">
        <v>14396</v>
      </c>
      <c r="CN121" s="1409" t="s">
        <v>14393</v>
      </c>
      <c r="CO121" s="1409" t="s">
        <v>14400</v>
      </c>
      <c r="CP121" s="1409" t="s">
        <v>14398</v>
      </c>
      <c r="CQ121" s="1409" t="s">
        <v>14399</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14391</v>
      </c>
    </row>
    <row r="127" spans="88:96">
      <c r="CK127" t="s">
        <v>14392</v>
      </c>
      <c r="CL127" t="s">
        <v>14394</v>
      </c>
      <c r="CM127" t="s">
        <v>14396</v>
      </c>
      <c r="CN127" t="s">
        <v>14393</v>
      </c>
      <c r="CO127" t="s">
        <v>14400</v>
      </c>
      <c r="CP127" t="s">
        <v>14398</v>
      </c>
      <c r="CQ127" t="s">
        <v>14399</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topLeftCell="A49" workbookViewId="0">
      <selection activeCell="C67" sqref="C67"/>
    </sheetView>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76</v>
      </c>
      <c r="G6" s="6">
        <f>+SUP!L14</f>
        <v>93</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14038</v>
      </c>
      <c r="L21" s="1434">
        <v>5</v>
      </c>
    </row>
    <row r="22" spans="2:27" s="430" customFormat="1">
      <c r="E22" s="573"/>
      <c r="F22" s="6"/>
      <c r="G22" s="6"/>
      <c r="H22" s="6"/>
      <c r="I22" s="6"/>
      <c r="M22" s="1789">
        <v>2010</v>
      </c>
      <c r="N22" s="1789"/>
      <c r="O22" s="1789"/>
      <c r="P22" s="1789"/>
      <c r="R22" s="1789">
        <v>2010</v>
      </c>
      <c r="S22" s="1789"/>
      <c r="T22" s="1789"/>
      <c r="U22" s="1789"/>
      <c r="X22" s="430" t="s">
        <v>1007</v>
      </c>
    </row>
    <row r="23" spans="2:27" s="430" customFormat="1">
      <c r="C23" s="6"/>
      <c r="D23" s="6"/>
      <c r="E23" s="6"/>
      <c r="F23" s="6"/>
      <c r="G23" s="6"/>
      <c r="H23" s="6"/>
      <c r="I23" s="6"/>
      <c r="J23" s="430">
        <v>1</v>
      </c>
      <c r="K23" s="430">
        <f>J23+1</f>
        <v>2</v>
      </c>
      <c r="M23" s="1787" t="s">
        <v>978</v>
      </c>
      <c r="N23" s="1788"/>
      <c r="O23" s="1787" t="s">
        <v>965</v>
      </c>
      <c r="P23" s="1788"/>
      <c r="R23" s="1787" t="s">
        <v>978</v>
      </c>
      <c r="S23" s="1788"/>
      <c r="T23" s="1787" t="s">
        <v>965</v>
      </c>
      <c r="U23" s="1788"/>
    </row>
    <row r="24" spans="2:27" s="430" customFormat="1" ht="15.75" thickBot="1">
      <c r="C24" s="6"/>
      <c r="D24" s="6"/>
      <c r="E24" s="6"/>
      <c r="F24" s="6"/>
      <c r="G24" s="6"/>
      <c r="H24" s="6"/>
      <c r="I24" s="6"/>
      <c r="K24" s="6">
        <v>2012</v>
      </c>
      <c r="L24" s="6"/>
      <c r="M24" s="1787" t="s">
        <v>345</v>
      </c>
      <c r="N24" s="1788"/>
      <c r="O24" s="1787" t="s">
        <v>345</v>
      </c>
      <c r="P24" s="1788"/>
      <c r="R24" s="1787" t="s">
        <v>979</v>
      </c>
      <c r="S24" s="1788"/>
      <c r="T24" s="1787" t="s">
        <v>979</v>
      </c>
      <c r="U24" s="1788"/>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7.6000000000000005</v>
      </c>
      <c r="AA27" s="615">
        <f>+G6*G8</f>
        <v>9.3000000000000007</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4.5599999999999996</v>
      </c>
      <c r="AA30" s="615">
        <f>G6*G9</f>
        <v>5.58</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6.08</v>
      </c>
      <c r="AA33" s="615">
        <f>G6*G10</f>
        <v>7.44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11.724</v>
      </c>
      <c r="AA36" s="615">
        <f>G6*G7+G11</f>
        <v>14.257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15.344000000000001</v>
      </c>
      <c r="AA39" s="615">
        <f>G6*G7+G12+$H$39</f>
        <v>17.876999999999999</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14008</v>
      </c>
      <c r="U93" t="s">
        <v>14009</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topLeftCell="O111" workbookViewId="0">
      <selection activeCell="V126" sqref="V126"/>
    </sheetView>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1723</v>
      </c>
      <c r="U1" s="1149" t="s">
        <v>1933</v>
      </c>
      <c r="V1" s="1133">
        <v>15.3</v>
      </c>
      <c r="W1" s="1164" t="s">
        <v>1937</v>
      </c>
      <c r="AC1" s="1792" t="s">
        <v>1906</v>
      </c>
      <c r="AD1" s="1792"/>
      <c r="AE1" s="1792"/>
    </row>
    <row r="2" spans="1:31" ht="15.75" customHeight="1">
      <c r="A2" s="1797" t="s">
        <v>1724</v>
      </c>
      <c r="B2" s="1799" t="s">
        <v>1725</v>
      </c>
      <c r="C2" s="1801" t="s">
        <v>1726</v>
      </c>
      <c r="D2" s="1802"/>
      <c r="E2" s="1803"/>
      <c r="F2" s="1806" t="s">
        <v>1727</v>
      </c>
      <c r="G2" s="1155"/>
      <c r="H2" s="1155"/>
      <c r="I2" s="1155"/>
      <c r="J2" s="1155"/>
      <c r="U2" s="1149" t="s">
        <v>1931</v>
      </c>
      <c r="V2" s="1133">
        <v>18.235131074122162</v>
      </c>
      <c r="W2" s="1164" t="s">
        <v>1932</v>
      </c>
      <c r="AC2" s="1141" t="s">
        <v>1907</v>
      </c>
      <c r="AD2" s="1142">
        <f>AD3*AD4/10^3</f>
        <v>5.4839199999999998E-2</v>
      </c>
      <c r="AE2" s="1048" t="s">
        <v>248</v>
      </c>
    </row>
    <row r="3" spans="1:31">
      <c r="A3" s="1798"/>
      <c r="B3" s="1800"/>
      <c r="C3" s="1804"/>
      <c r="D3" s="1805"/>
      <c r="E3" s="1805"/>
      <c r="F3" s="1807"/>
      <c r="G3" s="1155"/>
      <c r="H3" s="1155"/>
      <c r="I3" s="1155"/>
      <c r="J3" s="1155"/>
      <c r="N3" s="503"/>
      <c r="V3" s="430" t="s">
        <v>256</v>
      </c>
      <c r="W3" s="430" t="s">
        <v>256</v>
      </c>
      <c r="X3" s="430" t="s">
        <v>256</v>
      </c>
      <c r="Y3" s="430" t="s">
        <v>254</v>
      </c>
      <c r="Z3" s="430" t="s">
        <v>254</v>
      </c>
      <c r="AA3" s="430" t="s">
        <v>254</v>
      </c>
      <c r="AC3" s="1143" t="s">
        <v>1908</v>
      </c>
      <c r="AD3" s="1142">
        <v>52</v>
      </c>
      <c r="AE3" s="1048" t="s">
        <v>1909</v>
      </c>
    </row>
    <row r="4" spans="1:31">
      <c r="A4" s="1069"/>
      <c r="B4" s="1070"/>
      <c r="C4" s="1071" t="s">
        <v>1729</v>
      </c>
      <c r="D4" s="1072" t="s">
        <v>1730</v>
      </c>
      <c r="E4" s="1072" t="s">
        <v>1731</v>
      </c>
      <c r="F4" s="1157"/>
      <c r="G4" s="430" t="s">
        <v>1728</v>
      </c>
      <c r="H4" s="1181" t="s">
        <v>1979</v>
      </c>
      <c r="I4" s="1155"/>
      <c r="J4" s="1155"/>
      <c r="O4" s="430" t="s">
        <v>2181</v>
      </c>
      <c r="R4" s="834" t="s">
        <v>1944</v>
      </c>
      <c r="S4" s="430" t="s">
        <v>1945</v>
      </c>
      <c r="T4" s="430" t="s">
        <v>1946</v>
      </c>
      <c r="U4" s="430" t="s">
        <v>1947</v>
      </c>
      <c r="V4" s="1200">
        <v>7.0000000000000001E-3</v>
      </c>
      <c r="W4" s="1200">
        <v>0.02</v>
      </c>
      <c r="X4" s="1161">
        <v>0.05</v>
      </c>
      <c r="Y4" s="1160">
        <v>0.02</v>
      </c>
      <c r="Z4" s="1160">
        <v>0.04</v>
      </c>
      <c r="AA4" s="1160">
        <v>0.05</v>
      </c>
      <c r="AC4" s="1143" t="s">
        <v>1910</v>
      </c>
      <c r="AD4" s="1142">
        <v>1.0546</v>
      </c>
      <c r="AE4" s="1048" t="s">
        <v>248</v>
      </c>
    </row>
    <row r="5" spans="1:31">
      <c r="A5" s="1073" t="s">
        <v>1733</v>
      </c>
      <c r="B5" s="589" t="s">
        <v>1734</v>
      </c>
      <c r="C5" s="1074">
        <v>7</v>
      </c>
      <c r="D5" s="1075">
        <v>9</v>
      </c>
      <c r="E5" s="1075">
        <f>(C5+D5)/2</f>
        <v>8</v>
      </c>
      <c r="F5" s="1076"/>
      <c r="G5" s="430" t="s">
        <v>1732</v>
      </c>
      <c r="H5" s="1181" t="s">
        <v>1979</v>
      </c>
      <c r="I5" s="1156"/>
      <c r="J5" s="1156"/>
      <c r="O5" s="1291" t="s">
        <v>3</v>
      </c>
      <c r="Q5" s="1189" t="s">
        <v>266</v>
      </c>
      <c r="R5" s="1038" t="s">
        <v>1938</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1908</v>
      </c>
      <c r="AD5" s="1142">
        <v>5.7272999999999996</v>
      </c>
      <c r="AE5" s="1047" t="s">
        <v>1911</v>
      </c>
    </row>
    <row r="6" spans="1:31">
      <c r="A6" s="553" t="s">
        <v>1736</v>
      </c>
      <c r="B6" s="589" t="s">
        <v>1734</v>
      </c>
      <c r="C6" s="980">
        <v>4.8</v>
      </c>
      <c r="D6" s="546">
        <v>13.9</v>
      </c>
      <c r="E6" s="546">
        <f>(C6+D6)/2</f>
        <v>9.35</v>
      </c>
      <c r="F6" s="1077">
        <v>65.3</v>
      </c>
      <c r="G6" s="430" t="s">
        <v>1735</v>
      </c>
      <c r="H6" s="1181" t="s">
        <v>1979</v>
      </c>
      <c r="I6" s="1156"/>
      <c r="J6" s="1156"/>
      <c r="O6" s="1289">
        <f>Index!C5</f>
        <v>1</v>
      </c>
      <c r="Q6" s="1190" t="s">
        <v>266</v>
      </c>
      <c r="R6" s="886" t="s">
        <v>1948</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1912</v>
      </c>
      <c r="AD6" s="1142">
        <v>11</v>
      </c>
      <c r="AE6" s="1047" t="s">
        <v>248</v>
      </c>
    </row>
    <row r="7" spans="1:31">
      <c r="A7" s="553" t="s">
        <v>1738</v>
      </c>
      <c r="B7" s="589" t="s">
        <v>1734</v>
      </c>
      <c r="C7" s="980">
        <v>9.4</v>
      </c>
      <c r="D7" s="546">
        <v>9.4</v>
      </c>
      <c r="E7" s="546">
        <f>(C7+D7)/2</f>
        <v>9.4</v>
      </c>
      <c r="F7" s="1077"/>
      <c r="G7" s="430" t="s">
        <v>1737</v>
      </c>
      <c r="H7" s="1181" t="s">
        <v>1979</v>
      </c>
      <c r="I7" s="1156"/>
      <c r="J7" s="1156"/>
      <c r="N7" s="430" t="s">
        <v>1983</v>
      </c>
      <c r="O7" s="581">
        <f>IF($O$6=1,(1-V14),IF($O$6=2,(1-W14),1))</f>
        <v>0.999</v>
      </c>
      <c r="Q7" s="1190" t="s">
        <v>266</v>
      </c>
      <c r="R7" s="886" t="s">
        <v>1949</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1913</v>
      </c>
      <c r="AD7" s="1142">
        <v>37</v>
      </c>
      <c r="AE7" s="1047" t="s">
        <v>1914</v>
      </c>
    </row>
    <row r="8" spans="1:31">
      <c r="A8" s="553" t="s">
        <v>1740</v>
      </c>
      <c r="B8" s="589" t="s">
        <v>1734</v>
      </c>
      <c r="C8" s="980">
        <v>13</v>
      </c>
      <c r="D8" s="546">
        <v>15</v>
      </c>
      <c r="E8" s="546">
        <f>(C8+D8)/2</f>
        <v>14</v>
      </c>
      <c r="F8" s="1077">
        <v>71.7</v>
      </c>
      <c r="G8" s="430" t="s">
        <v>1739</v>
      </c>
      <c r="H8" s="1181" t="s">
        <v>1979</v>
      </c>
      <c r="I8" s="1156"/>
      <c r="J8" s="1156"/>
      <c r="N8" s="430" t="s">
        <v>2185</v>
      </c>
      <c r="O8" s="581">
        <f>IF($O$6=1,(0.96-V14),IF($O$6=2,(0.96-W14),0.96))</f>
        <v>0.95899999999999996</v>
      </c>
      <c r="Q8" s="1191" t="s">
        <v>266</v>
      </c>
      <c r="R8" s="600" t="s">
        <v>1950</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1915</v>
      </c>
      <c r="AD8" s="1144">
        <f>AD5/AD3/AD4</f>
        <v>0.10443806620081986</v>
      </c>
      <c r="AE8" s="1047" t="s">
        <v>1916</v>
      </c>
    </row>
    <row r="9" spans="1:31" ht="15" customHeight="1">
      <c r="A9" s="553" t="s">
        <v>1742</v>
      </c>
      <c r="B9" s="589" t="s">
        <v>1734</v>
      </c>
      <c r="C9" s="980">
        <v>41.7</v>
      </c>
      <c r="D9" s="546">
        <v>41.7</v>
      </c>
      <c r="E9" s="546">
        <f>(C9+D9)/2</f>
        <v>41.7</v>
      </c>
      <c r="F9" s="1077">
        <v>99.6</v>
      </c>
      <c r="G9" s="430" t="s">
        <v>1741</v>
      </c>
      <c r="H9" s="1181" t="s">
        <v>1979</v>
      </c>
      <c r="I9" s="1156"/>
      <c r="J9" s="1156"/>
      <c r="V9" s="1200">
        <v>2E-3</v>
      </c>
      <c r="W9" s="1200">
        <v>7.0000000000000001E-3</v>
      </c>
      <c r="X9" s="1161">
        <v>0.02</v>
      </c>
      <c r="Y9" s="1160">
        <v>5.0000000000000001E-3</v>
      </c>
      <c r="Z9" s="1160">
        <v>0.01</v>
      </c>
      <c r="AA9" s="1160">
        <v>0.02</v>
      </c>
      <c r="AC9" s="1143" t="s">
        <v>1917</v>
      </c>
      <c r="AD9" s="1142">
        <v>21</v>
      </c>
      <c r="AE9" s="1047" t="s">
        <v>1918</v>
      </c>
    </row>
    <row r="10" spans="1:31">
      <c r="A10" s="553" t="s">
        <v>1744</v>
      </c>
      <c r="B10" s="589" t="s">
        <v>1734</v>
      </c>
      <c r="C10" s="980"/>
      <c r="D10" s="546"/>
      <c r="E10" s="532"/>
      <c r="F10" s="1077">
        <v>72</v>
      </c>
      <c r="G10" s="430" t="s">
        <v>1743</v>
      </c>
      <c r="H10" s="1181" t="s">
        <v>1979</v>
      </c>
      <c r="I10" s="1156"/>
      <c r="J10" s="1156"/>
      <c r="Q10" s="1189" t="s">
        <v>1981</v>
      </c>
      <c r="R10" s="589" t="s">
        <v>1938</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1919</v>
      </c>
      <c r="AD10" s="1142"/>
      <c r="AE10" s="1048" t="s">
        <v>1920</v>
      </c>
    </row>
    <row r="11" spans="1:31">
      <c r="A11" s="553" t="s">
        <v>1746</v>
      </c>
      <c r="B11" s="589" t="s">
        <v>1734</v>
      </c>
      <c r="C11" s="980"/>
      <c r="D11" s="546"/>
      <c r="E11" s="532"/>
      <c r="F11" s="1077">
        <v>66</v>
      </c>
      <c r="G11" s="430" t="s">
        <v>1745</v>
      </c>
      <c r="H11" s="1181" t="s">
        <v>1979</v>
      </c>
      <c r="I11" s="1156"/>
      <c r="J11" s="1156"/>
      <c r="Q11" s="1190"/>
      <c r="R11" s="1188" t="s">
        <v>1948</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1921</v>
      </c>
      <c r="AD11" s="1146">
        <v>20</v>
      </c>
      <c r="AE11" s="1047" t="s">
        <v>1922</v>
      </c>
    </row>
    <row r="12" spans="1:31">
      <c r="A12" s="590" t="s">
        <v>1748</v>
      </c>
      <c r="B12" s="610" t="s">
        <v>1734</v>
      </c>
      <c r="C12" s="984"/>
      <c r="D12" s="985"/>
      <c r="E12" s="387"/>
      <c r="F12" s="1078">
        <v>61</v>
      </c>
      <c r="G12" s="430" t="s">
        <v>1747</v>
      </c>
      <c r="H12" s="1181" t="s">
        <v>1979</v>
      </c>
      <c r="I12" s="546"/>
      <c r="J12" s="546"/>
      <c r="Q12" s="1190"/>
      <c r="R12" s="1188" t="s">
        <v>1949</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1923</v>
      </c>
      <c r="AD12" s="1147">
        <f>AD11*1055*10^-3</f>
        <v>21.1</v>
      </c>
      <c r="AE12" s="1047" t="s">
        <v>248</v>
      </c>
    </row>
    <row r="13" spans="1:31">
      <c r="A13" s="532"/>
      <c r="B13" s="532"/>
      <c r="C13" s="546"/>
      <c r="D13" s="546"/>
      <c r="E13" s="532"/>
      <c r="F13" s="546"/>
      <c r="H13" s="1181"/>
      <c r="I13" s="546"/>
      <c r="J13" s="546"/>
      <c r="P13" s="532"/>
      <c r="Q13" s="1191"/>
      <c r="R13" s="596" t="s">
        <v>1950</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1924</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1913</v>
      </c>
      <c r="AD14" s="1147">
        <v>0.66200000000000003</v>
      </c>
      <c r="AE14" s="1047" t="s">
        <v>1925</v>
      </c>
    </row>
    <row r="15" spans="1:31">
      <c r="A15" s="532"/>
      <c r="B15" s="532"/>
      <c r="C15" s="546"/>
      <c r="D15" s="546"/>
      <c r="E15" s="532"/>
      <c r="F15" s="546"/>
      <c r="H15" s="1181"/>
      <c r="I15" s="546"/>
      <c r="J15" s="546"/>
      <c r="P15" s="532"/>
      <c r="Q15" s="1201" t="s">
        <v>1984</v>
      </c>
      <c r="R15" s="532"/>
      <c r="S15" s="532"/>
      <c r="V15" s="430">
        <f>R42</f>
        <v>6.9986433062480854E-2</v>
      </c>
      <c r="W15" s="430">
        <f>R43</f>
        <v>9.9454404878262279E-2</v>
      </c>
      <c r="X15" s="430">
        <f>W15</f>
        <v>9.9454404878262279E-2</v>
      </c>
      <c r="AC15" s="1145" t="s">
        <v>1926</v>
      </c>
      <c r="AD15" s="1147">
        <v>31.536000000000001</v>
      </c>
      <c r="AE15" s="1047" t="s">
        <v>1927</v>
      </c>
    </row>
    <row r="16" spans="1:31">
      <c r="A16" s="532"/>
      <c r="B16" s="532"/>
      <c r="C16" s="546"/>
      <c r="D16" s="546"/>
      <c r="E16" s="532"/>
      <c r="F16" s="546"/>
      <c r="H16" s="1181"/>
      <c r="I16" s="546"/>
      <c r="J16" s="546"/>
      <c r="P16" s="532"/>
      <c r="Q16" s="532" t="s">
        <v>1983</v>
      </c>
      <c r="R16" s="532"/>
      <c r="S16" s="532"/>
      <c r="V16" s="430">
        <f>V15</f>
        <v>6.9986433062480854E-2</v>
      </c>
      <c r="W16" s="430">
        <f>W15</f>
        <v>9.9454404878262279E-2</v>
      </c>
      <c r="X16" s="430">
        <f>W16</f>
        <v>9.9454404878262279E-2</v>
      </c>
      <c r="AC16" s="1145" t="s">
        <v>1928</v>
      </c>
      <c r="AD16" s="1147">
        <f>AD6/'[9]MSW Source'!E62</f>
        <v>66.094195755779722</v>
      </c>
      <c r="AE16" s="1047" t="s">
        <v>1929</v>
      </c>
    </row>
    <row r="17" spans="1:31">
      <c r="A17" s="532"/>
      <c r="B17" s="532"/>
      <c r="C17" s="546"/>
      <c r="D17" s="546"/>
      <c r="E17" s="532"/>
      <c r="F17" s="546"/>
      <c r="H17" s="1181"/>
      <c r="I17" s="546"/>
      <c r="J17" s="546"/>
      <c r="Q17" s="532"/>
      <c r="R17" s="532"/>
      <c r="S17" s="532"/>
      <c r="AC17" s="1145" t="s">
        <v>1930</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793" t="s">
        <v>251</v>
      </c>
      <c r="AD20" s="1793"/>
      <c r="AE20" s="1793"/>
    </row>
    <row r="21" spans="1:31">
      <c r="A21" s="532"/>
      <c r="B21" s="532"/>
      <c r="C21" s="546"/>
      <c r="D21" s="546"/>
      <c r="E21" s="532"/>
      <c r="F21" s="546"/>
      <c r="H21" s="1181"/>
      <c r="I21" s="546"/>
      <c r="J21" s="546"/>
      <c r="AC21" s="1149" t="s">
        <v>1931</v>
      </c>
      <c r="AD21" s="1133">
        <f>1/AD2</f>
        <v>18.235131074122162</v>
      </c>
      <c r="AE21" s="1148" t="s">
        <v>1932</v>
      </c>
    </row>
    <row r="22" spans="1:31">
      <c r="A22" s="532"/>
      <c r="B22" s="532"/>
      <c r="C22" s="546"/>
      <c r="D22" s="546"/>
      <c r="E22" s="532"/>
      <c r="F22" s="546"/>
      <c r="H22" s="1181"/>
      <c r="I22" s="546"/>
      <c r="J22" s="546"/>
      <c r="AC22" s="1149" t="s">
        <v>1933</v>
      </c>
      <c r="AD22" s="1148">
        <f>15.3*0.001*1000</f>
        <v>15.3</v>
      </c>
      <c r="AE22" s="1148" t="s">
        <v>1937</v>
      </c>
    </row>
    <row r="23" spans="1:31">
      <c r="A23" s="532"/>
      <c r="B23" s="532"/>
      <c r="C23" s="546"/>
      <c r="D23" s="546"/>
      <c r="E23" s="532"/>
      <c r="F23" s="546"/>
      <c r="H23" s="1181"/>
      <c r="I23" s="546"/>
      <c r="J23" s="546"/>
      <c r="AC23" s="1149" t="s">
        <v>1935</v>
      </c>
      <c r="AD23" s="1150">
        <f>20*0.001</f>
        <v>0.02</v>
      </c>
      <c r="AE23" s="1148" t="s">
        <v>1934</v>
      </c>
    </row>
    <row r="24" spans="1:31">
      <c r="A24" s="532"/>
      <c r="B24" s="532"/>
      <c r="C24" s="546"/>
      <c r="D24" s="546"/>
      <c r="E24" s="532"/>
      <c r="F24" s="546"/>
      <c r="H24" s="1181"/>
      <c r="I24" s="546"/>
      <c r="J24" s="546"/>
      <c r="AC24" s="1149" t="s">
        <v>1936</v>
      </c>
      <c r="AD24" s="1151">
        <f>12/16</f>
        <v>0.75</v>
      </c>
      <c r="AE24" s="1152" t="s">
        <v>1937</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790"/>
      <c r="I26" s="1790"/>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794" t="s">
        <v>1898</v>
      </c>
      <c r="M27" s="1814" t="s">
        <v>1402</v>
      </c>
      <c r="N27" s="1129" t="s">
        <v>1899</v>
      </c>
      <c r="O27" s="1135" t="s">
        <v>1900</v>
      </c>
      <c r="P27" s="1127" t="s">
        <v>1899</v>
      </c>
      <c r="Q27" s="1140" t="s">
        <v>1900</v>
      </c>
      <c r="R27" s="1794" t="s">
        <v>1938</v>
      </c>
      <c r="S27" s="1794" t="s">
        <v>1948</v>
      </c>
      <c r="T27" s="1794" t="s">
        <v>1982</v>
      </c>
      <c r="U27" s="1794" t="s">
        <v>1938</v>
      </c>
      <c r="V27" s="1794" t="s">
        <v>1948</v>
      </c>
      <c r="W27" s="1794" t="s">
        <v>1982</v>
      </c>
      <c r="X27" s="1153"/>
      <c r="Y27" s="1153"/>
      <c r="Z27" s="1153"/>
      <c r="AA27" s="1153"/>
    </row>
    <row r="28" spans="1:31">
      <c r="A28" s="430" t="s">
        <v>1749</v>
      </c>
      <c r="C28" s="430" t="s">
        <v>1901</v>
      </c>
      <c r="D28" s="430" t="s">
        <v>1901</v>
      </c>
      <c r="E28" s="430" t="s">
        <v>1901</v>
      </c>
      <c r="F28" s="6" t="s">
        <v>1902</v>
      </c>
      <c r="G28" s="6" t="s">
        <v>1939</v>
      </c>
      <c r="H28" s="1791" t="s">
        <v>1941</v>
      </c>
      <c r="I28" s="1791"/>
      <c r="J28" s="6" t="s">
        <v>1902</v>
      </c>
      <c r="K28" s="430" t="s">
        <v>1939</v>
      </c>
      <c r="L28" s="1795"/>
      <c r="M28" s="1815"/>
      <c r="N28" s="877"/>
      <c r="O28" s="1136"/>
      <c r="P28" s="1136"/>
      <c r="Q28" s="1131"/>
      <c r="R28" s="1795"/>
      <c r="S28" s="1795"/>
      <c r="T28" s="1795"/>
      <c r="U28" s="1795"/>
      <c r="V28" s="1795"/>
      <c r="W28" s="1795"/>
      <c r="X28" s="532"/>
      <c r="Y28" s="532"/>
      <c r="Z28" s="532"/>
      <c r="AA28" s="532"/>
    </row>
    <row r="29" spans="1:31" ht="15.75" thickBot="1">
      <c r="A29" s="392" t="s">
        <v>1903</v>
      </c>
      <c r="F29" s="6" t="s">
        <v>1904</v>
      </c>
      <c r="G29" s="6" t="s">
        <v>1940</v>
      </c>
      <c r="H29" s="612"/>
      <c r="I29" s="612"/>
      <c r="J29" s="6" t="s">
        <v>1904</v>
      </c>
      <c r="K29" s="430" t="s">
        <v>1904</v>
      </c>
      <c r="L29" s="1796"/>
      <c r="M29" s="1816"/>
      <c r="N29" s="1130" t="s">
        <v>1100</v>
      </c>
      <c r="O29" s="1137" t="s">
        <v>1100</v>
      </c>
      <c r="P29" s="548" t="s">
        <v>1100</v>
      </c>
      <c r="Q29" s="687" t="s">
        <v>1100</v>
      </c>
      <c r="R29" s="1796"/>
      <c r="S29" s="1796"/>
      <c r="T29" s="1796"/>
      <c r="U29" s="1796"/>
      <c r="V29" s="1796"/>
      <c r="W29" s="1796"/>
      <c r="Y29" s="532"/>
      <c r="Z29" s="532"/>
      <c r="AA29" s="532"/>
    </row>
    <row r="30" spans="1:31" ht="15.75" thickBot="1">
      <c r="A30" s="1079" t="s">
        <v>1750</v>
      </c>
      <c r="B30" s="1080" t="s">
        <v>617</v>
      </c>
      <c r="C30" s="1081" t="s">
        <v>1729</v>
      </c>
      <c r="D30" s="1082" t="s">
        <v>1730</v>
      </c>
      <c r="E30" s="610" t="s">
        <v>1731</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1751</v>
      </c>
      <c r="B31" s="1083" t="s">
        <v>1733</v>
      </c>
      <c r="C31" s="1083">
        <v>0.9</v>
      </c>
      <c r="D31" s="1038">
        <v>2.9</v>
      </c>
      <c r="E31" s="610">
        <f>AVERAGE(C31:D31)</f>
        <v>1.9</v>
      </c>
      <c r="F31" s="430">
        <f>D31*$F$30/25</f>
        <v>0.10439999999999999</v>
      </c>
      <c r="G31" s="430">
        <f>D31*$G$30</f>
        <v>0.28999999999999998</v>
      </c>
      <c r="H31" s="650">
        <f>F31*25+G31</f>
        <v>2.9</v>
      </c>
      <c r="I31" s="650"/>
      <c r="L31" s="1817"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1980</v>
      </c>
    </row>
    <row r="32" spans="1:31" ht="15" customHeight="1">
      <c r="A32" s="553"/>
      <c r="B32" s="532" t="s">
        <v>1752</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18"/>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1738</v>
      </c>
      <c r="C33" s="532"/>
      <c r="D33" s="886">
        <v>7.8</v>
      </c>
      <c r="E33" s="610">
        <f t="shared" si="2"/>
        <v>7.8</v>
      </c>
      <c r="F33" s="430">
        <f>D33*90%/25</f>
        <v>0.28079999999999999</v>
      </c>
      <c r="G33" s="430">
        <f t="shared" si="4"/>
        <v>0.78</v>
      </c>
      <c r="H33" s="650">
        <f t="shared" ref="H33:H44" si="12">F33*25+G33</f>
        <v>7.8</v>
      </c>
      <c r="I33" s="650"/>
      <c r="L33" s="1818"/>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1777</v>
      </c>
      <c r="B34" s="1084" t="s">
        <v>1742</v>
      </c>
      <c r="C34" s="1085"/>
      <c r="D34" s="1086">
        <v>23.4</v>
      </c>
      <c r="E34" s="1087">
        <f t="shared" si="2"/>
        <v>23.4</v>
      </c>
      <c r="F34" s="430">
        <f t="shared" si="3"/>
        <v>0.84239999999999993</v>
      </c>
      <c r="G34" s="430">
        <f t="shared" si="4"/>
        <v>2.34</v>
      </c>
      <c r="H34" s="650">
        <f t="shared" si="12"/>
        <v>23.4</v>
      </c>
      <c r="I34" s="650"/>
      <c r="K34" s="650"/>
      <c r="L34" s="1818"/>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1753</v>
      </c>
      <c r="C35" s="392"/>
      <c r="D35" s="886">
        <v>17.899999999999999</v>
      </c>
      <c r="E35" s="610">
        <f t="shared" si="2"/>
        <v>17.899999999999999</v>
      </c>
      <c r="F35" s="430">
        <f t="shared" si="3"/>
        <v>0.64439999999999997</v>
      </c>
      <c r="G35" s="430">
        <f t="shared" si="4"/>
        <v>1.79</v>
      </c>
      <c r="H35" s="650">
        <f t="shared" si="12"/>
        <v>17.899999999999999</v>
      </c>
      <c r="I35" s="650"/>
      <c r="L35" s="1818"/>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1754</v>
      </c>
      <c r="C36" s="387">
        <v>3</v>
      </c>
      <c r="D36" s="600">
        <v>16.899999999999999</v>
      </c>
      <c r="E36" s="610">
        <f t="shared" si="2"/>
        <v>9.9499999999999993</v>
      </c>
      <c r="F36" s="430">
        <f>D36*90%/25</f>
        <v>0.60839999999999994</v>
      </c>
      <c r="G36" s="430">
        <f t="shared" si="4"/>
        <v>1.69</v>
      </c>
      <c r="H36" s="650">
        <f t="shared" si="12"/>
        <v>16.899999999999999</v>
      </c>
      <c r="I36" s="650"/>
      <c r="L36" s="1819"/>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1755</v>
      </c>
      <c r="B37" s="1083" t="s">
        <v>1733</v>
      </c>
      <c r="C37" s="1083"/>
      <c r="D37" s="1088">
        <v>4.2</v>
      </c>
      <c r="E37" s="610">
        <f t="shared" si="2"/>
        <v>4.2</v>
      </c>
      <c r="F37" s="430">
        <f t="shared" si="3"/>
        <v>0.1512</v>
      </c>
      <c r="G37" s="430">
        <f t="shared" si="4"/>
        <v>0.42000000000000004</v>
      </c>
      <c r="H37" s="650">
        <f t="shared" si="12"/>
        <v>4.2</v>
      </c>
      <c r="I37" s="650"/>
      <c r="L37" s="1817" t="s">
        <v>1981</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1738</v>
      </c>
      <c r="C38" s="532"/>
      <c r="D38" s="889">
        <v>3.5</v>
      </c>
      <c r="E38" s="610">
        <f t="shared" si="2"/>
        <v>3.5</v>
      </c>
      <c r="F38" s="430">
        <f t="shared" si="3"/>
        <v>0.126</v>
      </c>
      <c r="G38" s="430">
        <f t="shared" si="4"/>
        <v>0.35000000000000003</v>
      </c>
      <c r="H38" s="650">
        <f t="shared" si="12"/>
        <v>3.5</v>
      </c>
      <c r="I38" s="650"/>
      <c r="L38" s="1818"/>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1742</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18"/>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1753</v>
      </c>
      <c r="C40" s="387"/>
      <c r="D40" s="1091">
        <v>8.9</v>
      </c>
      <c r="E40" s="610">
        <f t="shared" si="2"/>
        <v>8.9</v>
      </c>
      <c r="F40" s="430">
        <f t="shared" si="3"/>
        <v>0.32040000000000002</v>
      </c>
      <c r="G40" s="430">
        <f t="shared" si="4"/>
        <v>0.89000000000000012</v>
      </c>
      <c r="H40" s="650">
        <f t="shared" si="12"/>
        <v>8.9</v>
      </c>
      <c r="I40" s="650"/>
      <c r="L40" s="1819"/>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1756</v>
      </c>
      <c r="B41" s="1092" t="s">
        <v>1757</v>
      </c>
      <c r="C41" s="1092"/>
      <c r="D41" s="1093"/>
      <c r="E41" s="610"/>
      <c r="F41" s="430">
        <f t="shared" si="3"/>
        <v>0</v>
      </c>
      <c r="G41" s="430">
        <f t="shared" si="4"/>
        <v>0</v>
      </c>
      <c r="H41" s="650">
        <f t="shared" si="12"/>
        <v>0</v>
      </c>
      <c r="I41" s="650"/>
      <c r="L41" s="1817"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1758</v>
      </c>
      <c r="B42" s="392" t="s">
        <v>1733</v>
      </c>
      <c r="C42" s="392"/>
      <c r="D42" s="889">
        <v>1.9</v>
      </c>
      <c r="E42" s="610">
        <f t="shared" si="2"/>
        <v>1.9</v>
      </c>
      <c r="F42" s="430">
        <f t="shared" si="3"/>
        <v>6.8400000000000002E-2</v>
      </c>
      <c r="G42" s="430">
        <f t="shared" si="4"/>
        <v>0.19</v>
      </c>
      <c r="H42" s="650">
        <f t="shared" si="12"/>
        <v>1.9</v>
      </c>
      <c r="I42" s="650"/>
      <c r="L42" s="1818"/>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1738</v>
      </c>
      <c r="C43" s="392"/>
      <c r="D43" s="889">
        <v>2.7</v>
      </c>
      <c r="E43" s="610">
        <f t="shared" si="2"/>
        <v>2.7</v>
      </c>
      <c r="F43" s="430">
        <f t="shared" si="3"/>
        <v>9.7200000000000009E-2</v>
      </c>
      <c r="G43" s="430">
        <f t="shared" si="4"/>
        <v>0.27</v>
      </c>
      <c r="H43" s="650">
        <f t="shared" si="12"/>
        <v>2.7</v>
      </c>
      <c r="I43" s="650"/>
      <c r="L43" s="1819"/>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1777</v>
      </c>
      <c r="B44" s="1105" t="s">
        <v>1742</v>
      </c>
      <c r="C44" s="1105"/>
      <c r="D44" s="1106">
        <v>16.2</v>
      </c>
      <c r="E44" s="1087">
        <f t="shared" si="2"/>
        <v>16.2</v>
      </c>
      <c r="F44" s="430">
        <f t="shared" si="3"/>
        <v>0.58320000000000005</v>
      </c>
      <c r="G44" s="430">
        <f t="shared" si="4"/>
        <v>1.62</v>
      </c>
      <c r="H44" s="650">
        <f t="shared" si="12"/>
        <v>16.200000000000003</v>
      </c>
      <c r="I44" s="650"/>
      <c r="K44" s="650"/>
    </row>
    <row r="45" spans="1:23">
      <c r="A45" s="430" t="s">
        <v>1905</v>
      </c>
      <c r="O45" s="650"/>
      <c r="P45" s="650"/>
      <c r="R45" s="650"/>
    </row>
    <row r="47" spans="1:23">
      <c r="A47" s="430" t="s">
        <v>1759</v>
      </c>
    </row>
    <row r="48" spans="1:23">
      <c r="A48" s="430" t="s">
        <v>1760</v>
      </c>
      <c r="F48" s="430" t="s">
        <v>1761</v>
      </c>
      <c r="G48" s="430" t="s">
        <v>1762</v>
      </c>
      <c r="H48" s="430" t="s">
        <v>1763</v>
      </c>
    </row>
    <row r="49" spans="1:8">
      <c r="A49" s="430" t="s">
        <v>255</v>
      </c>
      <c r="B49" s="430" t="s">
        <v>1764</v>
      </c>
      <c r="C49" s="382">
        <v>0.8</v>
      </c>
      <c r="F49" s="430" t="s">
        <v>1765</v>
      </c>
      <c r="G49" s="430">
        <v>56</v>
      </c>
      <c r="H49" s="430">
        <f t="shared" ref="H49:H54" si="16">G49*10^9/10^9</f>
        <v>56</v>
      </c>
    </row>
    <row r="50" spans="1:8">
      <c r="A50" s="430" t="s">
        <v>253</v>
      </c>
      <c r="B50" s="430" t="s">
        <v>254</v>
      </c>
      <c r="F50" s="430" t="s">
        <v>1766</v>
      </c>
      <c r="G50" s="430">
        <v>77</v>
      </c>
      <c r="H50" s="430">
        <f t="shared" si="16"/>
        <v>77</v>
      </c>
    </row>
    <row r="51" spans="1:8">
      <c r="A51" s="430" t="s">
        <v>102</v>
      </c>
      <c r="B51" s="430" t="s">
        <v>1767</v>
      </c>
      <c r="F51" s="430" t="s">
        <v>394</v>
      </c>
      <c r="G51" s="430">
        <v>69</v>
      </c>
      <c r="H51" s="430">
        <f t="shared" si="16"/>
        <v>69</v>
      </c>
    </row>
    <row r="52" spans="1:8">
      <c r="A52" s="430" t="s">
        <v>1768</v>
      </c>
      <c r="B52" s="430" t="s">
        <v>1769</v>
      </c>
      <c r="F52" s="430" t="s">
        <v>32</v>
      </c>
      <c r="G52" s="430">
        <v>74</v>
      </c>
      <c r="H52" s="430">
        <f t="shared" si="16"/>
        <v>74</v>
      </c>
    </row>
    <row r="53" spans="1:8">
      <c r="A53" s="430" t="s">
        <v>1770</v>
      </c>
      <c r="B53" s="430" t="s">
        <v>1771</v>
      </c>
      <c r="F53" s="430" t="s">
        <v>34</v>
      </c>
      <c r="G53" s="430">
        <v>63</v>
      </c>
      <c r="H53" s="430">
        <f t="shared" si="16"/>
        <v>63</v>
      </c>
    </row>
    <row r="54" spans="1:8">
      <c r="A54" s="430" t="s">
        <v>115</v>
      </c>
      <c r="B54" s="430" t="s">
        <v>1772</v>
      </c>
      <c r="F54" s="430" t="s">
        <v>2</v>
      </c>
      <c r="G54" s="430">
        <v>96</v>
      </c>
      <c r="H54" s="430">
        <f t="shared" si="16"/>
        <v>96</v>
      </c>
    </row>
    <row r="55" spans="1:8">
      <c r="A55" s="430" t="s">
        <v>1773</v>
      </c>
      <c r="B55" s="430" t="s">
        <v>1774</v>
      </c>
    </row>
    <row r="58" spans="1:8">
      <c r="A58" s="430" t="s">
        <v>1775</v>
      </c>
    </row>
    <row r="61" spans="1:8">
      <c r="A61" s="1122" t="s">
        <v>1836</v>
      </c>
    </row>
    <row r="62" spans="1:8">
      <c r="A62" s="1123" t="s">
        <v>1837</v>
      </c>
      <c r="D62" s="430" t="str">
        <f>AC7</f>
        <v>1 m3 CH4 =</v>
      </c>
      <c r="E62" s="458">
        <f>AD14</f>
        <v>0.66200000000000003</v>
      </c>
      <c r="F62" s="458" t="str">
        <f>AE14</f>
        <v>kg CH4</v>
      </c>
    </row>
    <row r="63" spans="1:8">
      <c r="A63" s="1121" t="s">
        <v>1838</v>
      </c>
      <c r="B63" s="433">
        <v>1333</v>
      </c>
      <c r="C63" s="430" t="s">
        <v>1839</v>
      </c>
      <c r="D63" s="430" t="s">
        <v>2018</v>
      </c>
      <c r="E63" s="430">
        <f>0.77*0.662</f>
        <v>0.50974000000000008</v>
      </c>
      <c r="F63" s="458" t="s">
        <v>2031</v>
      </c>
    </row>
    <row r="64" spans="1:8">
      <c r="A64" s="430">
        <f>B64/$B$63</f>
        <v>5.7764441110277572E-4</v>
      </c>
      <c r="B64" s="430">
        <v>0.77</v>
      </c>
      <c r="C64" s="430" t="s">
        <v>1839</v>
      </c>
      <c r="D64" s="430" t="str">
        <f>D62</f>
        <v>1 m3 CH4 =</v>
      </c>
      <c r="E64" s="458">
        <f>AD7</f>
        <v>37</v>
      </c>
      <c r="F64" s="430" t="s">
        <v>1914</v>
      </c>
      <c r="G64" s="430">
        <f>1/37</f>
        <v>2.7027027027027029E-2</v>
      </c>
    </row>
    <row r="65" spans="1:7">
      <c r="A65" s="430">
        <f>B65/$B$63</f>
        <v>1.350337584396099E-4</v>
      </c>
      <c r="B65" s="430">
        <v>0.18</v>
      </c>
      <c r="C65" s="430" t="s">
        <v>1839</v>
      </c>
      <c r="D65" s="430" t="str">
        <f>D63</f>
        <v xml:space="preserve">0.77 m3 CH4 = </v>
      </c>
      <c r="E65" s="430">
        <f>E63/(1000*1000)</f>
        <v>5.0974000000000012E-7</v>
      </c>
      <c r="F65" s="430" t="s">
        <v>2032</v>
      </c>
    </row>
    <row r="66" spans="1:7">
      <c r="D66" s="430" t="str">
        <f>D64</f>
        <v>1 m3 CH4 =</v>
      </c>
      <c r="E66" s="430">
        <f>E65/(0.0243/1000)</f>
        <v>2.0976954732510295E-2</v>
      </c>
      <c r="G66" s="430">
        <f>E65/(0.0243/1000)</f>
        <v>2.0976954732510295E-2</v>
      </c>
    </row>
    <row r="67" spans="1:7">
      <c r="A67" s="430" t="s">
        <v>1840</v>
      </c>
    </row>
    <row r="68" spans="1:7">
      <c r="A68" s="430">
        <f>A64*1000/(0.0243*1000)</f>
        <v>2.3771374942501061E-2</v>
      </c>
      <c r="B68" s="430" t="s">
        <v>1100</v>
      </c>
      <c r="F68" s="430">
        <v>24.3</v>
      </c>
      <c r="G68" s="430" t="s">
        <v>1145</v>
      </c>
    </row>
    <row r="73" spans="1:7">
      <c r="A73" s="388" t="s">
        <v>1841</v>
      </c>
    </row>
    <row r="74" spans="1:7">
      <c r="A74" s="610" t="s">
        <v>1712</v>
      </c>
      <c r="B74" s="610" t="s">
        <v>1842</v>
      </c>
      <c r="C74" s="610" t="s">
        <v>1843</v>
      </c>
      <c r="D74" s="1808" t="s">
        <v>1844</v>
      </c>
      <c r="E74" s="1808"/>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1951</v>
      </c>
    </row>
    <row r="94" spans="1:6">
      <c r="A94" s="1166" t="s">
        <v>1952</v>
      </c>
      <c r="C94" s="761"/>
    </row>
    <row r="95" spans="1:6">
      <c r="A95" s="761"/>
    </row>
    <row r="96" spans="1:6" ht="15.75" thickBot="1">
      <c r="A96" s="1167" t="s">
        <v>1953</v>
      </c>
      <c r="F96" s="430" t="s">
        <v>1954</v>
      </c>
    </row>
    <row r="97" spans="1:18" ht="36" thickBot="1">
      <c r="A97" s="1168" t="s">
        <v>1955</v>
      </c>
      <c r="B97" s="1169" t="s">
        <v>1956</v>
      </c>
      <c r="C97" s="1169" t="s">
        <v>1957</v>
      </c>
      <c r="D97" s="1169" t="s">
        <v>1965</v>
      </c>
      <c r="E97" s="1169" t="s">
        <v>1966</v>
      </c>
    </row>
    <row r="98" spans="1:18" ht="15.75" thickBot="1">
      <c r="A98" s="1809" t="s">
        <v>1958</v>
      </c>
      <c r="B98" s="1170" t="s">
        <v>42</v>
      </c>
      <c r="C98" s="1811" t="s">
        <v>1967</v>
      </c>
      <c r="D98" s="1170">
        <v>0.77</v>
      </c>
      <c r="E98" s="1170">
        <v>18</v>
      </c>
    </row>
    <row r="99" spans="1:18" ht="23.25" thickBot="1">
      <c r="A99" s="1810"/>
      <c r="B99" s="1170" t="s">
        <v>1959</v>
      </c>
      <c r="C99" s="1812"/>
      <c r="D99" s="1170">
        <v>0.18</v>
      </c>
      <c r="E99" s="1170">
        <v>2.5</v>
      </c>
      <c r="K99" s="430">
        <f>0.77/0.0243</f>
        <v>31.68724279835391</v>
      </c>
    </row>
    <row r="100" spans="1:18" ht="15.75" thickBot="1">
      <c r="A100" s="1809" t="s">
        <v>1960</v>
      </c>
      <c r="B100" s="1170" t="s">
        <v>1961</v>
      </c>
      <c r="C100" s="1812"/>
      <c r="D100" s="1170">
        <v>0</v>
      </c>
      <c r="E100" s="1170">
        <v>1.2</v>
      </c>
    </row>
    <row r="101" spans="1:18" ht="15.75" thickBot="1">
      <c r="A101" s="1810"/>
      <c r="B101" s="1170" t="s">
        <v>1962</v>
      </c>
      <c r="C101" s="1813"/>
      <c r="D101" s="1170">
        <v>0</v>
      </c>
      <c r="E101" s="1170">
        <v>0.1</v>
      </c>
    </row>
    <row r="102" spans="1:18" ht="15.75" thickBot="1">
      <c r="A102" s="1809" t="s">
        <v>1958</v>
      </c>
      <c r="B102" s="1170" t="s">
        <v>1961</v>
      </c>
      <c r="C102" s="1811" t="s">
        <v>1968</v>
      </c>
      <c r="D102" s="1170">
        <v>7.6999999999999999E-2</v>
      </c>
      <c r="E102" s="1170" t="s">
        <v>1963</v>
      </c>
    </row>
    <row r="103" spans="1:18" ht="15.75" thickBot="1">
      <c r="A103" s="1810"/>
      <c r="B103" s="1170" t="s">
        <v>1962</v>
      </c>
      <c r="C103" s="1812"/>
      <c r="D103" s="1170">
        <v>1.7999999999999999E-2</v>
      </c>
      <c r="E103" s="1170" t="s">
        <v>1963</v>
      </c>
    </row>
    <row r="104" spans="1:18" ht="15.75" thickBot="1">
      <c r="A104" s="1809" t="s">
        <v>1960</v>
      </c>
      <c r="B104" s="1170" t="s">
        <v>1961</v>
      </c>
      <c r="C104" s="1812"/>
      <c r="D104" s="1170">
        <v>0</v>
      </c>
      <c r="E104" s="1170" t="s">
        <v>1963</v>
      </c>
    </row>
    <row r="105" spans="1:18" ht="15.75" thickBot="1">
      <c r="A105" s="1810"/>
      <c r="B105" s="1170" t="s">
        <v>1962</v>
      </c>
      <c r="C105" s="1813"/>
      <c r="D105" s="1170">
        <v>0</v>
      </c>
      <c r="E105" s="1170" t="s">
        <v>1963</v>
      </c>
    </row>
    <row r="107" spans="1:18">
      <c r="A107" s="1166" t="s">
        <v>1952</v>
      </c>
    </row>
    <row r="108" spans="1:18">
      <c r="A108" s="761" t="s">
        <v>1964</v>
      </c>
    </row>
    <row r="111" spans="1:18">
      <c r="A111" s="761" t="s">
        <v>1951</v>
      </c>
      <c r="R111" s="761" t="s">
        <v>14357</v>
      </c>
    </row>
    <row r="112" spans="1:18" ht="15.75" thickBot="1">
      <c r="A112" s="430" t="s">
        <v>1969</v>
      </c>
      <c r="H112" s="430" t="s">
        <v>2024</v>
      </c>
      <c r="N112" s="430">
        <f>0.0243/1000</f>
        <v>2.4299999999999998E-5</v>
      </c>
    </row>
    <row r="113" spans="1:22">
      <c r="A113" s="1171" t="s">
        <v>1970</v>
      </c>
      <c r="B113" s="1172" t="s">
        <v>1971</v>
      </c>
      <c r="C113" s="1172" t="s">
        <v>1972</v>
      </c>
      <c r="D113" s="1172" t="s">
        <v>1973</v>
      </c>
      <c r="E113" s="1172" t="s">
        <v>1974</v>
      </c>
      <c r="F113" s="1171" t="s">
        <v>1975</v>
      </c>
      <c r="G113" s="1172" t="s">
        <v>1976</v>
      </c>
      <c r="H113" s="1206" t="s">
        <v>2023</v>
      </c>
      <c r="I113" s="1206" t="s">
        <v>2026</v>
      </c>
      <c r="J113" s="1206" t="s">
        <v>2027</v>
      </c>
      <c r="K113" s="1206" t="s">
        <v>2025</v>
      </c>
      <c r="L113" s="1206" t="s">
        <v>2028</v>
      </c>
      <c r="M113" s="1206" t="s">
        <v>2029</v>
      </c>
      <c r="N113" s="1206" t="s">
        <v>2030</v>
      </c>
      <c r="O113" s="1206" t="s">
        <v>2033</v>
      </c>
      <c r="Q113" s="430">
        <f>0.77*10%</f>
        <v>7.7000000000000013E-2</v>
      </c>
      <c r="R113" s="1410" t="s">
        <v>14341</v>
      </c>
      <c r="S113" s="1410" t="s">
        <v>14342</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1977</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14343</v>
      </c>
      <c r="S114" s="1409" t="s">
        <v>14344</v>
      </c>
      <c r="T114" s="1409"/>
      <c r="U114" s="1409" t="s">
        <v>14345</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14346</v>
      </c>
      <c r="S115" s="1409" t="s">
        <v>14344</v>
      </c>
      <c r="T115" s="1409"/>
      <c r="U115" s="1409" t="s">
        <v>14345</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14347</v>
      </c>
      <c r="S117" s="1409" t="s">
        <v>14348</v>
      </c>
      <c r="T117" s="1409" t="s">
        <v>254</v>
      </c>
      <c r="U117" s="1409" t="s">
        <v>14349</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14350</v>
      </c>
      <c r="S118" s="1409" t="s">
        <v>14348</v>
      </c>
      <c r="T118" s="1409" t="s">
        <v>254</v>
      </c>
      <c r="U118" s="1409" t="s">
        <v>14349</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14347</v>
      </c>
      <c r="S119" s="1409" t="s">
        <v>14351</v>
      </c>
      <c r="T119" s="1409" t="s">
        <v>256</v>
      </c>
      <c r="U119" s="1409" t="s">
        <v>14352</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14350</v>
      </c>
      <c r="S120" s="1409" t="s">
        <v>14351</v>
      </c>
      <c r="T120" s="1409" t="s">
        <v>256</v>
      </c>
      <c r="U120" s="1409" t="s">
        <v>14352</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14353</v>
      </c>
      <c r="U122" s="430" t="s">
        <v>14355</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14354</v>
      </c>
      <c r="U123" s="430" t="s">
        <v>14355</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1978</v>
      </c>
      <c r="M125" s="39">
        <f>SUM(M114:M124)/11</f>
        <v>3.3705740480575387E-3</v>
      </c>
      <c r="N125" s="39">
        <f>SUM(N114:N124)/11</f>
        <v>1.1325309940408588E-2</v>
      </c>
      <c r="P125" s="1243">
        <f>M125*0.1</f>
        <v>3.3705740480575389E-4</v>
      </c>
      <c r="Q125" s="430">
        <f>N125*0.1</f>
        <v>1.1325309940408588E-3</v>
      </c>
      <c r="R125" s="430" t="s">
        <v>254</v>
      </c>
      <c r="U125" s="430" t="s">
        <v>14356</v>
      </c>
      <c r="V125" s="1634">
        <f>V122/V116</f>
        <v>8.2037515451125517E-2</v>
      </c>
    </row>
    <row r="126" spans="1:22">
      <c r="C126" s="430" t="s">
        <v>2036</v>
      </c>
      <c r="D126" s="430" t="s">
        <v>2036</v>
      </c>
      <c r="R126" s="430" t="s">
        <v>256</v>
      </c>
      <c r="U126" s="1409" t="s">
        <v>14356</v>
      </c>
      <c r="V126" s="1634">
        <f>V123/V116</f>
        <v>0.25727313452786532</v>
      </c>
    </row>
    <row r="127" spans="1:22">
      <c r="C127" s="1209" t="s">
        <v>2020</v>
      </c>
      <c r="D127" s="430" t="s">
        <v>2035</v>
      </c>
      <c r="E127" s="1207" t="s">
        <v>2037</v>
      </c>
      <c r="F127" s="1211" t="s">
        <v>2034</v>
      </c>
      <c r="G127" s="430" t="s">
        <v>2021</v>
      </c>
      <c r="H127" s="430" t="s">
        <v>2022</v>
      </c>
      <c r="I127" s="430" t="s">
        <v>2029</v>
      </c>
      <c r="J127" s="430" t="s">
        <v>2038</v>
      </c>
      <c r="K127" s="1211" t="s">
        <v>2039</v>
      </c>
      <c r="L127" s="430" t="s">
        <v>2040</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14358</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14359</v>
      </c>
      <c r="U129" s="430" t="s">
        <v>14361</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14360</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14359</v>
      </c>
      <c r="S134" s="1409"/>
      <c r="T134" s="1409"/>
      <c r="U134" s="1409" t="s">
        <v>14361</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1764</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2019</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A102:A103"/>
    <mergeCell ref="C102:C105"/>
    <mergeCell ref="A104:A105"/>
    <mergeCell ref="M27:M29"/>
    <mergeCell ref="L27:L29"/>
    <mergeCell ref="L37:L40"/>
    <mergeCell ref="L41:L43"/>
    <mergeCell ref="A98:A99"/>
    <mergeCell ref="C98:C101"/>
    <mergeCell ref="A100:A101"/>
    <mergeCell ref="L31:L36"/>
    <mergeCell ref="A2:A3"/>
    <mergeCell ref="B2:B3"/>
    <mergeCell ref="C2:E3"/>
    <mergeCell ref="F2:F3"/>
    <mergeCell ref="D74:E74"/>
    <mergeCell ref="H26:I26"/>
    <mergeCell ref="H28:I28"/>
    <mergeCell ref="AC1:AE1"/>
    <mergeCell ref="AC20:AE20"/>
    <mergeCell ref="R27:R29"/>
    <mergeCell ref="S27:S29"/>
    <mergeCell ref="T27:T29"/>
    <mergeCell ref="U27:U29"/>
    <mergeCell ref="V27:V29"/>
    <mergeCell ref="W27:W2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1616</v>
      </c>
      <c r="E1" s="430">
        <v>2013</v>
      </c>
      <c r="F1" s="430">
        <v>2013</v>
      </c>
      <c r="G1" s="430" t="s">
        <v>1617</v>
      </c>
      <c r="H1" s="430">
        <v>2006</v>
      </c>
    </row>
    <row r="2" spans="2:39" ht="30">
      <c r="B2" s="430" t="s">
        <v>1618</v>
      </c>
      <c r="C2" s="430" t="s">
        <v>1619</v>
      </c>
      <c r="D2" s="430" t="s">
        <v>1620</v>
      </c>
      <c r="E2" s="1021" t="s">
        <v>1621</v>
      </c>
      <c r="F2" s="1021" t="s">
        <v>1622</v>
      </c>
      <c r="G2" s="1021" t="s">
        <v>1622</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1623</v>
      </c>
      <c r="C3" s="430" t="s">
        <v>1624</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1623</v>
      </c>
      <c r="C4" s="430" t="s">
        <v>1625</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1623</v>
      </c>
      <c r="C5" s="430" t="s">
        <v>1626</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1623</v>
      </c>
      <c r="C6" s="430" t="s">
        <v>1627</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1623</v>
      </c>
      <c r="C7" s="430" t="s">
        <v>1628</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1713</v>
      </c>
      <c r="S8" s="93"/>
      <c r="T8" s="93"/>
      <c r="U8" s="93"/>
      <c r="V8" s="93"/>
      <c r="W8" s="93"/>
      <c r="X8" s="93"/>
      <c r="Y8" s="93"/>
      <c r="Z8" s="93"/>
      <c r="AA8" s="93"/>
      <c r="AB8" s="93"/>
      <c r="AC8" s="93"/>
      <c r="AD8" s="93"/>
      <c r="AE8" s="93"/>
      <c r="AF8" s="93"/>
      <c r="AG8" s="93"/>
      <c r="AH8" s="93"/>
      <c r="AI8" s="93"/>
      <c r="AJ8" s="93"/>
      <c r="AK8" s="93"/>
      <c r="AL8" s="93"/>
      <c r="AM8" s="93"/>
    </row>
    <row r="9" spans="2:39">
      <c r="B9" s="430" t="s">
        <v>1629</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1630</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1631</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1632</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1633</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1634</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1635</v>
      </c>
      <c r="D20" s="581" t="s">
        <v>1636</v>
      </c>
      <c r="E20" s="581" t="s">
        <v>1637</v>
      </c>
      <c r="F20" s="581" t="s">
        <v>733</v>
      </c>
      <c r="G20" s="581" t="s">
        <v>1778</v>
      </c>
      <c r="H20" s="610" t="s">
        <v>1638</v>
      </c>
      <c r="I20" s="6" t="s">
        <v>1639</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1640</v>
      </c>
      <c r="D21" s="581" t="s">
        <v>1641</v>
      </c>
      <c r="E21" s="581" t="s">
        <v>1642</v>
      </c>
      <c r="F21" s="581" t="s">
        <v>700</v>
      </c>
      <c r="G21" s="581">
        <v>1</v>
      </c>
      <c r="H21" s="580" t="s">
        <v>1643</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20" t="s">
        <v>1013</v>
      </c>
      <c r="E29" s="1820"/>
      <c r="F29" s="1028">
        <f>AVERAGE(F22:F28)</f>
        <v>286.69885714285715</v>
      </c>
      <c r="G29" s="1028">
        <v>1</v>
      </c>
      <c r="H29" s="1029">
        <f>G8/F29</f>
        <v>3.9016575467685315</v>
      </c>
      <c r="I29" s="1030">
        <f>AVERAGE(H22:H28)</f>
        <v>188.96941614719825</v>
      </c>
      <c r="K29" s="430" t="s">
        <v>1644</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1645</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1646</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1647</v>
      </c>
      <c r="C34" s="388" t="s">
        <v>1648</v>
      </c>
      <c r="D34" s="388" t="s">
        <v>248</v>
      </c>
      <c r="E34" s="388" t="s">
        <v>1649</v>
      </c>
      <c r="F34" s="388" t="s">
        <v>1650</v>
      </c>
      <c r="G34" s="1031" t="s">
        <v>1651</v>
      </c>
      <c r="H34" s="388" t="s">
        <v>1652</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1653</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1653</v>
      </c>
      <c r="C36" s="430">
        <f>0.75*inchtocentimetre</f>
        <v>1.905</v>
      </c>
      <c r="D36" s="430">
        <f>C36*$F$22/$C$22</f>
        <v>2.8890000000000002</v>
      </c>
      <c r="E36" s="430">
        <v>2000</v>
      </c>
      <c r="F36" s="430">
        <f>J21*Distribution!E36/10^6</f>
        <v>0</v>
      </c>
      <c r="G36" s="430">
        <f>F36/D36</f>
        <v>0</v>
      </c>
      <c r="R36" s="560" t="s">
        <v>1712</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1711</v>
      </c>
      <c r="AG36" s="93"/>
      <c r="AH36" s="93"/>
      <c r="AI36" s="93"/>
      <c r="AJ36" s="93"/>
      <c r="AK36" s="93"/>
      <c r="AL36" s="93"/>
      <c r="AM36" s="93"/>
    </row>
    <row r="37" spans="1:39">
      <c r="B37" s="430" t="s">
        <v>1654</v>
      </c>
      <c r="C37" s="430">
        <v>4.4000000000000004</v>
      </c>
      <c r="D37" s="430">
        <f>C37*$F$22/$C$22</f>
        <v>6.6727559055118126</v>
      </c>
      <c r="E37" s="430">
        <v>2000</v>
      </c>
      <c r="F37" s="430">
        <f>J22*Distribution!E37/10^6</f>
        <v>0</v>
      </c>
      <c r="G37" s="430">
        <f>F37/D37</f>
        <v>0</v>
      </c>
      <c r="R37" s="560" t="s">
        <v>1710</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1709</v>
      </c>
      <c r="AH37" s="93"/>
      <c r="AI37" s="93"/>
      <c r="AJ37" s="93"/>
      <c r="AK37" s="93"/>
      <c r="AL37" s="93"/>
      <c r="AM37" s="93"/>
    </row>
    <row r="38" spans="1:39">
      <c r="B38" s="430" t="s">
        <v>1654</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1655</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1656</v>
      </c>
    </row>
    <row r="45" spans="1:39">
      <c r="A45" s="388" t="s">
        <v>1657</v>
      </c>
      <c r="C45" s="6" t="s">
        <v>774</v>
      </c>
      <c r="D45" s="430" t="s">
        <v>1658</v>
      </c>
    </row>
    <row r="46" spans="1:39">
      <c r="A46" s="430" t="s">
        <v>1659</v>
      </c>
      <c r="C46" s="6">
        <f>200</f>
        <v>200</v>
      </c>
    </row>
    <row r="47" spans="1:39">
      <c r="C47" s="6"/>
    </row>
    <row r="48" spans="1:39">
      <c r="I48" s="6" t="s">
        <v>547</v>
      </c>
      <c r="J48" s="6" t="s">
        <v>555</v>
      </c>
    </row>
    <row r="49" spans="1:18">
      <c r="A49" s="1036">
        <f>[8]LossesCalib!V6</f>
        <v>0</v>
      </c>
      <c r="B49" s="1037"/>
      <c r="C49" s="1037"/>
      <c r="D49" s="1037" t="s">
        <v>1697</v>
      </c>
      <c r="E49" s="1037"/>
      <c r="F49" s="1038"/>
      <c r="H49" s="430" t="s">
        <v>1714</v>
      </c>
      <c r="I49" s="430" t="s">
        <v>1717</v>
      </c>
      <c r="J49" s="430" t="s">
        <v>1717</v>
      </c>
      <c r="K49" s="392" t="s">
        <v>1718</v>
      </c>
      <c r="L49" s="392" t="s">
        <v>1719</v>
      </c>
    </row>
    <row r="50" spans="1:18">
      <c r="A50" s="1042" t="str">
        <f>[8]LossesCalib!X7</f>
        <v xml:space="preserve">Industry </v>
      </c>
      <c r="B50" s="1042" t="str">
        <f>[8]LossesCalib!Y7</f>
        <v>INDODS</v>
      </c>
      <c r="C50" s="1042" t="str">
        <f>[8]LossesCalib!Z7</f>
        <v>IND</v>
      </c>
      <c r="D50" s="1042">
        <f>[8]LossesCalib!AA7</f>
        <v>36.014976280799999</v>
      </c>
      <c r="E50" s="1040"/>
      <c r="F50" s="886"/>
      <c r="H50" s="430" t="s">
        <v>1716</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1715</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1720</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1814</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1698</v>
      </c>
      <c r="F58" s="886" t="s">
        <v>1699</v>
      </c>
      <c r="H58" s="610"/>
      <c r="I58" s="610" t="s">
        <v>1700</v>
      </c>
      <c r="J58" s="1035" t="s">
        <v>1701</v>
      </c>
      <c r="K58" s="1034"/>
      <c r="L58" s="388"/>
      <c r="P58" s="430" t="s">
        <v>1815</v>
      </c>
      <c r="Q58" s="430">
        <v>30</v>
      </c>
      <c r="R58" s="430" t="s">
        <v>1816</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1817</v>
      </c>
      <c r="Q59" s="430">
        <v>850</v>
      </c>
      <c r="R59" s="430" t="s">
        <v>1818</v>
      </c>
    </row>
    <row r="60" spans="1:18">
      <c r="A60" s="1042">
        <f>[8]LossesCalib!X17</f>
        <v>0</v>
      </c>
      <c r="B60" s="1042">
        <f>[8]LossesCalib!Y17</f>
        <v>0</v>
      </c>
      <c r="C60" s="1042">
        <f>[8]LossesCalib!Z17</f>
        <v>0</v>
      </c>
      <c r="D60" s="1042">
        <f>[8]LossesCalib!AA17</f>
        <v>0</v>
      </c>
      <c r="E60" s="532"/>
      <c r="F60" s="886"/>
      <c r="H60" s="610" t="s">
        <v>1702</v>
      </c>
      <c r="I60" s="610">
        <v>0.745</v>
      </c>
      <c r="J60" s="1035">
        <v>0.85</v>
      </c>
      <c r="K60" s="1034"/>
      <c r="L60" s="388"/>
    </row>
    <row r="61" spans="1:18">
      <c r="A61" s="590"/>
      <c r="B61" s="387"/>
      <c r="C61" s="387"/>
      <c r="D61" s="387"/>
      <c r="E61" s="387"/>
      <c r="F61" s="600"/>
      <c r="J61" s="1034"/>
      <c r="K61" s="1034"/>
      <c r="L61" s="388"/>
      <c r="P61" s="430" t="s">
        <v>1819</v>
      </c>
      <c r="Q61" s="430">
        <f>Q59/Q58</f>
        <v>28.333333333333332</v>
      </c>
      <c r="R61" s="430" t="s">
        <v>1820</v>
      </c>
    </row>
    <row r="62" spans="1:18">
      <c r="J62" s="1034"/>
      <c r="K62" s="1034"/>
      <c r="L62" s="388"/>
      <c r="Q62" s="430">
        <f>0.25%*Q61</f>
        <v>7.0833333333333331E-2</v>
      </c>
    </row>
    <row r="63" spans="1:18">
      <c r="J63" s="1034"/>
      <c r="K63" s="1034"/>
      <c r="L63" s="388"/>
    </row>
    <row r="66" spans="1:26">
      <c r="E66" s="430" t="s">
        <v>1660</v>
      </c>
      <c r="F66" s="430" t="s">
        <v>1661</v>
      </c>
      <c r="G66" s="430" t="s">
        <v>1662</v>
      </c>
      <c r="P66" s="430" t="s">
        <v>1821</v>
      </c>
      <c r="Z66" s="430" t="s">
        <v>1822</v>
      </c>
    </row>
    <row r="67" spans="1:26">
      <c r="A67" s="388" t="s">
        <v>1663</v>
      </c>
      <c r="E67" s="430" t="s">
        <v>1664</v>
      </c>
      <c r="F67" s="430" t="s">
        <v>1665</v>
      </c>
      <c r="G67" s="430" t="str">
        <f>E67</f>
        <v>USA$ million</v>
      </c>
      <c r="Y67" s="430">
        <v>2000</v>
      </c>
      <c r="Z67" s="430">
        <v>93.1</v>
      </c>
    </row>
    <row r="68" spans="1:26">
      <c r="C68" s="430" t="s">
        <v>1666</v>
      </c>
      <c r="E68" s="430">
        <v>380</v>
      </c>
      <c r="F68" s="430">
        <v>116</v>
      </c>
      <c r="G68" s="430">
        <v>122</v>
      </c>
      <c r="P68" s="382" t="s">
        <v>1823</v>
      </c>
      <c r="Y68" s="430">
        <v>2010</v>
      </c>
      <c r="Z68" s="430">
        <v>114.5</v>
      </c>
    </row>
    <row r="69" spans="1:26">
      <c r="C69" s="430" t="s">
        <v>967</v>
      </c>
      <c r="E69" s="430">
        <v>135</v>
      </c>
      <c r="F69" s="430">
        <v>116</v>
      </c>
      <c r="G69" s="430">
        <v>122</v>
      </c>
      <c r="P69" s="610" t="s">
        <v>1824</v>
      </c>
      <c r="Q69" s="610"/>
      <c r="R69" s="610"/>
      <c r="S69" s="581">
        <v>7.98</v>
      </c>
      <c r="T69" s="581">
        <v>2.77</v>
      </c>
    </row>
    <row r="70" spans="1:26">
      <c r="P70" s="610" t="s">
        <v>1825</v>
      </c>
      <c r="Q70" s="610"/>
      <c r="R70" s="610"/>
      <c r="S70" s="1821">
        <v>1.59</v>
      </c>
      <c r="T70" s="1120">
        <v>19.5</v>
      </c>
      <c r="Y70" s="430" t="s">
        <v>1826</v>
      </c>
      <c r="Z70" s="430">
        <f>Z68/Z67</f>
        <v>1.2298603651987112</v>
      </c>
    </row>
    <row r="71" spans="1:26">
      <c r="C71" s="388" t="s">
        <v>1667</v>
      </c>
      <c r="E71" s="388" t="s">
        <v>1668</v>
      </c>
      <c r="F71" s="388" t="s">
        <v>1669</v>
      </c>
      <c r="G71" s="388" t="s">
        <v>1670</v>
      </c>
      <c r="H71" s="388" t="s">
        <v>1647</v>
      </c>
      <c r="I71" s="388" t="s">
        <v>1671</v>
      </c>
      <c r="P71" s="610" t="s">
        <v>1827</v>
      </c>
      <c r="Q71" s="610"/>
      <c r="R71" s="610"/>
      <c r="S71" s="1821"/>
      <c r="T71" s="581">
        <v>11.1</v>
      </c>
    </row>
    <row r="72" spans="1:26">
      <c r="A72" s="1228" t="s">
        <v>1672</v>
      </c>
      <c r="B72" s="1228"/>
      <c r="C72" s="1228" t="s">
        <v>1673</v>
      </c>
      <c r="D72" s="1228" t="s">
        <v>1674</v>
      </c>
      <c r="E72" s="1228" t="s">
        <v>1665</v>
      </c>
      <c r="F72" s="1228" t="s">
        <v>1675</v>
      </c>
      <c r="G72" s="1228" t="s">
        <v>1640</v>
      </c>
      <c r="H72" s="1228" t="s">
        <v>248</v>
      </c>
      <c r="I72" s="1228" t="s">
        <v>1643</v>
      </c>
      <c r="J72" s="1228" t="s">
        <v>1676</v>
      </c>
      <c r="P72" s="430" t="s">
        <v>1828</v>
      </c>
      <c r="Y72" s="430">
        <v>11.3</v>
      </c>
      <c r="Z72" s="430" t="s">
        <v>1829</v>
      </c>
    </row>
    <row r="73" spans="1:26">
      <c r="A73" s="610" t="s">
        <v>884</v>
      </c>
      <c r="B73" s="610" t="s">
        <v>1677</v>
      </c>
      <c r="C73" s="610" t="s">
        <v>1678</v>
      </c>
      <c r="D73" s="610" t="s">
        <v>1679</v>
      </c>
      <c r="E73" s="610">
        <f>8+61</f>
        <v>69</v>
      </c>
      <c r="F73" s="610">
        <v>62</v>
      </c>
      <c r="G73" s="1026">
        <f>D22</f>
        <v>20</v>
      </c>
      <c r="H73" s="1026">
        <f>F22</f>
        <v>77.040000000000006</v>
      </c>
      <c r="I73" s="610">
        <f>(F73*$AN$26/H73)*(AE37/Y37)</f>
        <v>7.8800652079419287</v>
      </c>
      <c r="J73" s="610">
        <v>2018</v>
      </c>
    </row>
    <row r="74" spans="1:26">
      <c r="A74" s="610" t="s">
        <v>884</v>
      </c>
      <c r="B74" s="610" t="s">
        <v>1680</v>
      </c>
      <c r="C74" s="610" t="s">
        <v>1678</v>
      </c>
      <c r="D74" s="610" t="s">
        <v>1681</v>
      </c>
      <c r="E74" s="610">
        <v>62</v>
      </c>
      <c r="F74" s="610">
        <v>71</v>
      </c>
      <c r="G74" s="1026">
        <f>G73</f>
        <v>20</v>
      </c>
      <c r="H74" s="1026">
        <f>H73</f>
        <v>77.040000000000006</v>
      </c>
      <c r="I74" s="610">
        <f>(F74*Distribution!$AN$26/H74)*(AE37/Y37)</f>
        <v>9.0239456413528547</v>
      </c>
      <c r="J74" s="610">
        <v>2018</v>
      </c>
      <c r="P74" s="382" t="s">
        <v>1823</v>
      </c>
    </row>
    <row r="75" spans="1:26">
      <c r="A75" s="610" t="s">
        <v>1682</v>
      </c>
      <c r="B75" s="610"/>
      <c r="C75" s="610" t="s">
        <v>1678</v>
      </c>
      <c r="D75" s="610" t="s">
        <v>1683</v>
      </c>
      <c r="E75" s="610"/>
      <c r="F75" s="610"/>
      <c r="G75" s="610"/>
      <c r="H75" s="610"/>
      <c r="I75" s="610"/>
      <c r="J75" s="610"/>
      <c r="P75" s="610" t="s">
        <v>1824</v>
      </c>
      <c r="Q75" s="610"/>
      <c r="R75" s="610"/>
      <c r="S75" s="1120">
        <f>S69*$Z$70</f>
        <v>9.8142857142857167</v>
      </c>
      <c r="T75" s="1120">
        <f>T69*$Z$70</f>
        <v>3.4067132116004299</v>
      </c>
    </row>
    <row r="76" spans="1:26">
      <c r="A76" s="610" t="s">
        <v>1682</v>
      </c>
      <c r="B76" s="610"/>
      <c r="C76" s="610" t="s">
        <v>1678</v>
      </c>
      <c r="D76" s="610" t="s">
        <v>1684</v>
      </c>
      <c r="E76" s="610"/>
      <c r="F76" s="610"/>
      <c r="G76" s="610"/>
      <c r="H76" s="610"/>
      <c r="I76" s="610"/>
      <c r="J76" s="610"/>
      <c r="P76" s="610" t="s">
        <v>1825</v>
      </c>
      <c r="Q76" s="610"/>
      <c r="R76" s="610"/>
      <c r="S76" s="1822">
        <f>S70*Z70</f>
        <v>1.955477980665951</v>
      </c>
      <c r="T76" s="1120">
        <f>T70*$Z$70</f>
        <v>23.982277121374867</v>
      </c>
    </row>
    <row r="77" spans="1:26">
      <c r="A77" s="610" t="s">
        <v>1682</v>
      </c>
      <c r="B77" s="610"/>
      <c r="C77" s="610" t="s">
        <v>1685</v>
      </c>
      <c r="D77" s="610"/>
      <c r="E77" s="610">
        <v>105</v>
      </c>
      <c r="F77" s="610">
        <v>75</v>
      </c>
      <c r="G77" s="1027">
        <f>C39</f>
        <v>5.6437499999999998</v>
      </c>
      <c r="H77" s="1027">
        <f>D39</f>
        <v>8.5589468503937027</v>
      </c>
      <c r="I77" s="1027">
        <f>F77*Distribution!$AN$26/H77+$H$39</f>
        <v>80.994982809790869</v>
      </c>
      <c r="J77" s="610">
        <v>2020</v>
      </c>
      <c r="P77" s="610" t="s">
        <v>1827</v>
      </c>
      <c r="Q77" s="610"/>
      <c r="R77" s="610"/>
      <c r="S77" s="1823"/>
      <c r="T77" s="1120">
        <f>T71*$Z$70</f>
        <v>13.651450053705695</v>
      </c>
    </row>
    <row r="78" spans="1:26">
      <c r="A78" s="610" t="s">
        <v>1682</v>
      </c>
      <c r="B78" s="610"/>
      <c r="C78" s="610" t="s">
        <v>1686</v>
      </c>
      <c r="D78" s="610"/>
      <c r="E78" s="610">
        <v>8</v>
      </c>
      <c r="F78" s="610">
        <v>5.5</v>
      </c>
      <c r="G78" s="1027">
        <f>G77</f>
        <v>5.6437499999999998</v>
      </c>
      <c r="H78" s="1027">
        <f>H77</f>
        <v>8.5589468503937027</v>
      </c>
      <c r="I78" s="1027">
        <f>F78*Distribution!$AN$26/H78+$H$39</f>
        <v>14.445554501900389</v>
      </c>
      <c r="J78" s="610">
        <v>2020</v>
      </c>
      <c r="P78" s="430" t="s">
        <v>1830</v>
      </c>
    </row>
    <row r="79" spans="1:26">
      <c r="A79" s="610"/>
      <c r="B79" s="610"/>
      <c r="C79" s="610" t="s">
        <v>1687</v>
      </c>
      <c r="D79" s="610"/>
      <c r="E79" s="610">
        <v>13</v>
      </c>
      <c r="F79" s="610">
        <f>8.5</f>
        <v>8.5</v>
      </c>
      <c r="G79" s="1027">
        <f>G78</f>
        <v>5.6437499999999998</v>
      </c>
      <c r="H79" s="1027">
        <f>H78</f>
        <v>8.5589468503937027</v>
      </c>
      <c r="I79" s="1027">
        <f>F79*Distribution!$AN$26/H79+$H$39</f>
        <v>17.318191695046742</v>
      </c>
      <c r="J79" s="610">
        <v>2020</v>
      </c>
    </row>
    <row r="80" spans="1:26">
      <c r="P80" s="382" t="s">
        <v>1823</v>
      </c>
      <c r="U80" s="430" t="s">
        <v>1831</v>
      </c>
    </row>
    <row r="81" spans="1:21">
      <c r="D81" s="430" t="s">
        <v>1688</v>
      </c>
      <c r="E81" s="430" t="s">
        <v>1689</v>
      </c>
      <c r="F81" s="430" t="s">
        <v>1690</v>
      </c>
      <c r="G81" s="430" t="s">
        <v>578</v>
      </c>
      <c r="H81" s="650" t="s">
        <v>1835</v>
      </c>
      <c r="P81" s="610" t="s">
        <v>1824</v>
      </c>
      <c r="Q81" s="610"/>
      <c r="R81" s="610"/>
      <c r="S81" s="1120">
        <f>S75*$Y$72*zar.2010</f>
        <v>145.21547375596757</v>
      </c>
      <c r="T81" s="1120">
        <f>T75*$Y$72*zar.2010</f>
        <v>50.406874975442364</v>
      </c>
    </row>
    <row r="82" spans="1:21">
      <c r="D82" s="430" t="s">
        <v>1643</v>
      </c>
      <c r="H82" s="650" t="s">
        <v>1643</v>
      </c>
      <c r="P82" s="610" t="s">
        <v>1825</v>
      </c>
      <c r="Q82" s="610"/>
      <c r="R82" s="610"/>
      <c r="S82" s="1822">
        <f>S76*Y72*zar.2010</f>
        <v>28.933910184459698</v>
      </c>
      <c r="T82" s="1120">
        <f>T76*$Y$72*zar.2010</f>
        <v>354.84984188488301</v>
      </c>
    </row>
    <row r="83" spans="1:21">
      <c r="C83" s="430" t="s">
        <v>1691</v>
      </c>
      <c r="D83" s="730">
        <f>AVERAGE(I77:I79)</f>
        <v>37.586243002246</v>
      </c>
      <c r="F83" s="730">
        <f>D83*10%</f>
        <v>3.7586243002246</v>
      </c>
      <c r="G83" s="430">
        <v>60</v>
      </c>
      <c r="H83" s="406">
        <f>$T$86</f>
        <v>556.84129034243188</v>
      </c>
      <c r="P83" s="610" t="s">
        <v>1827</v>
      </c>
      <c r="Q83" s="610"/>
      <c r="R83" s="610"/>
      <c r="S83" s="1823"/>
      <c r="T83" s="1120">
        <f>T77*$Y$72*zar.2010</f>
        <v>201.99144845754884</v>
      </c>
    </row>
    <row r="84" spans="1:21">
      <c r="C84" s="430" t="s">
        <v>1692</v>
      </c>
      <c r="D84" s="730">
        <f>D83</f>
        <v>37.586243002246</v>
      </c>
      <c r="F84" s="730">
        <f>D84*10%</f>
        <v>3.7586243002246</v>
      </c>
      <c r="G84" s="430">
        <v>60</v>
      </c>
      <c r="H84" s="406">
        <f>H83*0.95</f>
        <v>528.9992258253103</v>
      </c>
      <c r="P84" s="430" t="s">
        <v>1832</v>
      </c>
    </row>
    <row r="85" spans="1:21">
      <c r="C85" s="430" t="s">
        <v>1693</v>
      </c>
      <c r="D85" s="730">
        <f>D84</f>
        <v>37.586243002246</v>
      </c>
      <c r="F85" s="730">
        <f>D85*10%</f>
        <v>3.7586243002246</v>
      </c>
      <c r="G85" s="430">
        <v>60</v>
      </c>
      <c r="H85" s="406">
        <f>H83</f>
        <v>556.84129034243188</v>
      </c>
    </row>
    <row r="86" spans="1:21">
      <c r="C86" s="430" t="s">
        <v>1694</v>
      </c>
      <c r="D86" s="730">
        <f>D85</f>
        <v>37.586243002246</v>
      </c>
      <c r="F86" s="730">
        <f>D86*10%</f>
        <v>3.7586243002246</v>
      </c>
      <c r="G86" s="430">
        <v>60</v>
      </c>
      <c r="H86" s="406">
        <f>H84</f>
        <v>528.9992258253103</v>
      </c>
      <c r="P86" s="382"/>
      <c r="S86" s="1121" t="s">
        <v>1833</v>
      </c>
      <c r="T86" s="406">
        <f>T83+T82</f>
        <v>556.84129034243188</v>
      </c>
      <c r="U86" s="430" t="s">
        <v>1820</v>
      </c>
    </row>
    <row r="87" spans="1:21">
      <c r="S87" s="1121" t="s">
        <v>1834</v>
      </c>
      <c r="T87" s="430">
        <v>0.7</v>
      </c>
    </row>
    <row r="88" spans="1:21">
      <c r="C88" s="430" t="s">
        <v>1695</v>
      </c>
      <c r="D88" s="406">
        <f>I54</f>
        <v>25.463596835812123</v>
      </c>
      <c r="G88" s="430">
        <v>60</v>
      </c>
      <c r="T88" s="430">
        <f>T87*T86</f>
        <v>389.78890323970228</v>
      </c>
      <c r="U88" s="430" t="s">
        <v>1820</v>
      </c>
    </row>
    <row r="89" spans="1:21">
      <c r="C89" s="430" t="s">
        <v>1696</v>
      </c>
      <c r="D89" s="406">
        <f>J54</f>
        <v>25.827936915797132</v>
      </c>
      <c r="G89" s="430">
        <v>60</v>
      </c>
    </row>
    <row r="91" spans="1:21">
      <c r="A91" s="388" t="s">
        <v>1721</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2123</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2124</v>
      </c>
      <c r="B99" s="382">
        <v>0.08</v>
      </c>
    </row>
    <row r="100" spans="1:7">
      <c r="A100" s="430" t="s">
        <v>578</v>
      </c>
      <c r="B100" s="430">
        <v>60</v>
      </c>
    </row>
    <row r="103" spans="1:7">
      <c r="A103" s="430" t="s">
        <v>2104</v>
      </c>
      <c r="B103" s="430" t="s">
        <v>9</v>
      </c>
      <c r="C103" s="430" t="s">
        <v>2104</v>
      </c>
      <c r="D103" s="430" t="s">
        <v>9</v>
      </c>
    </row>
    <row r="104" spans="1:7">
      <c r="A104" s="1122" t="s">
        <v>2105</v>
      </c>
      <c r="B104" s="1222" t="s">
        <v>2105</v>
      </c>
      <c r="C104" s="1122" t="s">
        <v>2106</v>
      </c>
      <c r="D104" s="1222" t="s">
        <v>733</v>
      </c>
    </row>
    <row r="105" spans="1:7">
      <c r="A105" s="388" t="s">
        <v>1641</v>
      </c>
      <c r="B105" s="1223" t="s">
        <v>1640</v>
      </c>
      <c r="C105" s="388" t="s">
        <v>2107</v>
      </c>
      <c r="D105" s="1223" t="s">
        <v>2108</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2109</v>
      </c>
      <c r="B114" s="1224" t="s">
        <v>2110</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51" workbookViewId="0">
      <selection activeCell="D63" sqref="D63"/>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24" t="s">
        <v>240</v>
      </c>
      <c r="C1" s="1824"/>
      <c r="D1" s="1824"/>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14779</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1509</v>
      </c>
      <c r="B14" s="391" t="s">
        <v>1510</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76</v>
      </c>
      <c r="L14" s="1536">
        <f t="shared" si="6"/>
        <v>93</v>
      </c>
      <c r="M14" s="685" t="s">
        <v>14384</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14385</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14386</v>
      </c>
      <c r="N16" s="137"/>
      <c r="O16" s="683">
        <f>'Oil price'!CK94</f>
        <v>58</v>
      </c>
      <c r="P16" s="683">
        <f>'Oil price'!CL94</f>
        <v>63.333333333333336</v>
      </c>
      <c r="Q16" s="683">
        <f>'Oil price'!CM94</f>
        <v>80.666666666666657</v>
      </c>
      <c r="S16" s="102"/>
      <c r="T16" s="102"/>
      <c r="U16" s="102"/>
      <c r="V16" s="102"/>
      <c r="W16" s="430"/>
      <c r="X16" s="430"/>
      <c r="Z16" s="501" t="s">
        <v>13454</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14388</v>
      </c>
      <c r="B19" s="539" t="s">
        <v>14389</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905.54</v>
      </c>
      <c r="L19" s="541">
        <f t="shared" si="7"/>
        <v>1108.095</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149.72100908455624</v>
      </c>
      <c r="L20" s="541">
        <f>L19*'Liq Fuel Prices'!$V$7</f>
        <v>183.21123480083858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1576</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180.2744065043789</v>
      </c>
      <c r="L22" s="541">
        <f>L19*'Liq Fuel Prices'!$X$7+'Liq Fuel Prices'!$X$8</f>
        <v>220.98578009099538</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188.58838028983538</v>
      </c>
      <c r="L23" s="541">
        <f>L19*'Liq Fuel Prices'!$Y$7+'Liq Fuel Prices'!$Y$8</f>
        <v>227.90814765622645</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188.31867803691614</v>
      </c>
      <c r="L24" s="541">
        <f>L19*'Liq Fuel Prices'!$W$7+'Liq Fuel Prices'!$W$8</f>
        <v>229.26269445772533</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329.14553424015708</v>
      </c>
      <c r="L25" s="541">
        <f>L19*'Liq Fuel Prices'!$Z$7+'Liq Fuel Prices'!$Z$8</f>
        <v>363.16947049863222</v>
      </c>
      <c r="N25" s="430"/>
      <c r="O25" s="93" t="s">
        <v>2151</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149.72100908455624</v>
      </c>
      <c r="L26" s="541">
        <f t="shared" si="9"/>
        <v>183.21123480083858</v>
      </c>
      <c r="N26" s="430"/>
      <c r="O26" s="1246"/>
      <c r="P26" s="1251" t="s">
        <v>2138</v>
      </c>
      <c r="Q26" s="1252"/>
      <c r="S26" s="1255" t="s">
        <v>2139</v>
      </c>
      <c r="T26" s="1247"/>
      <c r="U26" s="1252"/>
      <c r="V26" s="1251" t="s">
        <v>2140</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1581</v>
      </c>
      <c r="B27" s="532"/>
      <c r="C27" s="546"/>
      <c r="D27" s="532"/>
      <c r="E27" s="547"/>
      <c r="F27" s="557"/>
      <c r="G27" s="540"/>
      <c r="H27" s="540"/>
      <c r="I27" s="540"/>
      <c r="J27" s="540"/>
      <c r="K27" s="540"/>
      <c r="L27" s="541"/>
      <c r="N27" s="430"/>
      <c r="O27" s="1248" t="s">
        <v>162</v>
      </c>
      <c r="P27" s="1249" t="s">
        <v>982</v>
      </c>
      <c r="Q27" s="1250" t="s">
        <v>2141</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273.83173500753151</v>
      </c>
      <c r="L28" s="541">
        <f>L22*'Liq Fuel Prices'!$X$15+'Liq Fuel Prices'!$X$16</f>
        <v>325.00600865866585</v>
      </c>
      <c r="N28" s="430"/>
      <c r="O28" s="1248" t="s">
        <v>2142</v>
      </c>
      <c r="P28" s="1253" t="s">
        <v>2152</v>
      </c>
      <c r="Q28" s="1254" t="s">
        <v>2153</v>
      </c>
      <c r="R28" s="1254" t="s">
        <v>2154</v>
      </c>
      <c r="S28" s="1254" t="s">
        <v>2155</v>
      </c>
      <c r="T28" s="1254" t="s">
        <v>2156</v>
      </c>
      <c r="U28" s="1254" t="s">
        <v>2156</v>
      </c>
      <c r="V28" s="1254" t="s">
        <v>2157</v>
      </c>
      <c r="W28" s="1254" t="s">
        <v>2157</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216.34057665923626</v>
      </c>
      <c r="L29" s="541">
        <f>L23*'Liq Fuel Prices'!$Y$15+'Liq Fuel Prices'!$Y$16</f>
        <v>258.37137585004956</v>
      </c>
      <c r="N29" s="430"/>
      <c r="O29" s="1248" t="s">
        <v>2143</v>
      </c>
      <c r="P29" s="1253" t="s">
        <v>2158</v>
      </c>
      <c r="Q29" s="1254" t="s">
        <v>2158</v>
      </c>
      <c r="R29" s="1254" t="s">
        <v>2158</v>
      </c>
      <c r="S29" s="1254" t="s">
        <v>2158</v>
      </c>
      <c r="T29" s="1254" t="s">
        <v>2159</v>
      </c>
      <c r="U29" s="1254" t="s">
        <v>2159</v>
      </c>
      <c r="V29" s="1254" t="s">
        <v>2160</v>
      </c>
      <c r="W29" s="1254" t="s">
        <v>2160</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325.6992818500924</v>
      </c>
      <c r="L30" s="541">
        <f>L24*'Liq Fuel Prices'!$W$15+'Liq Fuel Prices'!$W$16</f>
        <v>381.24293761159532</v>
      </c>
      <c r="N30" s="430"/>
      <c r="O30" s="1248" t="s">
        <v>2144</v>
      </c>
      <c r="P30" s="1253" t="s">
        <v>2161</v>
      </c>
      <c r="Q30" s="1254" t="s">
        <v>2162</v>
      </c>
      <c r="R30" s="1254" t="s">
        <v>2163</v>
      </c>
      <c r="S30" s="1254" t="s">
        <v>2155</v>
      </c>
      <c r="T30" s="1254" t="s">
        <v>2145</v>
      </c>
      <c r="U30" s="1254" t="s">
        <v>2146</v>
      </c>
      <c r="V30" s="1254" t="s">
        <v>2145</v>
      </c>
      <c r="W30" s="1254" t="s">
        <v>2146</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481.62853675627355</v>
      </c>
      <c r="L31" s="541">
        <f>L25*'Liq Fuel Prices'!$Z$15+'Liq Fuel Prices'!$Z$16</f>
        <v>526.21670092870897</v>
      </c>
      <c r="N31" s="430"/>
      <c r="O31" s="1248" t="s">
        <v>2147</v>
      </c>
      <c r="P31" s="1253" t="s">
        <v>2164</v>
      </c>
      <c r="Q31" s="1254" t="s">
        <v>2165</v>
      </c>
      <c r="R31" s="1254" t="s">
        <v>2166</v>
      </c>
      <c r="S31" s="1254" t="s">
        <v>2167</v>
      </c>
      <c r="T31" s="1254" t="s">
        <v>2148</v>
      </c>
      <c r="U31" s="1254" t="s">
        <v>2168</v>
      </c>
      <c r="V31" s="1254" t="s">
        <v>2149</v>
      </c>
      <c r="W31" s="1254" t="s">
        <v>2150</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149.72100908455624</v>
      </c>
      <c r="L32" s="550">
        <f t="shared" si="12"/>
        <v>183.21123480083858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13455</v>
      </c>
      <c r="G34" s="90"/>
      <c r="H34" s="90"/>
      <c r="I34" s="90"/>
      <c r="J34" s="90"/>
      <c r="M34" s="93" t="s">
        <v>2122</v>
      </c>
      <c r="O34" s="691" t="s">
        <v>2171</v>
      </c>
      <c r="P34" s="529" t="s">
        <v>2170</v>
      </c>
      <c r="Q34" s="529" t="s">
        <v>2169</v>
      </c>
      <c r="R34" s="1260" t="str">
        <f>M14</f>
        <v>WEO2020 Stated Policies</v>
      </c>
      <c r="S34" s="529" t="str">
        <f>M15</f>
        <v>WEO 2020 Sust. Dev.</v>
      </c>
      <c r="T34" s="529" t="str">
        <f>M16</f>
        <v>WEO 2020 Delayed Recovery</v>
      </c>
      <c r="U34" s="93" t="s">
        <v>13455</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89.731667037001685</v>
      </c>
      <c r="L35" s="675">
        <f t="shared" si="17"/>
        <v>109.80322413738365</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2121</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102.83252011757041</v>
      </c>
      <c r="L39" s="675">
        <f t="shared" si="17"/>
        <v>124.82402982458743</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107.3500556625941</v>
      </c>
      <c r="L40" s="675">
        <f t="shared" si="17"/>
        <v>129.34156536961115</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13456</v>
      </c>
    </row>
    <row r="41" spans="1:43" ht="13.5" customHeight="1">
      <c r="A41" s="103"/>
      <c r="C41" s="90"/>
      <c r="D41" s="90"/>
      <c r="E41" s="547"/>
      <c r="F41" s="90"/>
      <c r="G41" s="90"/>
      <c r="H41" s="90"/>
      <c r="I41" s="90"/>
      <c r="J41" s="753"/>
      <c r="K41" s="753"/>
      <c r="L41" s="753"/>
      <c r="N41" s="430"/>
      <c r="Y41" s="573"/>
      <c r="Z41" s="1343"/>
      <c r="AA41" s="1343" t="s">
        <v>13457</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13458</v>
      </c>
      <c r="AA42" s="719" t="s">
        <v>13460</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13459</v>
      </c>
      <c r="AA43" s="1343" t="s">
        <v>13461</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13462</v>
      </c>
      <c r="AA44" s="719" t="s">
        <v>13460</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13463</v>
      </c>
      <c r="AA45" s="1343" t="s">
        <v>13461</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13464</v>
      </c>
      <c r="Z46" s="430"/>
      <c r="AA46" s="719" t="s">
        <v>13460</v>
      </c>
      <c r="AB46" s="1345">
        <v>4</v>
      </c>
      <c r="AC46" s="1345">
        <v>7</v>
      </c>
      <c r="AD46" s="1345">
        <v>8</v>
      </c>
      <c r="AE46" s="1345">
        <v>8</v>
      </c>
      <c r="AF46" s="1345">
        <v>9</v>
      </c>
      <c r="AG46" s="1345">
        <v>9</v>
      </c>
      <c r="AH46" s="1345">
        <v>9</v>
      </c>
      <c r="AI46" s="1345">
        <v>10</v>
      </c>
    </row>
    <row r="47" spans="1:43" ht="15">
      <c r="A47" s="1118" t="s">
        <v>2193</v>
      </c>
      <c r="B47" s="619" t="s">
        <v>2194</v>
      </c>
      <c r="C47" s="113"/>
      <c r="D47" s="113"/>
      <c r="E47" s="113"/>
      <c r="F47" s="113"/>
      <c r="G47" s="113"/>
      <c r="H47" s="111"/>
      <c r="I47" s="111"/>
      <c r="K47" s="111"/>
      <c r="L47" s="111"/>
      <c r="M47" s="91"/>
      <c r="N47" s="430"/>
      <c r="P47" s="430"/>
      <c r="T47" s="97"/>
      <c r="U47" s="97"/>
      <c r="V47" s="97"/>
      <c r="W47" s="97"/>
      <c r="Y47" s="430"/>
      <c r="Z47" s="1343" t="s">
        <v>13465</v>
      </c>
      <c r="AA47" s="1343" t="s">
        <v>13461</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13466</v>
      </c>
      <c r="Z48" s="430"/>
      <c r="AA48" s="719" t="s">
        <v>13460</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13468</v>
      </c>
      <c r="X49" s="430">
        <v>0.5</v>
      </c>
      <c r="Z49" s="1343" t="s">
        <v>13465</v>
      </c>
      <c r="AA49" s="1343" t="s">
        <v>13461</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13467</v>
      </c>
      <c r="AA50" s="719" t="s">
        <v>13460</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13465</v>
      </c>
      <c r="AA51" s="1343" t="s">
        <v>13461</v>
      </c>
      <c r="AB51" s="1346">
        <v>11</v>
      </c>
      <c r="AC51" s="1346">
        <v>12</v>
      </c>
      <c r="AD51" s="1346">
        <v>12</v>
      </c>
      <c r="AE51" s="1346">
        <v>12</v>
      </c>
      <c r="AF51" s="1346">
        <v>12</v>
      </c>
      <c r="AG51" s="1346">
        <v>12</v>
      </c>
      <c r="AH51" s="1346">
        <v>11</v>
      </c>
      <c r="AI51" s="1346">
        <v>11</v>
      </c>
    </row>
    <row r="52" spans="1:55" ht="15">
      <c r="A52" s="89"/>
      <c r="B52" s="97"/>
      <c r="C52" s="94"/>
      <c r="D52" s="117" t="s">
        <v>14404</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2117</v>
      </c>
      <c r="T54" s="120" t="s">
        <v>14783</v>
      </c>
      <c r="U54" s="120" t="s">
        <v>14782</v>
      </c>
      <c r="V54" s="120"/>
      <c r="W54" s="120"/>
      <c r="X54" s="120"/>
      <c r="Y54" s="120"/>
      <c r="Z54" s="120"/>
      <c r="AA54" s="120" t="s">
        <v>13469</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25"/>
      <c r="AU54" s="1825"/>
      <c r="AV54" s="1825"/>
      <c r="AW54" s="1825"/>
      <c r="AX54" s="1825"/>
      <c r="AY54" s="1825"/>
      <c r="AZ54" s="1825"/>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26"/>
      <c r="AV55" s="1825"/>
      <c r="AW55" s="1825"/>
      <c r="AX55" s="1825"/>
      <c r="AY55" s="1825"/>
      <c r="AZ55" s="1825"/>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14784</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14787</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134.74890817610063</v>
      </c>
      <c r="K61" s="993">
        <f>SUMIF($E$20:$E$32,$D61,L$20:L$32)*0.9</f>
        <v>164.89011132075473</v>
      </c>
      <c r="L61" s="564">
        <v>3</v>
      </c>
      <c r="M61" s="674">
        <f>SUMIF($C$6:$AZ$6,D61,$C$8:$AZ$8)</f>
        <v>0</v>
      </c>
      <c r="N61" s="991">
        <f>M61</f>
        <v>0</v>
      </c>
      <c r="O61" s="991">
        <f t="shared" ref="O61:Q61" si="32">N61</f>
        <v>0</v>
      </c>
      <c r="P61" s="991">
        <f t="shared" si="32"/>
        <v>0</v>
      </c>
      <c r="Q61" s="991">
        <f t="shared" si="32"/>
        <v>0</v>
      </c>
      <c r="R61" s="141">
        <v>2012</v>
      </c>
      <c r="S61" s="1245" t="str">
        <f>$S$58</f>
        <v/>
      </c>
      <c r="T61" s="1785" t="s">
        <v>14785</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89.731667037001685</v>
      </c>
      <c r="K63" s="993">
        <f t="shared" si="34"/>
        <v>109.80322413738365</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2119</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1390"/>
      <c r="H69" s="1390"/>
      <c r="I69" s="1390"/>
      <c r="J69" s="1390"/>
      <c r="K69" s="1390"/>
      <c r="L69" s="564"/>
      <c r="M69" s="991" t="str">
        <f>""</f>
        <v/>
      </c>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7">F58*1.5</f>
        <v>67.518333333333331</v>
      </c>
      <c r="G76" s="993">
        <f t="shared" si="37"/>
        <v>67.518333333333331</v>
      </c>
      <c r="H76" s="993">
        <f t="shared" si="37"/>
        <v>67.959166666666661</v>
      </c>
      <c r="I76" s="993">
        <f>I58*1.5</f>
        <v>68.400000000000006</v>
      </c>
      <c r="J76" s="993">
        <f t="shared" ref="J76:K76" si="38">J58*1.5</f>
        <v>68.400000000000006</v>
      </c>
      <c r="K76" s="993">
        <f t="shared" si="38"/>
        <v>68.400000000000006</v>
      </c>
      <c r="L76" s="566">
        <v>3</v>
      </c>
      <c r="M76" s="674"/>
      <c r="N76" s="564"/>
      <c r="O76" s="564"/>
      <c r="P76" s="564"/>
      <c r="Q76" s="992"/>
      <c r="R76" s="141">
        <v>2012</v>
      </c>
      <c r="S76" s="1245" t="str">
        <f t="shared" ref="S76:S88" si="39">$S$58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0">SUMIF($D$35:$D$40,$B77,H$35:H$40)*$E$52</f>
        <v>96.698294762691319</v>
      </c>
      <c r="H77" s="993">
        <f t="shared" si="40"/>
        <v>70.492064666074782</v>
      </c>
      <c r="I77" s="993">
        <f t="shared" si="40"/>
        <v>79.547392192493575</v>
      </c>
      <c r="J77" s="993">
        <f t="shared" si="40"/>
        <v>102.83252011757041</v>
      </c>
      <c r="K77" s="993">
        <f t="shared" si="40"/>
        <v>124.82402982458743</v>
      </c>
      <c r="L77" s="622"/>
      <c r="M77" s="996"/>
      <c r="N77" s="623"/>
      <c r="O77" s="623"/>
      <c r="P77" s="623"/>
      <c r="Q77" s="997"/>
      <c r="R77" s="992">
        <f>'Gas Price'!K39</f>
        <v>2021</v>
      </c>
      <c r="S77" s="1245" t="str">
        <f t="shared" si="39"/>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0"/>
        <v>101.21583030771501</v>
      </c>
      <c r="H78" s="993">
        <f t="shared" si="40"/>
        <v>75.009600211098473</v>
      </c>
      <c r="I78" s="993">
        <f t="shared" si="40"/>
        <v>84.064927737517252</v>
      </c>
      <c r="J78" s="993">
        <f t="shared" si="40"/>
        <v>107.3500556625941</v>
      </c>
      <c r="K78" s="993">
        <f t="shared" si="40"/>
        <v>129.34156536961115</v>
      </c>
      <c r="L78" s="623" t="s">
        <v>162</v>
      </c>
      <c r="M78" s="996" t="s">
        <v>162</v>
      </c>
      <c r="N78" s="623" t="s">
        <v>162</v>
      </c>
      <c r="O78" s="623" t="s">
        <v>162</v>
      </c>
      <c r="P78" s="623" t="s">
        <v>162</v>
      </c>
      <c r="Q78" s="623" t="s">
        <v>162</v>
      </c>
      <c r="R78" s="564">
        <f>'Gas Price'!K44</f>
        <v>2020</v>
      </c>
      <c r="S78" s="1245" t="str">
        <f t="shared" si="39"/>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1">"IMP"&amp;D79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2">SUMIF($C$6:$AZ$6,D79,$C$9:$AZ$9)</f>
        <v>170.374545454545</v>
      </c>
      <c r="N79" s="564"/>
      <c r="O79" s="564"/>
      <c r="P79" s="564"/>
      <c r="Q79" s="992"/>
      <c r="R79" s="141">
        <v>2012</v>
      </c>
      <c r="S79" s="1245" t="str">
        <f t="shared" si="39"/>
        <v/>
      </c>
      <c r="T79" s="1786" t="s">
        <v>14786</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1"/>
        <v>IMPOAG</v>
      </c>
      <c r="C80" s="124"/>
      <c r="D80" s="1119" t="str">
        <f>NameConv!C34</f>
        <v>OAG</v>
      </c>
      <c r="E80" s="563">
        <v>0</v>
      </c>
      <c r="F80" s="993">
        <f t="shared" ref="F80:K80" si="43">F83</f>
        <v>209.42526535752322</v>
      </c>
      <c r="G80" s="993">
        <f t="shared" si="43"/>
        <v>176.89791488762791</v>
      </c>
      <c r="H80" s="993">
        <f t="shared" si="43"/>
        <v>129.68934115889218</v>
      </c>
      <c r="I80" s="993">
        <f t="shared" si="43"/>
        <v>144.96619006194166</v>
      </c>
      <c r="J80" s="993">
        <f t="shared" si="43"/>
        <v>188.31867803691614</v>
      </c>
      <c r="K80" s="993">
        <f t="shared" si="43"/>
        <v>229.26269445772533</v>
      </c>
      <c r="L80" s="564">
        <v>0</v>
      </c>
      <c r="M80" s="674">
        <f t="shared" si="42"/>
        <v>1.394321535205479</v>
      </c>
      <c r="N80" s="564"/>
      <c r="O80" s="564"/>
      <c r="P80" s="564"/>
      <c r="Q80" s="992"/>
      <c r="R80" s="141">
        <v>2012</v>
      </c>
      <c r="S80" s="1245" t="str">
        <f t="shared" si="39"/>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1"/>
        <v>IMPOCR</v>
      </c>
      <c r="C81" s="124"/>
      <c r="D81" s="1119" t="str">
        <f>NameConv!C35</f>
        <v>OCR</v>
      </c>
      <c r="E81" s="563">
        <v>0</v>
      </c>
      <c r="F81" s="993">
        <f t="shared" ref="F81:F86" si="44">SUMIF($E$20:$E$32,$D81,F$20:F$32)</f>
        <v>166.9851769718156</v>
      </c>
      <c r="G81" s="993">
        <f t="shared" ref="G81:K86" si="45">SUMIF($E$20:$E$32,$D81,H$20:H$32)</f>
        <v>140.37937704262814</v>
      </c>
      <c r="H81" s="993">
        <f t="shared" si="45"/>
        <v>100.47067714884695</v>
      </c>
      <c r="I81" s="993">
        <f t="shared" si="45"/>
        <v>114.26077009084555</v>
      </c>
      <c r="J81" s="993">
        <f t="shared" si="45"/>
        <v>149.72100908455624</v>
      </c>
      <c r="K81" s="993">
        <f t="shared" si="45"/>
        <v>183.21123480083858</v>
      </c>
      <c r="L81" s="564">
        <v>0</v>
      </c>
      <c r="M81" s="674">
        <f t="shared" si="42"/>
        <v>941.22622485351599</v>
      </c>
      <c r="N81" s="564"/>
      <c r="O81" s="564"/>
      <c r="P81" s="564"/>
      <c r="Q81" s="992"/>
      <c r="R81" s="141">
        <v>2012</v>
      </c>
      <c r="S81" s="1245" t="str">
        <f t="shared" si="39"/>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1"/>
        <v>IMPODS</v>
      </c>
      <c r="C82" s="124"/>
      <c r="D82" s="1119" t="str">
        <f>NameConv!C36</f>
        <v>ODS</v>
      </c>
      <c r="E82" s="563">
        <v>0</v>
      </c>
      <c r="F82" s="993">
        <f t="shared" si="44"/>
        <v>201.2610667459243</v>
      </c>
      <c r="G82" s="993">
        <f t="shared" si="45"/>
        <v>168.9185358336494</v>
      </c>
      <c r="H82" s="993">
        <f t="shared" si="45"/>
        <v>119.88592507685335</v>
      </c>
      <c r="I82" s="993">
        <f t="shared" si="45"/>
        <v>137.16824623619675</v>
      </c>
      <c r="J82" s="993">
        <f t="shared" si="45"/>
        <v>180.2744065043789</v>
      </c>
      <c r="K82" s="993">
        <f t="shared" si="45"/>
        <v>220.98578009099538</v>
      </c>
      <c r="L82" s="564">
        <v>0</v>
      </c>
      <c r="M82" s="674">
        <f t="shared" si="42"/>
        <v>140.06492</v>
      </c>
      <c r="N82" s="564"/>
      <c r="O82" s="564"/>
      <c r="P82" s="564"/>
      <c r="Q82" s="992"/>
      <c r="R82" s="141">
        <v>2012</v>
      </c>
      <c r="S82" s="1245" t="str">
        <f t="shared" si="39"/>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1"/>
        <v>IMPOGS</v>
      </c>
      <c r="C83" s="124"/>
      <c r="D83" s="1119" t="str">
        <f>NameConv!C37</f>
        <v>OGS</v>
      </c>
      <c r="E83" s="563">
        <v>0</v>
      </c>
      <c r="F83" s="993">
        <f t="shared" si="44"/>
        <v>209.42526535752322</v>
      </c>
      <c r="G83" s="993">
        <f t="shared" si="45"/>
        <v>176.89791488762791</v>
      </c>
      <c r="H83" s="993">
        <f t="shared" si="45"/>
        <v>129.68934115889218</v>
      </c>
      <c r="I83" s="993">
        <f t="shared" si="45"/>
        <v>144.96619006194166</v>
      </c>
      <c r="J83" s="993">
        <f t="shared" si="45"/>
        <v>188.31867803691614</v>
      </c>
      <c r="K83" s="993">
        <f t="shared" si="45"/>
        <v>229.26269445772533</v>
      </c>
      <c r="L83" s="566">
        <v>0</v>
      </c>
      <c r="M83" s="674">
        <f t="shared" si="42"/>
        <v>63.331960000000002</v>
      </c>
      <c r="N83" s="564"/>
      <c r="O83" s="564"/>
      <c r="P83" s="564"/>
      <c r="Q83" s="992"/>
      <c r="R83" s="141">
        <v>2012</v>
      </c>
      <c r="S83" s="1245" t="str">
        <f t="shared" si="39"/>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1"/>
        <v>IMPOHF</v>
      </c>
      <c r="C84" s="124"/>
      <c r="D84" s="1119" t="str">
        <f>NameConv!C38</f>
        <v>OHF</v>
      </c>
      <c r="E84" s="563">
        <v>0</v>
      </c>
      <c r="F84" s="993">
        <f t="shared" si="44"/>
        <v>166.9851769718156</v>
      </c>
      <c r="G84" s="993">
        <f t="shared" si="45"/>
        <v>140.37937704262814</v>
      </c>
      <c r="H84" s="993">
        <f t="shared" si="45"/>
        <v>100.47067714884695</v>
      </c>
      <c r="I84" s="993">
        <f t="shared" si="45"/>
        <v>114.26077009084555</v>
      </c>
      <c r="J84" s="993">
        <f t="shared" si="45"/>
        <v>149.72100908455624</v>
      </c>
      <c r="K84" s="993">
        <f t="shared" si="45"/>
        <v>183.21123480083858</v>
      </c>
      <c r="L84" s="564">
        <v>0</v>
      </c>
      <c r="M84" s="674">
        <f t="shared" si="42"/>
        <v>4.206396917894736</v>
      </c>
      <c r="N84" s="564"/>
      <c r="O84" s="564"/>
      <c r="P84" s="564"/>
      <c r="Q84" s="992"/>
      <c r="R84" s="141">
        <v>2012</v>
      </c>
      <c r="S84" s="1245" t="str">
        <f t="shared" si="39"/>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1"/>
        <v>IMPOLP</v>
      </c>
      <c r="C85" s="124"/>
      <c r="D85" s="1119" t="str">
        <f>NameConv!C40</f>
        <v>OLP</v>
      </c>
      <c r="E85" s="563">
        <v>0</v>
      </c>
      <c r="F85" s="993">
        <f t="shared" si="44"/>
        <v>346.68482921917371</v>
      </c>
      <c r="G85" s="993">
        <f t="shared" si="45"/>
        <v>319.65503107552286</v>
      </c>
      <c r="H85" s="993">
        <f t="shared" si="45"/>
        <v>279.11033386004658</v>
      </c>
      <c r="I85" s="993">
        <f t="shared" si="45"/>
        <v>293.12018996647748</v>
      </c>
      <c r="J85" s="993">
        <f t="shared" si="45"/>
        <v>329.14553424015708</v>
      </c>
      <c r="K85" s="993">
        <f t="shared" si="45"/>
        <v>363.16947049863222</v>
      </c>
      <c r="L85" s="564">
        <v>0</v>
      </c>
      <c r="M85" s="674">
        <v>0.66</v>
      </c>
      <c r="N85" s="564"/>
      <c r="O85" s="564"/>
      <c r="P85" s="564"/>
      <c r="Q85" s="992"/>
      <c r="R85" s="141">
        <v>2012</v>
      </c>
      <c r="S85" s="1245" t="str">
        <f t="shared" si="39"/>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1"/>
        <v>IMPOKE</v>
      </c>
      <c r="C86" s="124"/>
      <c r="D86" s="1119" t="str">
        <f>NameConv!C39</f>
        <v>OKE</v>
      </c>
      <c r="E86" s="563">
        <v>0</v>
      </c>
      <c r="F86" s="993">
        <f t="shared" si="44"/>
        <v>208.85766933112501</v>
      </c>
      <c r="G86" s="993">
        <f t="shared" si="45"/>
        <v>177.62067879320267</v>
      </c>
      <c r="H86" s="993">
        <f t="shared" si="45"/>
        <v>130.76519298631914</v>
      </c>
      <c r="I86" s="993">
        <f t="shared" si="45"/>
        <v>146.95568543130369</v>
      </c>
      <c r="J86" s="993">
        <f t="shared" si="45"/>
        <v>188.58838028983538</v>
      </c>
      <c r="K86" s="993">
        <f t="shared" si="45"/>
        <v>227.90814765622645</v>
      </c>
      <c r="L86" s="564">
        <v>0</v>
      </c>
      <c r="M86" s="674">
        <f t="shared" si="42"/>
        <v>9.3231960462962959</v>
      </c>
      <c r="N86" s="564"/>
      <c r="O86" s="564"/>
      <c r="P86" s="564"/>
      <c r="Q86" s="992"/>
      <c r="R86" s="141">
        <v>2012</v>
      </c>
      <c r="S86" s="1245" t="str">
        <f t="shared" si="39"/>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1"/>
        <v>IMPBID</v>
      </c>
      <c r="C87" s="124"/>
      <c r="D87" s="1119" t="str">
        <f>NameConv!C7</f>
        <v>BID</v>
      </c>
      <c r="E87" s="563">
        <v>0</v>
      </c>
      <c r="F87" s="993">
        <f t="shared" ref="F87:K88" si="46">F82*1.05</f>
        <v>211.32412008322052</v>
      </c>
      <c r="G87" s="993">
        <f t="shared" si="46"/>
        <v>177.36446262533187</v>
      </c>
      <c r="H87" s="993">
        <f>H82*1.05</f>
        <v>125.88022133069603</v>
      </c>
      <c r="I87" s="993">
        <f t="shared" si="46"/>
        <v>144.02665854800659</v>
      </c>
      <c r="J87" s="993">
        <f t="shared" si="46"/>
        <v>189.28812682959784</v>
      </c>
      <c r="K87" s="993">
        <f t="shared" si="46"/>
        <v>232.03506909554517</v>
      </c>
      <c r="L87" s="564">
        <v>0</v>
      </c>
      <c r="M87" s="674"/>
      <c r="N87" s="564"/>
      <c r="O87" s="564"/>
      <c r="P87" s="564"/>
      <c r="Q87" s="992"/>
      <c r="R87" s="141">
        <v>2012</v>
      </c>
      <c r="S87" s="1245" t="str">
        <f t="shared" si="39"/>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6"/>
        <v>219.89652862539938</v>
      </c>
      <c r="G88" s="993">
        <f t="shared" si="46"/>
        <v>185.74281063200931</v>
      </c>
      <c r="H88" s="993">
        <f>H83*1.05</f>
        <v>136.17380821683679</v>
      </c>
      <c r="I88" s="993">
        <f t="shared" si="46"/>
        <v>152.21449956503875</v>
      </c>
      <c r="J88" s="993">
        <f t="shared" si="46"/>
        <v>197.73461193876196</v>
      </c>
      <c r="K88" s="993">
        <f t="shared" si="46"/>
        <v>240.72582918061161</v>
      </c>
      <c r="L88" s="564">
        <v>0</v>
      </c>
      <c r="M88" s="674"/>
      <c r="N88" s="564"/>
      <c r="O88" s="564"/>
      <c r="P88" s="564"/>
      <c r="Q88" s="992"/>
      <c r="R88" s="141">
        <v>2012</v>
      </c>
      <c r="S88" s="1245" t="str">
        <f t="shared" si="39"/>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7">F59</f>
        <v>15</v>
      </c>
      <c r="G90" s="993">
        <f t="shared" si="47"/>
        <v>15</v>
      </c>
      <c r="H90" s="993">
        <f t="shared" si="47"/>
        <v>16.714848757138416</v>
      </c>
      <c r="I90" s="993">
        <f t="shared" si="47"/>
        <v>18.429697514276832</v>
      </c>
      <c r="J90" s="993">
        <f t="shared" si="47"/>
        <v>18.429697514276832</v>
      </c>
      <c r="K90" s="993">
        <f t="shared" si="47"/>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8">F92</f>
        <v>100.07852866986421</v>
      </c>
      <c r="G91" s="993">
        <f t="shared" ca="1" si="48"/>
        <v>84.132985722376887</v>
      </c>
      <c r="H91" s="993">
        <f t="shared" ca="1" si="48"/>
        <v>100.07852866986421</v>
      </c>
      <c r="I91" s="993">
        <f t="shared" ca="1" si="48"/>
        <v>100.07852866986421</v>
      </c>
      <c r="J91" s="993">
        <f t="shared" ca="1" si="48"/>
        <v>100.07852866986421</v>
      </c>
      <c r="K91" s="993">
        <f t="shared" ca="1" si="48"/>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f>
        <v>140</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49">-70*3.6/7.4</f>
        <v>-34.054054054054049</v>
      </c>
      <c r="G95" s="993">
        <f t="shared" si="49"/>
        <v>-34.054054054054049</v>
      </c>
      <c r="H95" s="993">
        <f t="shared" si="49"/>
        <v>-34.054054054054049</v>
      </c>
      <c r="I95" s="993">
        <f t="shared" si="49"/>
        <v>-34.054054054054049</v>
      </c>
      <c r="J95" s="993">
        <f t="shared" si="49"/>
        <v>-34.054054054054049</v>
      </c>
      <c r="K95" s="993">
        <f t="shared" si="49"/>
        <v>-34.054054054054049</v>
      </c>
      <c r="L95" s="564">
        <v>0</v>
      </c>
      <c r="M95" s="674">
        <f>SUMIF($C$6:$AZ$6,D95,$C$10:$AZ$10)</f>
        <v>54.125999999999998</v>
      </c>
      <c r="N95" s="564"/>
      <c r="O95" s="564"/>
      <c r="P95" s="564"/>
      <c r="Q95" s="992"/>
      <c r="R95" s="141">
        <v>2012</v>
      </c>
      <c r="S95" s="1245" t="str">
        <f t="shared" ref="S95:S103" si="50">$S$58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1">"PEX"&amp;D96</f>
        <v>PEXCOA</v>
      </c>
      <c r="C96" s="124"/>
      <c r="D96" s="1119" t="str">
        <f>NameConv!C11</f>
        <v>COA</v>
      </c>
      <c r="E96" s="563">
        <v>3</v>
      </c>
      <c r="F96" s="993">
        <f t="shared" ref="F96:K96" si="52">F58*$B$94</f>
        <v>-42.761611111111108</v>
      </c>
      <c r="G96" s="993">
        <f t="shared" si="52"/>
        <v>-42.761611111111108</v>
      </c>
      <c r="H96" s="993">
        <f t="shared" si="52"/>
        <v>-43.040805555555551</v>
      </c>
      <c r="I96" s="993">
        <f t="shared" si="52"/>
        <v>-43.32</v>
      </c>
      <c r="J96" s="993">
        <f t="shared" si="52"/>
        <v>-43.32</v>
      </c>
      <c r="K96" s="993">
        <f t="shared" si="52"/>
        <v>-43.32</v>
      </c>
      <c r="L96" s="564">
        <v>3</v>
      </c>
      <c r="M96" s="674">
        <f t="shared" ref="M96:M103" si="53">SUMIF($C$6:$AZ$6,D96,$C$10:$AZ$10)</f>
        <v>2129.9962500000001</v>
      </c>
      <c r="N96" s="564">
        <v>1727</v>
      </c>
      <c r="O96" s="564">
        <v>1727</v>
      </c>
      <c r="P96" s="564">
        <v>1727</v>
      </c>
      <c r="Q96" s="992">
        <v>1727</v>
      </c>
      <c r="R96" s="141">
        <v>2012</v>
      </c>
      <c r="S96" s="1245" t="str">
        <f t="shared" si="50"/>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1"/>
        <v>PEXCOK</v>
      </c>
      <c r="C97" s="124"/>
      <c r="D97" s="1119" t="str">
        <f>NameConv!C12</f>
        <v>COK</v>
      </c>
      <c r="E97" s="563">
        <v>0</v>
      </c>
      <c r="F97" s="993">
        <f t="shared" ref="F97:K97" si="54">F76*$B$94</f>
        <v>-64.142416666666662</v>
      </c>
      <c r="G97" s="993">
        <f t="shared" si="54"/>
        <v>-64.142416666666662</v>
      </c>
      <c r="H97" s="993">
        <f t="shared" si="54"/>
        <v>-64.561208333333326</v>
      </c>
      <c r="I97" s="993">
        <f t="shared" si="54"/>
        <v>-64.98</v>
      </c>
      <c r="J97" s="993">
        <f t="shared" si="54"/>
        <v>-64.98</v>
      </c>
      <c r="K97" s="993">
        <f t="shared" si="54"/>
        <v>-64.98</v>
      </c>
      <c r="L97" s="564">
        <v>0</v>
      </c>
      <c r="M97" s="674">
        <f t="shared" si="53"/>
        <v>20.834015000000001</v>
      </c>
      <c r="N97" s="564"/>
      <c r="O97" s="564"/>
      <c r="P97" s="564"/>
      <c r="Q97" s="992"/>
      <c r="R97" s="141">
        <v>2012</v>
      </c>
      <c r="S97" s="1245" t="str">
        <f t="shared" si="50"/>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1"/>
        <v>PEXOAG</v>
      </c>
      <c r="C98" s="124"/>
      <c r="D98" s="1119" t="str">
        <f>NameConv!C34</f>
        <v>OAG</v>
      </c>
      <c r="E98" s="563">
        <v>0</v>
      </c>
      <c r="F98" s="993">
        <f t="shared" ref="F98:K98" si="55">F101</f>
        <v>-198.95400208964705</v>
      </c>
      <c r="G98" s="993">
        <f t="shared" si="55"/>
        <v>-168.0530191432465</v>
      </c>
      <c r="H98" s="993">
        <f t="shared" si="55"/>
        <v>-123.20487410094756</v>
      </c>
      <c r="I98" s="993">
        <f t="shared" si="55"/>
        <v>-137.71788055884457</v>
      </c>
      <c r="J98" s="993">
        <f t="shared" si="55"/>
        <v>-178.90274413507032</v>
      </c>
      <c r="K98" s="993">
        <f t="shared" si="55"/>
        <v>-217.79955973483905</v>
      </c>
      <c r="L98" s="564">
        <v>0</v>
      </c>
      <c r="M98" s="674">
        <f t="shared" si="53"/>
        <v>0.22564281164383562</v>
      </c>
      <c r="N98" s="564"/>
      <c r="O98" s="564"/>
      <c r="P98" s="564"/>
      <c r="Q98" s="992"/>
      <c r="R98" s="141">
        <v>2012</v>
      </c>
      <c r="S98" s="1245" t="str">
        <f t="shared" si="50"/>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1"/>
        <v>PEXOCR</v>
      </c>
      <c r="C99" s="124"/>
      <c r="D99" s="1119" t="str">
        <f>NameConv!C35</f>
        <v>OCR</v>
      </c>
      <c r="E99" s="563">
        <v>0</v>
      </c>
      <c r="F99" s="993">
        <f t="shared" ref="F99:F103" si="56">SUMIF($E$20:$E$32,$D99,F$20:F$32)*$B$94</f>
        <v>-158.63591812322483</v>
      </c>
      <c r="G99" s="993">
        <f t="shared" ref="G99:K103" si="57">SUMIF($E$20:$E$32,$D99,H$20:H$32)*$B$94</f>
        <v>-133.36040819049671</v>
      </c>
      <c r="H99" s="993">
        <f t="shared" si="57"/>
        <v>-95.447143291404601</v>
      </c>
      <c r="I99" s="993">
        <f t="shared" si="57"/>
        <v>-108.54773158630327</v>
      </c>
      <c r="J99" s="993">
        <f t="shared" si="57"/>
        <v>-142.23495863032844</v>
      </c>
      <c r="K99" s="993">
        <f t="shared" si="57"/>
        <v>-174.05067306079664</v>
      </c>
      <c r="L99" s="564">
        <v>0</v>
      </c>
      <c r="M99" s="674">
        <f t="shared" si="53"/>
        <v>20.83803412968</v>
      </c>
      <c r="N99" s="564"/>
      <c r="O99" s="564"/>
      <c r="P99" s="564"/>
      <c r="Q99" s="992"/>
      <c r="R99" s="141">
        <v>2012</v>
      </c>
      <c r="S99" s="1245" t="str">
        <f t="shared" si="50"/>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1"/>
        <v>PEXODS</v>
      </c>
      <c r="C100" s="124"/>
      <c r="D100" s="1119" t="str">
        <f>NameConv!C36</f>
        <v>ODS</v>
      </c>
      <c r="E100" s="563">
        <v>0</v>
      </c>
      <c r="F100" s="993">
        <f t="shared" si="56"/>
        <v>-191.19801340862807</v>
      </c>
      <c r="G100" s="993">
        <f t="shared" si="57"/>
        <v>-160.47260904196693</v>
      </c>
      <c r="H100" s="993">
        <f t="shared" si="57"/>
        <v>-113.89162882301068</v>
      </c>
      <c r="I100" s="993">
        <f t="shared" si="57"/>
        <v>-130.30983392438691</v>
      </c>
      <c r="J100" s="993">
        <f t="shared" si="57"/>
        <v>-171.26068617915996</v>
      </c>
      <c r="K100" s="993">
        <f t="shared" si="57"/>
        <v>-209.93649108644559</v>
      </c>
      <c r="L100" s="564">
        <v>0</v>
      </c>
      <c r="M100" s="674">
        <f t="shared" si="53"/>
        <v>28.73659252275862</v>
      </c>
      <c r="N100" s="564"/>
      <c r="O100" s="564"/>
      <c r="P100" s="564"/>
      <c r="Q100" s="992"/>
      <c r="R100" s="141">
        <v>2012</v>
      </c>
      <c r="S100" s="1245" t="str">
        <f t="shared" si="50"/>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1"/>
        <v>PEXOGS</v>
      </c>
      <c r="C101" s="124"/>
      <c r="D101" s="1119" t="str">
        <f>NameConv!C37</f>
        <v>OGS</v>
      </c>
      <c r="E101" s="563">
        <v>0</v>
      </c>
      <c r="F101" s="993">
        <f t="shared" si="56"/>
        <v>-198.95400208964705</v>
      </c>
      <c r="G101" s="993">
        <f t="shared" si="57"/>
        <v>-168.0530191432465</v>
      </c>
      <c r="H101" s="993">
        <f t="shared" si="57"/>
        <v>-123.20487410094756</v>
      </c>
      <c r="I101" s="993">
        <f t="shared" si="57"/>
        <v>-137.71788055884457</v>
      </c>
      <c r="J101" s="993">
        <f t="shared" si="57"/>
        <v>-178.90274413507032</v>
      </c>
      <c r="K101" s="993">
        <f t="shared" si="57"/>
        <v>-217.79955973483905</v>
      </c>
      <c r="L101" s="564">
        <v>0</v>
      </c>
      <c r="M101" s="674">
        <f t="shared" si="53"/>
        <v>3.5488458656756761</v>
      </c>
      <c r="N101" s="564"/>
      <c r="O101" s="564"/>
      <c r="P101" s="564"/>
      <c r="Q101" s="992"/>
      <c r="R101" s="141">
        <v>2012</v>
      </c>
      <c r="S101" s="1245" t="str">
        <f t="shared" si="50"/>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1"/>
        <v>PEXOHF</v>
      </c>
      <c r="C102" s="124"/>
      <c r="D102" s="1119" t="str">
        <f>NameConv!C38</f>
        <v>OHF</v>
      </c>
      <c r="E102" s="563">
        <v>0</v>
      </c>
      <c r="F102" s="993">
        <f t="shared" si="56"/>
        <v>-158.63591812322483</v>
      </c>
      <c r="G102" s="993">
        <f t="shared" si="57"/>
        <v>-133.36040819049671</v>
      </c>
      <c r="H102" s="993">
        <f t="shared" si="57"/>
        <v>-95.447143291404601</v>
      </c>
      <c r="I102" s="993">
        <f t="shared" si="57"/>
        <v>-108.54773158630327</v>
      </c>
      <c r="J102" s="993">
        <f t="shared" si="57"/>
        <v>-142.23495863032844</v>
      </c>
      <c r="K102" s="993">
        <f t="shared" si="57"/>
        <v>-174.05067306079664</v>
      </c>
      <c r="L102" s="564">
        <v>0</v>
      </c>
      <c r="M102" s="674"/>
      <c r="N102" s="564"/>
      <c r="O102" s="564"/>
      <c r="P102" s="564"/>
      <c r="Q102" s="992"/>
      <c r="R102" s="141">
        <v>2012</v>
      </c>
      <c r="S102" s="1245" t="str">
        <f t="shared" si="50"/>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1"/>
        <v>PEXOKE</v>
      </c>
      <c r="C103" s="124"/>
      <c r="D103" s="1119" t="str">
        <f>NameConv!C39</f>
        <v>OKE</v>
      </c>
      <c r="E103" s="563">
        <v>0</v>
      </c>
      <c r="F103" s="993">
        <f t="shared" si="56"/>
        <v>-198.41478586456876</v>
      </c>
      <c r="G103" s="993">
        <f t="shared" si="57"/>
        <v>-168.73964485354253</v>
      </c>
      <c r="H103" s="993">
        <f t="shared" si="57"/>
        <v>-124.22693333700317</v>
      </c>
      <c r="I103" s="993">
        <f t="shared" si="57"/>
        <v>-139.6079011597385</v>
      </c>
      <c r="J103" s="993">
        <f t="shared" si="57"/>
        <v>-179.15896127534361</v>
      </c>
      <c r="K103" s="993">
        <f t="shared" si="57"/>
        <v>-216.51274027341512</v>
      </c>
      <c r="L103" s="564">
        <v>0</v>
      </c>
      <c r="M103" s="674">
        <f t="shared" si="53"/>
        <v>5.0273560461728382</v>
      </c>
      <c r="N103" s="564"/>
      <c r="O103" s="564"/>
      <c r="P103" s="564"/>
      <c r="Q103" s="992"/>
      <c r="R103" s="141">
        <v>2012</v>
      </c>
      <c r="S103" s="1245" t="str">
        <f t="shared" si="50"/>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disablePrompts="1"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workbookViewId="0"/>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13420</v>
      </c>
      <c r="D9" s="163" t="s">
        <v>1027</v>
      </c>
      <c r="E9" s="438" t="s">
        <v>13421</v>
      </c>
      <c r="F9" s="438" t="s">
        <v>1028</v>
      </c>
      <c r="G9" s="845"/>
    </row>
    <row r="10" spans="1:9" s="163" customFormat="1">
      <c r="A10" s="163" t="s">
        <v>310</v>
      </c>
      <c r="B10" s="845" t="s">
        <v>317</v>
      </c>
      <c r="C10" s="846"/>
      <c r="D10" s="845"/>
      <c r="E10" s="845"/>
      <c r="F10" s="845"/>
      <c r="G10" s="845"/>
    </row>
    <row r="11" spans="1:9" s="163" customFormat="1">
      <c r="B11" s="438" t="str">
        <f>IF(A11="*","","T")</f>
        <v>T</v>
      </c>
      <c r="C11" s="163" t="s">
        <v>13419</v>
      </c>
      <c r="D11" s="163" t="s">
        <v>13418</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1869</v>
      </c>
      <c r="C14" s="163" t="s">
        <v>13450</v>
      </c>
      <c r="D14" s="163" t="s">
        <v>13447</v>
      </c>
      <c r="E14" s="438" t="s">
        <v>13448</v>
      </c>
      <c r="F14" s="438" t="s">
        <v>13449</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100" r:id="rId4" name="cmdSpecifySets">
          <controlPr defaultSize="0" autoLine="0" r:id="rId5">
            <anchor moveWithCells="1">
              <from>
                <xdr:col>5</xdr:col>
                <xdr:colOff>19050</xdr:colOff>
                <xdr:row>3</xdr:row>
                <xdr:rowOff>0</xdr:rowOff>
              </from>
              <to>
                <xdr:col>6</xdr:col>
                <xdr:colOff>9525</xdr:colOff>
                <xdr:row>4</xdr:row>
                <xdr:rowOff>104775</xdr:rowOff>
              </to>
            </anchor>
          </controlPr>
        </control>
      </mc:Choice>
      <mc:Fallback>
        <control shapeId="4100" r:id="rId4" name="cmdSpecifySets"/>
      </mc:Fallback>
    </mc:AlternateContent>
    <mc:AlternateContent xmlns:mc="http://schemas.openxmlformats.org/markup-compatibility/2006">
      <mc:Choice Requires="x14">
        <control shapeId="4099" r:id="rId6" name="cmdSpecifyUnits">
          <controlPr defaultSize="0" autoLine="0" r:id="rId7">
            <anchor moveWithCells="1">
              <from>
                <xdr:col>4</xdr:col>
                <xdr:colOff>19050</xdr:colOff>
                <xdr:row>3</xdr:row>
                <xdr:rowOff>0</xdr:rowOff>
              </from>
              <to>
                <xdr:col>4</xdr:col>
                <xdr:colOff>676275</xdr:colOff>
                <xdr:row>4</xdr:row>
                <xdr:rowOff>104775</xdr:rowOff>
              </to>
            </anchor>
          </controlPr>
        </control>
      </mc:Choice>
      <mc:Fallback>
        <control shapeId="4099" r:id="rId6" name="cmdSpecifyUnits"/>
      </mc:Fallback>
    </mc:AlternateContent>
    <mc:AlternateContent xmlns:mc="http://schemas.openxmlformats.org/markup-compatibility/2006">
      <mc:Choice Requires="x14">
        <control shapeId="4098" r:id="rId8" name="cmdSpecifyComponent">
          <controlPr defaultSize="0" autoLine="0" autoPict="0" r:id="rId9">
            <anchor moveWithCells="1">
              <from>
                <xdr:col>1</xdr:col>
                <xdr:colOff>19050</xdr:colOff>
                <xdr:row>3</xdr:row>
                <xdr:rowOff>0</xdr:rowOff>
              </from>
              <to>
                <xdr:col>2</xdr:col>
                <xdr:colOff>152400</xdr:colOff>
                <xdr:row>4</xdr:row>
                <xdr:rowOff>95250</xdr:rowOff>
              </to>
            </anchor>
          </controlPr>
        </control>
      </mc:Choice>
      <mc:Fallback>
        <control shapeId="4098" r:id="rId8" name="cmdSpecifyComponent"/>
      </mc:Fallback>
    </mc:AlternateContent>
    <mc:AlternateContent xmlns:mc="http://schemas.openxmlformats.org/markup-compatibility/2006">
      <mc:Choice Requires="x14">
        <control shapeId="4097" r:id="rId10" name="cmdCheckItemsSheet">
          <controlPr defaultSize="0" autoLine="0" r:id="rId11">
            <anchor moveWithCells="1">
              <from>
                <xdr:col>0</xdr:col>
                <xdr:colOff>19050</xdr:colOff>
                <xdr:row>2</xdr:row>
                <xdr:rowOff>0</xdr:rowOff>
              </from>
              <to>
                <xdr:col>1</xdr:col>
                <xdr:colOff>0</xdr:colOff>
                <xdr:row>3</xdr:row>
                <xdr:rowOff>0</xdr:rowOff>
              </to>
            </anchor>
          </controlPr>
        </control>
      </mc:Choice>
      <mc:Fallback>
        <control shapeId="4097" r:id="rId10" name="cmdCheckItemsSheet"/>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opLeftCell="A109" workbookViewId="0">
      <selection activeCell="D118" sqref="D118"/>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134.74890817610063</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164.89011132075473</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89.731667037001685</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109.80322413738365</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t="str">
        <f ca="1">IFERROR(1*IF(IFERROR(VLOOKUP($C24,SUP!$B$54:$Q$104,MATCH($B24&amp;"-"&amp;J$7,SUP!$B$54:$Q$54,0),FALSE),"")="","",IFERROR(VLOOKUP($C24,SUP!$B$54:$Q$104,MATCH($B24&amp;"-"&amp;J$7,SUP!$B$54:$Q$54,0),FALSE),"")),"")</f>
        <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t="str">
        <f ca="1">IFERROR(1*IF(IFERROR(VLOOKUP($C24,SUP!$B$54:$Q$104,MATCH($B24&amp;"-"&amp;M$7,SUP!$B$54:$Q$54,0),FALSE),"")="","",IFERROR(VLOOKUP($C24,SUP!$B$54:$Q$104,MATCH($B24&amp;"-"&amp;M$7,SUP!$B$54:$Q$54,0),FALSE),"")),"")</f>
        <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t="str">
        <f ca="1">IFERROR(1*IF(IFERROR(VLOOKUP($C24,SUP!$B$54:$Q$104,MATCH($B24&amp;"-"&amp;R$7,SUP!$B$54:$Q$54,0),FALSE),"")="","",IFERROR(VLOOKUP($C24,SUP!$B$54:$Q$104,MATCH($B24&amp;"-"&amp;R$7,SUP!$B$54:$Q$54,0),FALSE),"")),"")</f>
        <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t="str">
        <f ca="1">IFERROR(1*IF(IFERROR(VLOOKUP($C24,SUP!$B$54:$Q$104,MATCH($B24&amp;"-"&amp;AB$7,SUP!$B$54:$Q$54,0),FALSE),"")="","",IFERROR(VLOOKUP($C24,SUP!$B$54:$Q$104,MATCH($B24&amp;"-"&amp;AB$7,SUP!$B$54:$Q$54,0),FALSE),"")),"")</f>
        <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t="str">
        <f ca="1">IFERROR(1*IF(IFERROR(VLOOKUP($C24,SUP!$B$54:$Q$104,MATCH($B24&amp;"-"&amp;AN$7,SUP!$B$54:$Q$54,0),FALSE),"")="","",IFERROR(VLOOKUP($C24,SUP!$B$54:$Q$104,MATCH($B24&amp;"-"&amp;AN$7,SUP!$B$54:$Q$54,0),FALSE),"")),"")</f>
        <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102.83252011757041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124.82402982458743</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107.3500556625941</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129.34156536961115</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188.31867803691614</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229.26269445772533</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149.72100908455624</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183.21123480083858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180.2744065043789</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220.98578009099538</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188.31867803691614</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229.26269445772533</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149.72100908455624</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183.21123480083858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329.14553424015708</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363.16947049863222</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188.58838028983538</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227.90814765622645</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189.28812682959784</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232.03506909554517</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197.73461193876196</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240.72582918061161</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-178.90274413507032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-217.79955973483905</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-142.23495863032844</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-174.05067306079664</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-171.26068617915996</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-209.93649108644559</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-178.90274413507032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-217.79955973483905</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-142.23495863032844</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-174.05067306079664</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-179.15896127534361</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-216.51274027341512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0.66</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140</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t="str">
        <f ca="1">IF(IFERROR(VLOOKUP($C94,SUP!$B$54:$Q$104,MATCH($B94&amp;"-"&amp;O$7,SUP!$B$54:$Q$54,0),FALSE),"")="","",IFERROR(VLOOKUP($C94,SUP!$B$54:$Q$104,MATCH($B94&amp;"-"&amp;O$7,SUP!$B$54:$Q$54,0),FALSE),""))</f>
        <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1727</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441"/>
      <c r="AM98" s="441" t="str">
        <f ca="1">IF(IFERROR(VLOOKUP($C98,SUP!$B$54:$Q$104,MATCH($B98&amp;"-"&amp;AM$7,SUP!$B$54:$Q$54,0),FALSE),"")="","",IFERROR(VLOOKUP($C98,SUP!$B$54:$Q$104,MATCH($B98&amp;"-"&amp;AM$7,SUP!$B$54:$Q$54,0),FALSE),""))</f>
        <v/>
      </c>
      <c r="AN98" s="441"/>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13980</v>
      </c>
    </row>
    <row r="114" spans="1:41">
      <c r="A114" s="1044" t="s">
        <v>310</v>
      </c>
      <c r="B114" s="1044" t="str">
        <f ca="1">B38</f>
        <v>ACT_COST</v>
      </c>
      <c r="C114" s="1044" t="str">
        <f ca="1">C38</f>
        <v>IMPOGS</v>
      </c>
      <c r="D114" s="1044" t="s">
        <v>13981</v>
      </c>
    </row>
    <row r="115" spans="1:41" ht="45">
      <c r="A115" s="1044" t="s">
        <v>310</v>
      </c>
      <c r="B115" s="1379" t="s">
        <v>332</v>
      </c>
      <c r="C115" s="1379" t="s">
        <v>13979</v>
      </c>
      <c r="D115" s="1379" t="s">
        <v>13980</v>
      </c>
      <c r="E115" s="1388" t="s">
        <v>13995</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100.30081703424179</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111.48655242348008</v>
      </c>
      <c r="AO115" s="42" t="str">
        <f ca="1">IF(SUMIFS(AO$8:AO$106,$C$8:$C$106,$C115,$B$8:$B$106,$B115),SUMIFS(AO$8:AO$106,$C$8:$C$106,$C115,$B$8:$B$106,$B115)*'Liq Fuel Prices'!$AR$71+'Liq Fuel Prices'!$AR$72,"")</f>
        <v/>
      </c>
    </row>
    <row r="116" spans="1:41" ht="45">
      <c r="A116" s="1044" t="s">
        <v>310</v>
      </c>
      <c r="B116" s="1379" t="s">
        <v>332</v>
      </c>
      <c r="C116" s="1379" t="s">
        <v>13979</v>
      </c>
      <c r="D116" s="1379" t="s">
        <v>13981</v>
      </c>
      <c r="E116" s="1388" t="s">
        <v>13994</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147.50070687519218</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163.26120709727462</v>
      </c>
      <c r="AO116" s="42" t="str">
        <f ca="1">IF(SUMIFS(AO$8:AO$106,$C$8:$C$106,$C116,$B$8:$B$106,$B116),SUMIFS(AO$8:AO$106,$C$8:$C$106,$C116,$B$8:$B$106,$B116)*'Liq Fuel Prices'!$AQ$71+'Liq Fuel Prices'!$AQ$72,"")</f>
        <v/>
      </c>
    </row>
    <row r="117" spans="1:41" ht="33.75">
      <c r="A117" s="1044" t="s">
        <v>310</v>
      </c>
      <c r="D117" s="1385" t="s">
        <v>13980</v>
      </c>
      <c r="E117" s="1385" t="s">
        <v>13993</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13981</v>
      </c>
      <c r="E118" s="1385" t="s">
        <v>13993</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13979</v>
      </c>
      <c r="D119" s="1044" t="s">
        <v>13980</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13979</v>
      </c>
      <c r="D120" s="1044" t="s">
        <v>13981</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13982</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13983</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9"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5129" r:id="rId4" name="cmdSpecifyIEOptcode"/>
      </mc:Fallback>
    </mc:AlternateContent>
    <mc:AlternateContent xmlns:mc="http://schemas.openxmlformats.org/markup-compatibility/2006">
      <mc:Choice Requires="x14">
        <control shapeId="5128" r:id="rId6" name="cmdSpecifyArg6">
          <controlPr defaultSize="0" autoLine="0" autoPict="0" r:id="rId7">
            <anchor moveWithCells="1">
              <from>
                <xdr:col>7</xdr:col>
                <xdr:colOff>0</xdr:colOff>
                <xdr:row>3</xdr:row>
                <xdr:rowOff>0</xdr:rowOff>
              </from>
              <to>
                <xdr:col>8</xdr:col>
                <xdr:colOff>19050</xdr:colOff>
                <xdr:row>4</xdr:row>
                <xdr:rowOff>95250</xdr:rowOff>
              </to>
            </anchor>
          </controlPr>
        </control>
      </mc:Choice>
      <mc:Fallback>
        <control shapeId="5128" r:id="rId6" name="cmdSpecifyArg6"/>
      </mc:Fallback>
    </mc:AlternateContent>
    <mc:AlternateContent xmlns:mc="http://schemas.openxmlformats.org/markup-compatibility/2006">
      <mc:Choice Requires="x14">
        <control shapeId="5127" r:id="rId8" name="cmdSpecifyArg5">
          <controlPr defaultSize="0" autoLine="0" autoPict="0" r:id="rId9">
            <anchor moveWithCells="1">
              <from>
                <xdr:col>6</xdr:col>
                <xdr:colOff>0</xdr:colOff>
                <xdr:row>3</xdr:row>
                <xdr:rowOff>0</xdr:rowOff>
              </from>
              <to>
                <xdr:col>7</xdr:col>
                <xdr:colOff>19050</xdr:colOff>
                <xdr:row>4</xdr:row>
                <xdr:rowOff>95250</xdr:rowOff>
              </to>
            </anchor>
          </controlPr>
        </control>
      </mc:Choice>
      <mc:Fallback>
        <control shapeId="5127" r:id="rId8" name="cmdSpecifyArg5"/>
      </mc:Fallback>
    </mc:AlternateContent>
    <mc:AlternateContent xmlns:mc="http://schemas.openxmlformats.org/markup-compatibility/2006">
      <mc:Choice Requires="x14">
        <control shapeId="5126" r:id="rId10" name="cmdSpecifyArg4">
          <controlPr defaultSize="0" autoLine="0" autoPict="0" r:id="rId11">
            <anchor moveWithCells="1">
              <from>
                <xdr:col>5</xdr:col>
                <xdr:colOff>0</xdr:colOff>
                <xdr:row>3</xdr:row>
                <xdr:rowOff>0</xdr:rowOff>
              </from>
              <to>
                <xdr:col>6</xdr:col>
                <xdr:colOff>19050</xdr:colOff>
                <xdr:row>4</xdr:row>
                <xdr:rowOff>95250</xdr:rowOff>
              </to>
            </anchor>
          </controlPr>
        </control>
      </mc:Choice>
      <mc:Fallback>
        <control shapeId="5126" r:id="rId10" name="cmdSpecifyArg4"/>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4"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5124" r:id="rId14" name="cmdSpecifyArg2"/>
      </mc:Fallback>
    </mc:AlternateContent>
    <mc:AlternateContent xmlns:mc="http://schemas.openxmlformats.org/markup-compatibility/2006">
      <mc:Choice Requires="x14">
        <control shapeId="5123"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5123" r:id="rId16" name="cmdSpecifyArg1"/>
      </mc:Fallback>
    </mc:AlternateContent>
    <mc:AlternateContent xmlns:mc="http://schemas.openxmlformats.org/markup-compatibility/2006">
      <mc:Choice Requires="x14">
        <control shapeId="5122"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5122" r:id="rId18" name="cmdSpecifyParameter"/>
      </mc:Fallback>
    </mc:AlternateContent>
    <mc:AlternateContent xmlns:mc="http://schemas.openxmlformats.org/markup-compatibility/2006">
      <mc:Choice Requires="x14">
        <control shapeId="5121"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5121" r:id="rId20" name="cmdCheckTSandTIDDataSheet"/>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1727</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topLeftCell="A235"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13432</v>
      </c>
      <c r="B9" s="162" t="s">
        <v>340</v>
      </c>
      <c r="C9" s="162" t="s">
        <v>333</v>
      </c>
      <c r="D9" s="162" t="s">
        <v>334</v>
      </c>
      <c r="E9" s="162" t="s">
        <v>341</v>
      </c>
      <c r="F9" s="162" t="s">
        <v>334</v>
      </c>
      <c r="G9" s="162" t="s">
        <v>334</v>
      </c>
      <c r="H9" s="162" t="s">
        <v>334</v>
      </c>
      <c r="I9" s="162">
        <v>1</v>
      </c>
      <c r="J9" s="167"/>
      <c r="M9" s="42">
        <f>SUP!$D$57</f>
        <v>2</v>
      </c>
    </row>
    <row r="10" spans="1:13">
      <c r="A10" s="42" t="s">
        <v>13433</v>
      </c>
      <c r="B10" s="162" t="s">
        <v>342</v>
      </c>
      <c r="C10" s="162" t="s">
        <v>333</v>
      </c>
      <c r="D10" s="162" t="s">
        <v>334</v>
      </c>
      <c r="E10" s="162" t="s">
        <v>334</v>
      </c>
      <c r="F10" s="162" t="s">
        <v>334</v>
      </c>
      <c r="G10" s="162" t="s">
        <v>334</v>
      </c>
      <c r="H10" s="162" t="s">
        <v>334</v>
      </c>
      <c r="I10" s="162">
        <v>1</v>
      </c>
      <c r="J10" s="167"/>
    </row>
    <row r="11" spans="1:13">
      <c r="A11" s="42" t="s">
        <v>13434</v>
      </c>
      <c r="B11" s="162" t="s">
        <v>344</v>
      </c>
      <c r="C11" s="162" t="s">
        <v>333</v>
      </c>
      <c r="D11" s="162" t="s">
        <v>345</v>
      </c>
      <c r="E11" s="162" t="s">
        <v>334</v>
      </c>
      <c r="F11" s="162" t="s">
        <v>334</v>
      </c>
      <c r="G11" s="162" t="s">
        <v>334</v>
      </c>
      <c r="H11" s="162" t="s">
        <v>334</v>
      </c>
      <c r="I11" s="162">
        <v>1</v>
      </c>
      <c r="J11" s="167"/>
      <c r="M11" s="42">
        <v>42</v>
      </c>
    </row>
    <row r="12" spans="1:13">
      <c r="A12" s="42" t="s">
        <v>13435</v>
      </c>
      <c r="B12" s="438" t="s">
        <v>13417</v>
      </c>
      <c r="C12" s="438" t="s">
        <v>333</v>
      </c>
      <c r="D12" s="438" t="s">
        <v>334</v>
      </c>
      <c r="E12" s="438" t="s">
        <v>334</v>
      </c>
      <c r="F12" s="438" t="s">
        <v>334</v>
      </c>
      <c r="G12" s="438" t="s">
        <v>334</v>
      </c>
      <c r="H12" s="438" t="s">
        <v>334</v>
      </c>
      <c r="I12" s="438" t="s">
        <v>1168</v>
      </c>
      <c r="J12" s="440"/>
      <c r="M12" s="42">
        <f>SUP!$R$57</f>
        <v>16</v>
      </c>
    </row>
    <row r="13" spans="1:13">
      <c r="A13" s="42" t="s">
        <v>13436</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5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6152" r:id="rId4" name="cmdSpecifyArg6"/>
      </mc:Fallback>
    </mc:AlternateContent>
    <mc:AlternateContent xmlns:mc="http://schemas.openxmlformats.org/markup-compatibility/2006">
      <mc:Choice Requires="x14">
        <control shapeId="615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6151" r:id="rId6" name="cmdSpecifyArg5"/>
      </mc:Fallback>
    </mc:AlternateContent>
    <mc:AlternateContent xmlns:mc="http://schemas.openxmlformats.org/markup-compatibility/2006">
      <mc:Choice Requires="x14">
        <control shapeId="615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6150" r:id="rId8" name="cmdSpecifyArg4"/>
      </mc:Fallback>
    </mc:AlternateContent>
    <mc:AlternateContent xmlns:mc="http://schemas.openxmlformats.org/markup-compatibility/2006">
      <mc:Choice Requires="x14">
        <control shapeId="614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6149" r:id="rId10" name="cmdSpecifyArg3"/>
      </mc:Fallback>
    </mc:AlternateContent>
    <mc:AlternateContent xmlns:mc="http://schemas.openxmlformats.org/markup-compatibility/2006">
      <mc:Choice Requires="x14">
        <control shapeId="614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6148" r:id="rId12" name="cmdSpecifyArg2"/>
      </mc:Fallback>
    </mc:AlternateContent>
    <mc:AlternateContent xmlns:mc="http://schemas.openxmlformats.org/markup-compatibility/2006">
      <mc:Choice Requires="x14">
        <control shapeId="614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6147" r:id="rId14" name="cmdSpecifyArg1"/>
      </mc:Fallback>
    </mc:AlternateContent>
    <mc:AlternateContent xmlns:mc="http://schemas.openxmlformats.org/markup-compatibility/2006">
      <mc:Choice Requires="x14">
        <control shapeId="614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6146" r:id="rId16" name="cmdSpecifyParameter"/>
      </mc:Fallback>
    </mc:AlternateContent>
    <mc:AlternateContent xmlns:mc="http://schemas.openxmlformats.org/markup-compatibility/2006">
      <mc:Choice Requires="x14">
        <control shapeId="614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6145" r:id="rId18" name="cmdCheckTIDDataSheet"/>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abSelected="1" topLeftCell="A11" workbookViewId="0">
      <selection activeCell="E56" sqref="E56:F56"/>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14576</v>
      </c>
    </row>
    <row r="7" spans="1:16" s="526" customFormat="1">
      <c r="A7" s="422" t="s">
        <v>310</v>
      </c>
      <c r="B7" s="422"/>
      <c r="D7" s="422"/>
      <c r="E7" s="422"/>
      <c r="F7" s="422"/>
      <c r="G7" s="422"/>
      <c r="H7" s="422"/>
      <c r="L7" s="1679" t="s">
        <v>14575</v>
      </c>
      <c r="M7" s="1678" t="s">
        <v>277</v>
      </c>
      <c r="N7" s="1678" t="s">
        <v>1199</v>
      </c>
      <c r="O7" s="1677" t="s">
        <v>14573</v>
      </c>
      <c r="P7" s="1677" t="s">
        <v>14574</v>
      </c>
    </row>
    <row r="8" spans="1:16" s="526" customFormat="1">
      <c r="A8" s="422" t="s">
        <v>310</v>
      </c>
      <c r="B8" s="422"/>
      <c r="C8" s="422"/>
      <c r="D8" s="422"/>
      <c r="E8" s="422"/>
      <c r="F8" s="422"/>
      <c r="G8" s="422"/>
      <c r="H8" s="422"/>
      <c r="L8" s="526" t="s">
        <v>14579</v>
      </c>
      <c r="M8" s="526" t="s">
        <v>277</v>
      </c>
      <c r="N8" s="526" t="s">
        <v>14578</v>
      </c>
      <c r="O8" s="526" t="s">
        <v>14578</v>
      </c>
      <c r="P8" s="526" t="s">
        <v>14578</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14788</v>
      </c>
      <c r="D56" s="42" t="s">
        <v>14789</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72"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7172" r:id="rId4" name="cmdSpecifySets"/>
      </mc:Fallback>
    </mc:AlternateContent>
    <mc:AlternateContent xmlns:mc="http://schemas.openxmlformats.org/markup-compatibility/2006">
      <mc:Choice Requires="x14">
        <control shapeId="7171" r:id="rId6" name="cmdSpecifyUnits">
          <controlPr defaultSize="0" autoLine="0" r:id="rId7">
            <anchor moveWithCells="1">
              <from>
                <xdr:col>4</xdr:col>
                <xdr:colOff>19050</xdr:colOff>
                <xdr:row>3</xdr:row>
                <xdr:rowOff>0</xdr:rowOff>
              </from>
              <to>
                <xdr:col>5</xdr:col>
                <xdr:colOff>0</xdr:colOff>
                <xdr:row>4</xdr:row>
                <xdr:rowOff>95250</xdr:rowOff>
              </to>
            </anchor>
          </controlPr>
        </control>
      </mc:Choice>
      <mc:Fallback>
        <control shapeId="7171" r:id="rId6" name="cmdSpecifyUnits"/>
      </mc:Fallback>
    </mc:AlternateContent>
    <mc:AlternateContent xmlns:mc="http://schemas.openxmlformats.org/markup-compatibility/2006">
      <mc:Choice Requires="x14">
        <control shapeId="7170"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7170" r:id="rId8" name="cmdSpecifyComponent"/>
      </mc:Fallback>
    </mc:AlternateContent>
    <mc:AlternateContent xmlns:mc="http://schemas.openxmlformats.org/markup-compatibility/2006">
      <mc:Choice Requires="x14">
        <control shapeId="7169"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7169" r:id="rId10" name="cmdCheckItemsSheet"/>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9" r:id="rId3" name="cmdSpecifyIEOptcode">
          <controlPr defaultSize="0" autoLine="0" r:id="rId4">
            <anchor moveWithCells="1">
              <from>
                <xdr:col>8</xdr:col>
                <xdr:colOff>57150</xdr:colOff>
                <xdr:row>3</xdr:row>
                <xdr:rowOff>0</xdr:rowOff>
              </from>
              <to>
                <xdr:col>8</xdr:col>
                <xdr:colOff>476250</xdr:colOff>
                <xdr:row>4</xdr:row>
                <xdr:rowOff>104775</xdr:rowOff>
              </to>
            </anchor>
          </controlPr>
        </control>
      </mc:Choice>
      <mc:Fallback>
        <control shapeId="10249" r:id="rId3" name="cmdSpecifyIEOptcode"/>
      </mc:Fallback>
    </mc:AlternateContent>
    <mc:AlternateContent xmlns:mc="http://schemas.openxmlformats.org/markup-compatibility/2006">
      <mc:Choice Requires="x14">
        <control shapeId="10248" r:id="rId5" name="cmdSpecifyArg6">
          <controlPr defaultSize="0" autoLine="0" autoPict="0" r:id="rId6">
            <anchor moveWithCells="1">
              <from>
                <xdr:col>7</xdr:col>
                <xdr:colOff>0</xdr:colOff>
                <xdr:row>3</xdr:row>
                <xdr:rowOff>0</xdr:rowOff>
              </from>
              <to>
                <xdr:col>8</xdr:col>
                <xdr:colOff>19050</xdr:colOff>
                <xdr:row>4</xdr:row>
                <xdr:rowOff>95250</xdr:rowOff>
              </to>
            </anchor>
          </controlPr>
        </control>
      </mc:Choice>
      <mc:Fallback>
        <control shapeId="10248" r:id="rId5" name="cmdSpecifyArg6"/>
      </mc:Fallback>
    </mc:AlternateContent>
    <mc:AlternateContent xmlns:mc="http://schemas.openxmlformats.org/markup-compatibility/2006">
      <mc:Choice Requires="x14">
        <control shapeId="10247" r:id="rId7" name="cmdSpecifyArg5">
          <controlPr defaultSize="0" autoLine="0" autoPict="0" r:id="rId8">
            <anchor moveWithCells="1">
              <from>
                <xdr:col>6</xdr:col>
                <xdr:colOff>0</xdr:colOff>
                <xdr:row>3</xdr:row>
                <xdr:rowOff>0</xdr:rowOff>
              </from>
              <to>
                <xdr:col>7</xdr:col>
                <xdr:colOff>19050</xdr:colOff>
                <xdr:row>4</xdr:row>
                <xdr:rowOff>95250</xdr:rowOff>
              </to>
            </anchor>
          </controlPr>
        </control>
      </mc:Choice>
      <mc:Fallback>
        <control shapeId="10247" r:id="rId7" name="cmdSpecifyArg5"/>
      </mc:Fallback>
    </mc:AlternateContent>
    <mc:AlternateContent xmlns:mc="http://schemas.openxmlformats.org/markup-compatibility/2006">
      <mc:Choice Requires="x14">
        <control shapeId="10246" r:id="rId9" name="cmdSpecifyArg4">
          <controlPr defaultSize="0" autoLine="0" autoPict="0" r:id="rId10">
            <anchor moveWithCells="1">
              <from>
                <xdr:col>5</xdr:col>
                <xdr:colOff>0</xdr:colOff>
                <xdr:row>3</xdr:row>
                <xdr:rowOff>0</xdr:rowOff>
              </from>
              <to>
                <xdr:col>6</xdr:col>
                <xdr:colOff>19050</xdr:colOff>
                <xdr:row>4</xdr:row>
                <xdr:rowOff>95250</xdr:rowOff>
              </to>
            </anchor>
          </controlPr>
        </control>
      </mc:Choice>
      <mc:Fallback>
        <control shapeId="10246" r:id="rId9" name="cmdSpecifyArg4"/>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4" r:id="rId13" name="cmdSpecifyArg2">
          <controlPr defaultSize="0" autoLine="0" autoPict="0" r:id="rId14">
            <anchor moveWithCells="1">
              <from>
                <xdr:col>3</xdr:col>
                <xdr:colOff>0</xdr:colOff>
                <xdr:row>3</xdr:row>
                <xdr:rowOff>0</xdr:rowOff>
              </from>
              <to>
                <xdr:col>4</xdr:col>
                <xdr:colOff>19050</xdr:colOff>
                <xdr:row>4</xdr:row>
                <xdr:rowOff>95250</xdr:rowOff>
              </to>
            </anchor>
          </controlPr>
        </control>
      </mc:Choice>
      <mc:Fallback>
        <control shapeId="10244" r:id="rId13" name="cmdSpecifyArg2"/>
      </mc:Fallback>
    </mc:AlternateContent>
    <mc:AlternateContent xmlns:mc="http://schemas.openxmlformats.org/markup-compatibility/2006">
      <mc:Choice Requires="x14">
        <control shapeId="1024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0243" r:id="rId15" name="cmdSpecifyArg1"/>
      </mc:Fallback>
    </mc:AlternateContent>
    <mc:AlternateContent xmlns:mc="http://schemas.openxmlformats.org/markup-compatibility/2006">
      <mc:Choice Requires="x14">
        <control shapeId="1024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0242" r:id="rId17" name="cmdSpecifyParameter"/>
      </mc:Fallback>
    </mc:AlternateContent>
    <mc:AlternateContent xmlns:mc="http://schemas.openxmlformats.org/markup-compatibility/2006">
      <mc:Choice Requires="x14">
        <control shapeId="10241" r:id="rId19" name="cmdCheckTSandTIDDataSheet">
          <controlPr defaultSize="0" autoLine="0" r:id="rId20">
            <anchor moveWithCells="1">
              <from>
                <xdr:col>1</xdr:col>
                <xdr:colOff>438150</xdr:colOff>
                <xdr:row>2</xdr:row>
                <xdr:rowOff>19050</xdr:rowOff>
              </from>
              <to>
                <xdr:col>2</xdr:col>
                <xdr:colOff>457200</xdr:colOff>
                <xdr:row>3</xdr:row>
                <xdr:rowOff>66675</xdr:rowOff>
              </to>
            </anchor>
          </controlPr>
        </control>
      </mc:Choice>
      <mc:Fallback>
        <control shapeId="10241" r:id="rId19" name="cmdCheckTSandTIDDataSheet"/>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72" r:id="rId4" name="cmdSpecifyArg6">
          <controlPr defaultSize="0" autoLine="0" autoPict="0" r:id="rId5">
            <anchor moveWithCells="1">
              <from>
                <xdr:col>7</xdr:col>
                <xdr:colOff>0</xdr:colOff>
                <xdr:row>3</xdr:row>
                <xdr:rowOff>19050</xdr:rowOff>
              </from>
              <to>
                <xdr:col>8</xdr:col>
                <xdr:colOff>19050</xdr:colOff>
                <xdr:row>4</xdr:row>
                <xdr:rowOff>95250</xdr:rowOff>
              </to>
            </anchor>
          </controlPr>
        </control>
      </mc:Choice>
      <mc:Fallback>
        <control shapeId="11272" r:id="rId4" name="cmdSpecifyArg6"/>
      </mc:Fallback>
    </mc:AlternateContent>
    <mc:AlternateContent xmlns:mc="http://schemas.openxmlformats.org/markup-compatibility/2006">
      <mc:Choice Requires="x14">
        <control shapeId="11271" r:id="rId6" name="cmdSpecifyArg5">
          <controlPr defaultSize="0" autoLine="0" autoPict="0" r:id="rId7">
            <anchor moveWithCells="1">
              <from>
                <xdr:col>6</xdr:col>
                <xdr:colOff>0</xdr:colOff>
                <xdr:row>3</xdr:row>
                <xdr:rowOff>19050</xdr:rowOff>
              </from>
              <to>
                <xdr:col>7</xdr:col>
                <xdr:colOff>19050</xdr:colOff>
                <xdr:row>4</xdr:row>
                <xdr:rowOff>95250</xdr:rowOff>
              </to>
            </anchor>
          </controlPr>
        </control>
      </mc:Choice>
      <mc:Fallback>
        <control shapeId="11271" r:id="rId6" name="cmdSpecifyArg5"/>
      </mc:Fallback>
    </mc:AlternateContent>
    <mc:AlternateContent xmlns:mc="http://schemas.openxmlformats.org/markup-compatibility/2006">
      <mc:Choice Requires="x14">
        <control shapeId="11270" r:id="rId8" name="cmdSpecifyArg4">
          <controlPr defaultSize="0" autoLine="0" autoPict="0" r:id="rId9">
            <anchor moveWithCells="1">
              <from>
                <xdr:col>5</xdr:col>
                <xdr:colOff>0</xdr:colOff>
                <xdr:row>3</xdr:row>
                <xdr:rowOff>19050</xdr:rowOff>
              </from>
              <to>
                <xdr:col>6</xdr:col>
                <xdr:colOff>19050</xdr:colOff>
                <xdr:row>4</xdr:row>
                <xdr:rowOff>95250</xdr:rowOff>
              </to>
            </anchor>
          </controlPr>
        </control>
      </mc:Choice>
      <mc:Fallback>
        <control shapeId="11270" r:id="rId8" name="cmdSpecifyArg4"/>
      </mc:Fallback>
    </mc:AlternateContent>
    <mc:AlternateContent xmlns:mc="http://schemas.openxmlformats.org/markup-compatibility/2006">
      <mc:Choice Requires="x14">
        <control shapeId="11269" r:id="rId10" name="cmdSpecifyArg3">
          <controlPr defaultSize="0" autoLine="0" autoPict="0" r:id="rId11">
            <anchor moveWithCells="1">
              <from>
                <xdr:col>4</xdr:col>
                <xdr:colOff>0</xdr:colOff>
                <xdr:row>3</xdr:row>
                <xdr:rowOff>19050</xdr:rowOff>
              </from>
              <to>
                <xdr:col>5</xdr:col>
                <xdr:colOff>19050</xdr:colOff>
                <xdr:row>4</xdr:row>
                <xdr:rowOff>95250</xdr:rowOff>
              </to>
            </anchor>
          </controlPr>
        </control>
      </mc:Choice>
      <mc:Fallback>
        <control shapeId="11269" r:id="rId10" name="cmdSpecifyArg3"/>
      </mc:Fallback>
    </mc:AlternateContent>
    <mc:AlternateContent xmlns:mc="http://schemas.openxmlformats.org/markup-compatibility/2006">
      <mc:Choice Requires="x14">
        <control shapeId="11268" r:id="rId12" name="cmdSpecifyArg2">
          <controlPr defaultSize="0" autoLine="0" autoPict="0" r:id="rId13">
            <anchor moveWithCells="1">
              <from>
                <xdr:col>3</xdr:col>
                <xdr:colOff>0</xdr:colOff>
                <xdr:row>3</xdr:row>
                <xdr:rowOff>19050</xdr:rowOff>
              </from>
              <to>
                <xdr:col>4</xdr:col>
                <xdr:colOff>19050</xdr:colOff>
                <xdr:row>4</xdr:row>
                <xdr:rowOff>95250</xdr:rowOff>
              </to>
            </anchor>
          </controlPr>
        </control>
      </mc:Choice>
      <mc:Fallback>
        <control shapeId="11268" r:id="rId12" name="cmdSpecifyArg2"/>
      </mc:Fallback>
    </mc:AlternateContent>
    <mc:AlternateContent xmlns:mc="http://schemas.openxmlformats.org/markup-compatibility/2006">
      <mc:Choice Requires="x14">
        <control shapeId="11267" r:id="rId14" name="cmdSpecifyArg1">
          <controlPr defaultSize="0" autoLine="0" r:id="rId15">
            <anchor moveWithCells="1">
              <from>
                <xdr:col>2</xdr:col>
                <xdr:colOff>0</xdr:colOff>
                <xdr:row>3</xdr:row>
                <xdr:rowOff>19050</xdr:rowOff>
              </from>
              <to>
                <xdr:col>2</xdr:col>
                <xdr:colOff>619125</xdr:colOff>
                <xdr:row>4</xdr:row>
                <xdr:rowOff>95250</xdr:rowOff>
              </to>
            </anchor>
          </controlPr>
        </control>
      </mc:Choice>
      <mc:Fallback>
        <control shapeId="11267" r:id="rId14" name="cmdSpecifyArg1"/>
      </mc:Fallback>
    </mc:AlternateContent>
    <mc:AlternateContent xmlns:mc="http://schemas.openxmlformats.org/markup-compatibility/2006">
      <mc:Choice Requires="x14">
        <control shapeId="11266" r:id="rId16" name="cmdSpecifyParameter">
          <controlPr defaultSize="0" autoLine="0" r:id="rId17">
            <anchor moveWithCells="1">
              <from>
                <xdr:col>1</xdr:col>
                <xdr:colOff>0</xdr:colOff>
                <xdr:row>3</xdr:row>
                <xdr:rowOff>19050</xdr:rowOff>
              </from>
              <to>
                <xdr:col>2</xdr:col>
                <xdr:colOff>19050</xdr:colOff>
                <xdr:row>4</xdr:row>
                <xdr:rowOff>104775</xdr:rowOff>
              </to>
            </anchor>
          </controlPr>
        </control>
      </mc:Choice>
      <mc:Fallback>
        <control shapeId="11266" r:id="rId16" name="cmdSpecifyParameter"/>
      </mc:Fallback>
    </mc:AlternateContent>
    <mc:AlternateContent xmlns:mc="http://schemas.openxmlformats.org/markup-compatibility/2006">
      <mc:Choice Requires="x14">
        <control shapeId="11265" r:id="rId18" name="cmdCheckTIDDataSheet">
          <controlPr defaultSize="0" autoLine="0" r:id="rId19">
            <anchor moveWithCells="1">
              <from>
                <xdr:col>0</xdr:col>
                <xdr:colOff>0</xdr:colOff>
                <xdr:row>2</xdr:row>
                <xdr:rowOff>0</xdr:rowOff>
              </from>
              <to>
                <xdr:col>0</xdr:col>
                <xdr:colOff>819150</xdr:colOff>
                <xdr:row>3</xdr:row>
                <xdr:rowOff>38100</xdr:rowOff>
              </to>
            </anchor>
          </controlPr>
        </control>
      </mc:Choice>
      <mc:Fallback>
        <control shapeId="11265" r:id="rId18" name="cmdCheckTIDDataSheet"/>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topLeftCell="A40" workbookViewId="0">
      <selection activeCell="H64" sqref="H64:H67"/>
    </sheetView>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27" t="s">
        <v>410</v>
      </c>
      <c r="D2" s="1828"/>
      <c r="E2" s="1828"/>
      <c r="F2" s="1829" t="s">
        <v>411</v>
      </c>
      <c r="G2" s="1830"/>
      <c r="H2" s="1831"/>
      <c r="I2" s="1829" t="s">
        <v>412</v>
      </c>
      <c r="J2" s="1830"/>
      <c r="K2" s="1831"/>
      <c r="L2" s="1829" t="s">
        <v>413</v>
      </c>
      <c r="M2" s="1830"/>
      <c r="N2" s="1831"/>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32" t="s">
        <v>424</v>
      </c>
      <c r="B9" s="1833"/>
      <c r="C9" s="273"/>
      <c r="D9" s="493">
        <f>D5/$O$5</f>
        <v>0.24081111414274101</v>
      </c>
      <c r="E9" s="258"/>
      <c r="F9" s="273"/>
      <c r="G9" s="493">
        <f>G5/$O$5</f>
        <v>0.4641206601202213</v>
      </c>
      <c r="H9" s="272"/>
      <c r="I9" s="273"/>
      <c r="J9" s="493">
        <f>J5/$O$5</f>
        <v>0.29506822573703767</v>
      </c>
      <c r="K9" s="272"/>
      <c r="L9" s="273"/>
      <c r="M9" s="259"/>
      <c r="N9" s="267"/>
      <c r="O9" s="261">
        <v>788</v>
      </c>
      <c r="Q9" s="1837" t="s">
        <v>425</v>
      </c>
      <c r="S9" s="1841" t="s">
        <v>426</v>
      </c>
      <c r="V9" s="1839" t="s">
        <v>427</v>
      </c>
      <c r="W9" s="1839" t="s">
        <v>428</v>
      </c>
      <c r="X9" s="1839" t="s">
        <v>429</v>
      </c>
      <c r="Y9" s="1839" t="s">
        <v>430</v>
      </c>
      <c r="Z9" s="1839" t="s">
        <v>431</v>
      </c>
      <c r="AA9" s="1839" t="s">
        <v>576</v>
      </c>
      <c r="AB9" s="1839" t="s">
        <v>432</v>
      </c>
    </row>
    <row r="10" spans="1:30" ht="12" customHeight="1">
      <c r="A10" s="1834"/>
      <c r="B10" s="1835"/>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38"/>
      <c r="R10" s="277" t="s">
        <v>414</v>
      </c>
      <c r="S10" s="1842"/>
      <c r="U10" s="277" t="s">
        <v>414</v>
      </c>
      <c r="V10" s="1840"/>
      <c r="W10" s="1840"/>
      <c r="X10" s="1840"/>
      <c r="Y10" s="1840"/>
      <c r="Z10" s="1840"/>
      <c r="AA10" s="1840"/>
      <c r="AB10" s="1840"/>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14777</v>
      </c>
      <c r="F47" s="302"/>
      <c r="G47" s="324"/>
      <c r="H47" s="323"/>
      <c r="I47" s="302"/>
      <c r="J47" s="324"/>
      <c r="K47" s="323"/>
      <c r="L47" s="302"/>
      <c r="M47" s="327"/>
      <c r="N47" s="325"/>
      <c r="O47" s="325"/>
      <c r="R47" s="322" t="s">
        <v>458</v>
      </c>
      <c r="S47" s="328">
        <f>SUM(S31:S46)</f>
        <v>176971.20939420717</v>
      </c>
      <c r="T47" s="322" t="s">
        <v>459</v>
      </c>
    </row>
    <row r="48" spans="1:23" s="322" customFormat="1">
      <c r="D48" s="526" t="s">
        <v>14772</v>
      </c>
      <c r="E48" s="325"/>
      <c r="F48" s="302"/>
      <c r="G48" s="324"/>
      <c r="H48" s="323"/>
      <c r="I48" s="302"/>
      <c r="J48" s="324"/>
      <c r="K48" s="323"/>
      <c r="L48" s="302"/>
      <c r="M48" s="327"/>
      <c r="N48" s="325"/>
      <c r="O48" s="325"/>
    </row>
    <row r="49" spans="3:22" s="322" customFormat="1">
      <c r="D49" s="322" t="s">
        <v>14048</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14070</v>
      </c>
    </row>
    <row r="60" spans="3:22" ht="15">
      <c r="D60" s="1410" t="s">
        <v>14049</v>
      </c>
      <c r="E60" s="1409"/>
      <c r="F60" s="1409"/>
      <c r="G60" s="1409"/>
      <c r="H60" s="1409"/>
      <c r="I60" s="1409"/>
      <c r="J60" s="1409"/>
      <c r="K60" s="1409"/>
      <c r="L60" s="1409"/>
      <c r="M60" s="1443" t="s">
        <v>14050</v>
      </c>
      <c r="N60" s="6">
        <v>14</v>
      </c>
    </row>
    <row r="61" spans="3:22" ht="15">
      <c r="D61" s="1409"/>
      <c r="E61" s="1409"/>
      <c r="F61" s="1410" t="s">
        <v>14051</v>
      </c>
      <c r="G61" s="1410"/>
      <c r="H61" s="1410" t="s">
        <v>153</v>
      </c>
      <c r="I61" s="1410" t="s">
        <v>1985</v>
      </c>
      <c r="J61" s="1410" t="s">
        <v>14052</v>
      </c>
      <c r="K61" s="1409"/>
      <c r="L61" s="1410"/>
      <c r="M61" s="1409"/>
      <c r="N61" s="1409"/>
    </row>
    <row r="62" spans="3:22" ht="15">
      <c r="D62" s="1409"/>
      <c r="E62" s="1409"/>
      <c r="F62" s="1410" t="s">
        <v>14053</v>
      </c>
      <c r="G62" s="1410" t="s">
        <v>14054</v>
      </c>
      <c r="H62" s="1410" t="s">
        <v>14055</v>
      </c>
      <c r="I62" s="1410" t="s">
        <v>14056</v>
      </c>
      <c r="J62" s="1410" t="s">
        <v>14057</v>
      </c>
      <c r="K62" s="1836" t="s">
        <v>14058</v>
      </c>
      <c r="L62" s="1836"/>
      <c r="M62" s="1836"/>
      <c r="N62" s="1409"/>
    </row>
    <row r="63" spans="3:22" ht="15">
      <c r="D63" s="1409"/>
      <c r="E63" s="1409"/>
      <c r="F63" s="728" t="s">
        <v>14059</v>
      </c>
      <c r="G63" s="1409"/>
      <c r="H63" s="1409"/>
      <c r="I63" s="728" t="s">
        <v>14060</v>
      </c>
      <c r="J63" s="1409" t="s">
        <v>760</v>
      </c>
      <c r="K63" s="1409" t="s">
        <v>14061</v>
      </c>
      <c r="L63" s="1409" t="s">
        <v>14062</v>
      </c>
      <c r="M63" s="1409" t="s">
        <v>14063</v>
      </c>
      <c r="N63" s="1409"/>
    </row>
    <row r="64" spans="3:22" ht="15">
      <c r="D64" s="1409"/>
      <c r="E64" s="1409" t="s">
        <v>14064</v>
      </c>
      <c r="F64" s="6">
        <v>100</v>
      </c>
      <c r="G64" s="1444">
        <v>0.88</v>
      </c>
      <c r="H64" s="6">
        <v>88</v>
      </c>
      <c r="I64" s="6"/>
      <c r="J64" s="6">
        <v>5</v>
      </c>
      <c r="K64" s="6">
        <v>440</v>
      </c>
      <c r="L64" s="1022">
        <v>160.6</v>
      </c>
      <c r="M64" s="1445">
        <v>2248.4</v>
      </c>
      <c r="N64" s="1409"/>
    </row>
    <row r="65" spans="4:14" ht="15">
      <c r="E65" s="1409" t="s">
        <v>14065</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14066</v>
      </c>
      <c r="F67" s="6">
        <v>180</v>
      </c>
      <c r="G67" s="1444">
        <v>0.88</v>
      </c>
      <c r="H67" s="6">
        <v>158.4</v>
      </c>
      <c r="I67" s="6"/>
      <c r="J67" s="6">
        <v>5</v>
      </c>
      <c r="K67" s="6">
        <v>792</v>
      </c>
      <c r="L67" s="1022">
        <v>289.08</v>
      </c>
      <c r="M67" s="1445">
        <v>4047.12</v>
      </c>
      <c r="N67" s="1409"/>
    </row>
    <row r="68" spans="4:14" ht="15">
      <c r="D68" s="1409"/>
      <c r="E68" s="1409" t="s">
        <v>14067</v>
      </c>
      <c r="F68" s="6">
        <v>100</v>
      </c>
      <c r="G68" s="1444">
        <v>1</v>
      </c>
      <c r="H68" s="6"/>
      <c r="I68" s="6">
        <v>100</v>
      </c>
      <c r="J68" s="6">
        <v>60</v>
      </c>
      <c r="K68" s="6">
        <v>6000</v>
      </c>
      <c r="L68" s="1022">
        <v>2190</v>
      </c>
      <c r="M68" s="1445">
        <v>30660</v>
      </c>
      <c r="N68" s="1409" t="s">
        <v>14068</v>
      </c>
    </row>
    <row r="69" spans="4:14" ht="15">
      <c r="D69" s="1409"/>
      <c r="E69" s="1409" t="s">
        <v>463</v>
      </c>
      <c r="F69" s="1022">
        <v>10.666666666666666</v>
      </c>
      <c r="G69" s="1444">
        <v>1</v>
      </c>
      <c r="H69" s="6"/>
      <c r="I69" s="1022">
        <v>10.666666666666666</v>
      </c>
      <c r="J69" s="6">
        <v>0</v>
      </c>
      <c r="K69" s="6"/>
      <c r="L69" s="1022">
        <v>0</v>
      </c>
      <c r="M69" s="1445">
        <v>0</v>
      </c>
      <c r="N69" s="1409" t="s">
        <v>14069</v>
      </c>
    </row>
    <row r="70" spans="4:14">
      <c r="F70" s="264">
        <f>SUM(F64:F67)</f>
        <v>505</v>
      </c>
    </row>
    <row r="72" spans="4:14">
      <c r="H72" s="258" t="s">
        <v>14073</v>
      </c>
      <c r="I72" s="258" t="s">
        <v>1927</v>
      </c>
    </row>
    <row r="73" spans="4:14">
      <c r="H73" s="258">
        <f>H67+H65</f>
        <v>260.39999999999998</v>
      </c>
      <c r="I73" s="258">
        <f>RefineriesData!F255</f>
        <v>787.96154470864383</v>
      </c>
    </row>
    <row r="74" spans="4:14">
      <c r="E74" s="261" t="s">
        <v>14071</v>
      </c>
      <c r="H74" s="1446">
        <f>H65/H73</f>
        <v>0.39170506912442399</v>
      </c>
      <c r="I74" s="258">
        <f>H74*I73</f>
        <v>308.64853133748721</v>
      </c>
    </row>
    <row r="75" spans="4:14">
      <c r="E75" s="261" t="s">
        <v>14072</v>
      </c>
      <c r="H75" s="1446">
        <f>H67/H73</f>
        <v>0.60829493087557607</v>
      </c>
      <c r="I75" s="258">
        <f>H75*I73</f>
        <v>479.31301337115661</v>
      </c>
    </row>
    <row r="76" spans="4:14">
      <c r="I76" s="258"/>
    </row>
  </sheetData>
  <mergeCells count="15">
    <mergeCell ref="K62:M62"/>
    <mergeCell ref="Q9:Q10"/>
    <mergeCell ref="AB9:AB10"/>
    <mergeCell ref="S9:S10"/>
    <mergeCell ref="V9:V10"/>
    <mergeCell ref="W9:W10"/>
    <mergeCell ref="X9:X10"/>
    <mergeCell ref="Y9:Y10"/>
    <mergeCell ref="Z9:Z10"/>
    <mergeCell ref="AA9:AA10"/>
    <mergeCell ref="C2:E2"/>
    <mergeCell ref="F2:H2"/>
    <mergeCell ref="I2:K2"/>
    <mergeCell ref="L2:N2"/>
    <mergeCell ref="A9:B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topLeftCell="A37" workbookViewId="0">
      <selection activeCell="B42" sqref="B42"/>
    </sheetView>
  </sheetViews>
  <sheetFormatPr defaultRowHeight="15"/>
  <cols>
    <col min="7" max="7" width="9.5703125" bestFit="1" customWidth="1"/>
    <col min="9" max="9" width="15.5703125" customWidth="1"/>
    <col min="10" max="10" width="21" customWidth="1"/>
    <col min="11" max="11" width="11.5703125" customWidth="1"/>
  </cols>
  <sheetData>
    <row r="1" spans="1:14">
      <c r="N1" t="s">
        <v>14362</v>
      </c>
    </row>
    <row r="16" spans="1:14">
      <c r="A16" t="s">
        <v>14012</v>
      </c>
      <c r="B16" s="430" t="str">
        <f>"mZAR"&amp;$C$19</f>
        <v>mZAR2009</v>
      </c>
      <c r="C16" t="str">
        <f>"ZAR"&amp;$C$20</f>
        <v>ZAR2015</v>
      </c>
      <c r="K16" s="430" t="s">
        <v>14016</v>
      </c>
    </row>
    <row r="17" spans="1:22">
      <c r="A17" s="93">
        <v>3.7</v>
      </c>
      <c r="B17" s="93">
        <f>A17*$B$18*1000</f>
        <v>29600</v>
      </c>
      <c r="C17" s="1393">
        <f>B17*B24</f>
        <v>41220.110704365674</v>
      </c>
      <c r="K17">
        <v>1000.5256730032611</v>
      </c>
    </row>
    <row r="18" spans="1:22">
      <c r="A18" t="s">
        <v>14013</v>
      </c>
      <c r="B18">
        <v>8</v>
      </c>
      <c r="H18" t="s">
        <v>14018</v>
      </c>
      <c r="K18" s="388">
        <v>2006</v>
      </c>
      <c r="L18" s="388">
        <v>2025</v>
      </c>
    </row>
    <row r="19" spans="1:22">
      <c r="A19" s="98" t="s">
        <v>375</v>
      </c>
      <c r="B19" s="93"/>
      <c r="C19" s="1414">
        <v>2009</v>
      </c>
      <c r="D19" s="98" t="s">
        <v>376</v>
      </c>
      <c r="E19" s="93"/>
      <c r="F19" s="93"/>
      <c r="G19" s="93"/>
      <c r="H19" s="1256">
        <v>0.03</v>
      </c>
      <c r="I19" t="s">
        <v>14014</v>
      </c>
      <c r="J19" t="s">
        <v>860</v>
      </c>
      <c r="K19">
        <v>788.36588158938378</v>
      </c>
      <c r="L19">
        <v>0</v>
      </c>
      <c r="O19" s="1404" t="s">
        <v>14030</v>
      </c>
      <c r="Q19" s="1403" t="s">
        <v>14019</v>
      </c>
      <c r="R19" s="1397">
        <v>8.1742858161615556E-2</v>
      </c>
      <c r="S19" s="1397" t="s">
        <v>14020</v>
      </c>
      <c r="T19" s="1396">
        <v>50</v>
      </c>
      <c r="U19" s="1396" t="s">
        <v>14021</v>
      </c>
      <c r="V19" s="1406"/>
    </row>
    <row r="20" spans="1:22">
      <c r="A20" s="98" t="s">
        <v>377</v>
      </c>
      <c r="B20" s="93"/>
      <c r="C20" s="1414">
        <v>2015</v>
      </c>
      <c r="D20" s="98" t="s">
        <v>376</v>
      </c>
      <c r="E20" s="93"/>
      <c r="H20" s="93"/>
      <c r="J20" s="430" t="s">
        <v>14017</v>
      </c>
      <c r="K20">
        <v>0</v>
      </c>
      <c r="L20" s="1395">
        <f>$C$17/$K$17</f>
        <v>41.19845378943247</v>
      </c>
      <c r="P20" s="1396"/>
      <c r="Q20" s="1399" t="s">
        <v>14022</v>
      </c>
      <c r="R20" s="1399" t="s">
        <v>14023</v>
      </c>
      <c r="S20" s="1398" t="s">
        <v>14024</v>
      </c>
      <c r="T20" s="1399" t="s">
        <v>14025</v>
      </c>
      <c r="U20" s="1404" t="s">
        <v>14026</v>
      </c>
      <c r="V20" s="1399"/>
    </row>
    <row r="21" spans="1:22">
      <c r="C21" s="93"/>
      <c r="D21" s="93"/>
      <c r="E21" s="93"/>
      <c r="F21" s="93"/>
      <c r="G21" s="93"/>
      <c r="H21" s="93"/>
      <c r="J21" s="430" t="s">
        <v>849</v>
      </c>
      <c r="K21">
        <v>0</v>
      </c>
      <c r="L21" s="1395">
        <f>$H$19*$L20</f>
        <v>1.2359536136829741</v>
      </c>
      <c r="O21">
        <v>1</v>
      </c>
      <c r="P21" s="1399" t="s">
        <v>14027</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14028</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13555</v>
      </c>
      <c r="J24" s="430" t="s">
        <v>860</v>
      </c>
      <c r="K24">
        <v>212.15979141387726</v>
      </c>
      <c r="L24">
        <v>0</v>
      </c>
      <c r="O24" s="1410" t="s">
        <v>14029</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14017</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14015</v>
      </c>
      <c r="J29" s="430" t="s">
        <v>14017</v>
      </c>
      <c r="L29" s="406">
        <f>UPS!M114</f>
        <v>183.21573476698075</v>
      </c>
      <c r="P29" s="1409"/>
      <c r="Q29" s="1409"/>
      <c r="R29" s="1409"/>
      <c r="S29" s="1410" t="s">
        <v>14024</v>
      </c>
    </row>
    <row r="30" spans="1:22">
      <c r="J30" s="430" t="s">
        <v>849</v>
      </c>
      <c r="L30">
        <f>$H$19*L29</f>
        <v>5.4964720430094225</v>
      </c>
      <c r="P30" s="1409" t="s">
        <v>14032</v>
      </c>
      <c r="Q30" s="1409"/>
      <c r="R30" s="1409" t="s">
        <v>14033</v>
      </c>
      <c r="S30" s="1411">
        <v>0.91917562558741583</v>
      </c>
    </row>
    <row r="31" spans="1:22">
      <c r="J31" s="430" t="s">
        <v>332</v>
      </c>
      <c r="K31" s="430"/>
      <c r="L31" s="430">
        <v>0</v>
      </c>
      <c r="R31" s="1398" t="s">
        <v>14029</v>
      </c>
      <c r="S31">
        <f>zar.2010*S30</f>
        <v>1.203578039111052</v>
      </c>
    </row>
    <row r="33" spans="1:37">
      <c r="H33" s="1256">
        <v>0.08</v>
      </c>
      <c r="I33" t="s">
        <v>14031</v>
      </c>
      <c r="J33" s="1396" t="s">
        <v>849</v>
      </c>
      <c r="L33" s="1401">
        <f>UPS!M102*H33</f>
        <v>46.096660297695209</v>
      </c>
    </row>
    <row r="34" spans="1:37">
      <c r="J34" s="1396" t="s">
        <v>332</v>
      </c>
      <c r="L34">
        <v>0</v>
      </c>
      <c r="M34" s="1400"/>
    </row>
    <row r="35" spans="1:37">
      <c r="J35" s="1396" t="s">
        <v>14034</v>
      </c>
      <c r="L35" s="1401">
        <f>L33+S24+S31</f>
        <v>75.088495372319812</v>
      </c>
    </row>
    <row r="37" spans="1:37">
      <c r="M37" s="1397"/>
    </row>
    <row r="38" spans="1:37">
      <c r="M38" s="1399"/>
    </row>
    <row r="42" spans="1:37">
      <c r="B42" s="255" t="s">
        <v>14363</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14366</v>
      </c>
      <c r="C44" s="255" t="s">
        <v>14364</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14366</v>
      </c>
      <c r="C45" s="255" t="s">
        <v>14365</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13555</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13555</v>
      </c>
      <c r="D49" s="255" t="s">
        <v>13545</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13555</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14014</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14014</v>
      </c>
      <c r="D53" s="255" t="s">
        <v>13545</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14014</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14367</v>
      </c>
      <c r="C63" s="1643"/>
      <c r="D63" s="1643"/>
      <c r="E63" s="1644"/>
      <c r="F63" s="1645"/>
      <c r="G63" s="1646"/>
      <c r="H63" s="1647"/>
      <c r="I63" s="1645"/>
      <c r="J63" s="1646"/>
      <c r="K63" s="258" t="s">
        <v>14370</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14368</v>
      </c>
      <c r="C64" s="1643"/>
      <c r="D64" s="1643"/>
      <c r="E64" s="1644"/>
      <c r="F64" s="1645"/>
      <c r="G64" s="1646"/>
      <c r="H64" s="1647"/>
      <c r="I64" s="1645"/>
      <c r="J64" s="1646"/>
      <c r="K64" s="258" t="s">
        <v>14369</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47" t="s">
        <v>463</v>
      </c>
      <c r="D2" s="1848"/>
      <c r="E2" s="1849"/>
      <c r="F2" s="1850" t="s">
        <v>464</v>
      </c>
      <c r="G2" s="1851"/>
      <c r="H2" s="1831"/>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52" t="s">
        <v>425</v>
      </c>
      <c r="K13" s="351"/>
      <c r="L13" s="1853" t="s">
        <v>426</v>
      </c>
      <c r="M13" s="279"/>
      <c r="N13" s="351"/>
      <c r="O13" s="352" t="s">
        <v>474</v>
      </c>
      <c r="P13" s="353" t="s">
        <v>388</v>
      </c>
      <c r="Q13" s="352" t="s">
        <v>474</v>
      </c>
      <c r="R13" s="353" t="s">
        <v>388</v>
      </c>
      <c r="S13" s="352" t="s">
        <v>474</v>
      </c>
      <c r="T13" s="353" t="s">
        <v>388</v>
      </c>
    </row>
    <row r="14" spans="1:20" ht="14.25">
      <c r="A14" s="1843" t="s">
        <v>424</v>
      </c>
      <c r="B14" s="1844"/>
      <c r="C14" s="354"/>
      <c r="D14" s="275"/>
      <c r="E14" s="355"/>
      <c r="F14" s="356"/>
      <c r="G14" s="275"/>
      <c r="H14" s="347"/>
      <c r="I14" s="357"/>
      <c r="J14" s="1842"/>
      <c r="K14" s="358" t="s">
        <v>414</v>
      </c>
      <c r="L14" s="1854"/>
      <c r="M14" s="308"/>
      <c r="N14" s="358" t="s">
        <v>414</v>
      </c>
      <c r="O14" s="1845" t="s">
        <v>475</v>
      </c>
      <c r="P14" s="1846"/>
      <c r="Q14" s="1845" t="s">
        <v>476</v>
      </c>
      <c r="R14" s="1846"/>
      <c r="S14" s="1845" t="s">
        <v>477</v>
      </c>
      <c r="T14" s="1846"/>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1787</v>
      </c>
      <c r="R34" s="257">
        <v>1020000</v>
      </c>
      <c r="S34" s="255" t="s">
        <v>1792</v>
      </c>
      <c r="T34" s="257">
        <f>Q31</f>
        <v>1259083.6645216134</v>
      </c>
      <c r="U34" s="255" t="s">
        <v>1791</v>
      </c>
      <c r="V34" s="255" t="s">
        <v>1790</v>
      </c>
    </row>
    <row r="35" spans="1:22" ht="24" customHeight="1">
      <c r="A35" s="322" t="s">
        <v>450</v>
      </c>
      <c r="C35" s="257"/>
      <c r="P35" s="255" t="s">
        <v>1701</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1784</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1783</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1782</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1781</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1785</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1786</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1789</v>
      </c>
    </row>
    <row r="45" spans="1:22">
      <c r="P45" s="322" t="s">
        <v>1788</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topLeftCell="A7"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55" t="s">
        <v>386</v>
      </c>
      <c r="C2" s="1856"/>
      <c r="D2" s="1857" t="s">
        <v>387</v>
      </c>
      <c r="E2" s="1858"/>
      <c r="F2" s="1859" t="s">
        <v>388</v>
      </c>
      <c r="G2" s="1860"/>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61" t="s">
        <v>386</v>
      </c>
      <c r="C15" s="1862"/>
      <c r="D15" s="1863" t="s">
        <v>387</v>
      </c>
      <c r="E15" s="1864"/>
      <c r="F15" s="1865" t="s">
        <v>388</v>
      </c>
      <c r="G15" s="1866"/>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67" t="s">
        <v>400</v>
      </c>
      <c r="C28" s="1868"/>
      <c r="D28" s="1867" t="s">
        <v>401</v>
      </c>
      <c r="E28" s="1868"/>
      <c r="F28" s="1869" t="s">
        <v>387</v>
      </c>
      <c r="G28" s="1870"/>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67" t="s">
        <v>400</v>
      </c>
      <c r="C44" s="1868"/>
      <c r="D44" s="1867" t="s">
        <v>401</v>
      </c>
      <c r="E44" s="1868"/>
      <c r="F44" s="1869" t="s">
        <v>387</v>
      </c>
      <c r="G44" s="1870"/>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8:C28"/>
    <mergeCell ref="D28:E28"/>
    <mergeCell ref="F28:G28"/>
    <mergeCell ref="B44:C44"/>
    <mergeCell ref="D44:E44"/>
    <mergeCell ref="F44:G44"/>
    <mergeCell ref="B2:C2"/>
    <mergeCell ref="D2:E2"/>
    <mergeCell ref="F2:G2"/>
    <mergeCell ref="B15:C15"/>
    <mergeCell ref="D15:E15"/>
    <mergeCell ref="F15:G15"/>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zoomScale="55" zoomScaleNormal="55" workbookViewId="0">
      <selection activeCell="H38" sqref="H38"/>
    </sheetView>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1468</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14101</v>
      </c>
      <c r="C9" s="3"/>
      <c r="D9" s="1472">
        <v>0.92800000000000005</v>
      </c>
      <c r="E9" s="573" t="s">
        <v>14100</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1468</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14114</v>
      </c>
    </row>
    <row r="3" spans="1:32">
      <c r="B3" s="1871" t="s">
        <v>14115</v>
      </c>
      <c r="C3" s="1872"/>
      <c r="D3" s="1872"/>
      <c r="E3" s="1872"/>
      <c r="F3" s="1872"/>
      <c r="G3" s="1872"/>
      <c r="H3" s="1872"/>
      <c r="I3" s="1872"/>
      <c r="J3" s="1872"/>
      <c r="K3" s="1872"/>
      <c r="L3" s="1872"/>
      <c r="M3" s="1872"/>
      <c r="N3" s="1873"/>
      <c r="O3" s="1874" t="s">
        <v>14116</v>
      </c>
      <c r="P3" s="1875"/>
      <c r="Q3" s="1875"/>
      <c r="R3" s="1875"/>
      <c r="S3" s="1875"/>
      <c r="T3" s="1875"/>
      <c r="U3" s="1875"/>
      <c r="V3" s="1875"/>
      <c r="W3" s="1875"/>
      <c r="X3" s="1875"/>
      <c r="Y3" s="1875"/>
      <c r="Z3" s="1875"/>
      <c r="AA3" s="1875"/>
      <c r="AB3" s="1875"/>
      <c r="AC3" s="1875"/>
      <c r="AD3" s="1875"/>
      <c r="AE3" s="1875"/>
    </row>
    <row r="4" spans="1:32">
      <c r="A4" s="1480" t="s">
        <v>14117</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1765</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14118</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14119</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14120</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14121</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14122</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14123</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14124</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14125</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14126</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14127</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14128</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14129</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14130</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14131</v>
      </c>
      <c r="S25" s="1478"/>
    </row>
    <row r="26" spans="1:31">
      <c r="S26" s="1478"/>
    </row>
    <row r="27" spans="1:31">
      <c r="A27" s="1478" t="s">
        <v>14132</v>
      </c>
      <c r="S27" s="1478"/>
    </row>
    <row r="28" spans="1:31">
      <c r="A28" s="1478" t="s">
        <v>14133</v>
      </c>
      <c r="S28" s="1478"/>
    </row>
    <row r="29" spans="1:31">
      <c r="A29" s="1478" t="s">
        <v>14134</v>
      </c>
      <c r="S29" s="1478"/>
    </row>
    <row r="30" spans="1:31">
      <c r="A30" s="1478" t="s">
        <v>14135</v>
      </c>
      <c r="S30" s="1478"/>
    </row>
    <row r="31" spans="1:31">
      <c r="A31" s="1478" t="s">
        <v>14136</v>
      </c>
      <c r="S31" s="1478"/>
    </row>
    <row r="32" spans="1:31">
      <c r="A32" s="1478" t="s">
        <v>14137</v>
      </c>
      <c r="S32" s="1478"/>
    </row>
    <row r="33" spans="1:31">
      <c r="A33" s="1478" t="s">
        <v>14138</v>
      </c>
      <c r="S33" s="1478"/>
    </row>
    <row r="34" spans="1:31">
      <c r="S34" s="1478"/>
    </row>
    <row r="35" spans="1:31" s="1518" customFormat="1"/>
    <row r="36" spans="1:31" s="1518" customFormat="1" ht="15.75">
      <c r="A36" s="1519" t="s">
        <v>14139</v>
      </c>
      <c r="S36" s="1520" t="s">
        <v>14140</v>
      </c>
    </row>
    <row r="37" spans="1:31">
      <c r="S37" s="1478"/>
    </row>
    <row r="38" spans="1:31">
      <c r="A38" s="1507" t="s">
        <v>14141</v>
      </c>
      <c r="B38" s="1478" t="s">
        <v>14142</v>
      </c>
      <c r="S38" s="1513">
        <f>S83*$B$70*$B$67</f>
        <v>191.2568</v>
      </c>
    </row>
    <row r="39" spans="1:31">
      <c r="A39" s="1507" t="s">
        <v>14143</v>
      </c>
      <c r="B39" s="1478" t="s">
        <v>14142</v>
      </c>
      <c r="S39" s="1513">
        <f>S84*$B$70*$B$67</f>
        <v>26.633599999999998</v>
      </c>
    </row>
    <row r="40" spans="1:31">
      <c r="A40" s="1507" t="s">
        <v>14144</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14145</v>
      </c>
      <c r="B41" s="1478" t="s">
        <v>14142</v>
      </c>
      <c r="S41" s="1513">
        <f>S89*$B$70*$B$67</f>
        <v>26.7484</v>
      </c>
    </row>
    <row r="42" spans="1:31">
      <c r="A42" s="1512" t="s">
        <v>14146</v>
      </c>
      <c r="B42" s="1478" t="s">
        <v>14142</v>
      </c>
      <c r="S42" s="1513">
        <f>S90*$B$70*$B$67</f>
        <v>38.458000000000006</v>
      </c>
    </row>
    <row r="43" spans="1:31">
      <c r="S43" s="1513"/>
    </row>
    <row r="44" spans="1:31">
      <c r="A44" s="1507" t="s">
        <v>14121</v>
      </c>
      <c r="S44" s="1513"/>
    </row>
    <row r="45" spans="1:31">
      <c r="A45" s="1478" t="s">
        <v>14147</v>
      </c>
      <c r="B45" s="1478" t="s">
        <v>14142</v>
      </c>
      <c r="S45" s="1513">
        <f>S85*$B$70*$B$67</f>
        <v>34.095599999999997</v>
      </c>
    </row>
    <row r="46" spans="1:31">
      <c r="A46" s="1478" t="s">
        <v>14148</v>
      </c>
      <c r="B46" s="1478" t="s">
        <v>14142</v>
      </c>
      <c r="S46" s="1513">
        <f>S86*$B$70*$B$67</f>
        <v>40.8688</v>
      </c>
    </row>
    <row r="47" spans="1:31">
      <c r="A47" s="1478" t="s">
        <v>14149</v>
      </c>
      <c r="B47" s="1478" t="s">
        <v>14142</v>
      </c>
      <c r="S47" s="1513">
        <f>S87*$B$70*$B$67</f>
        <v>51.200800000000008</v>
      </c>
    </row>
    <row r="48" spans="1:31">
      <c r="S48" s="1513"/>
    </row>
    <row r="49" spans="1:31">
      <c r="A49" s="1521" t="s">
        <v>14150</v>
      </c>
      <c r="S49" s="1508">
        <f>SUM(S45:S47)</f>
        <v>126.1652</v>
      </c>
      <c r="T49" s="1508"/>
    </row>
    <row r="50" spans="1:31">
      <c r="A50" s="1507" t="s">
        <v>14151</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14124</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14125</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14126</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14127</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14128</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14129</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14152</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14125</v>
      </c>
      <c r="N61" s="1528">
        <f>SUMIFS(N$16:N$22,$A$16:$A$22,$A61)/N$50</f>
        <v>0.36050526367018354</v>
      </c>
      <c r="O61" s="1528"/>
      <c r="P61" s="1528"/>
      <c r="Q61" s="1528"/>
      <c r="R61" s="1528"/>
      <c r="S61" s="1528">
        <f>SUMIFS(S$16:S$22,$A$16:$A$22,$A61)/S$50</f>
        <v>0.23654242601110848</v>
      </c>
    </row>
    <row r="62" spans="1:31">
      <c r="A62" s="1512" t="s">
        <v>14126</v>
      </c>
      <c r="N62" s="1528">
        <f>SUMIFS(N$16:N$22,$A$16:$A$22,$A62)/N$50</f>
        <v>0.18003177795955752</v>
      </c>
      <c r="O62" s="1528"/>
      <c r="P62" s="1528"/>
      <c r="Q62" s="1528"/>
      <c r="R62" s="1528"/>
      <c r="S62" s="1528">
        <f>SUMIFS(S$16:S$22,$A$16:$A$22,$A62)/S$50</f>
        <v>0.19323482930263192</v>
      </c>
    </row>
    <row r="63" spans="1:31">
      <c r="A63" s="1512" t="s">
        <v>14128</v>
      </c>
      <c r="N63" s="1528">
        <f>SUMIFS(N$16:N$22,$A$16:$A$22,$A63)/N$50</f>
        <v>4.0230564907163691E-3</v>
      </c>
      <c r="O63" s="1528"/>
      <c r="P63" s="1528"/>
      <c r="Q63" s="1528"/>
      <c r="R63" s="1528"/>
      <c r="S63" s="1528">
        <f>SUMIFS(S$16:S$22,$A$16:$A$22,$A63)/S$50</f>
        <v>0.10543616917361483</v>
      </c>
    </row>
    <row r="64" spans="1:31">
      <c r="A64" s="1512" t="s">
        <v>14130</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14153</v>
      </c>
      <c r="B67" s="1532">
        <v>41</v>
      </c>
      <c r="C67" s="1531" t="s">
        <v>14154</v>
      </c>
      <c r="D67" s="1478" t="s">
        <v>14155</v>
      </c>
      <c r="S67" s="1530">
        <f t="shared" ref="S67:S68" si="7">S86*$B$69</f>
        <v>38.519200000000005</v>
      </c>
    </row>
    <row r="68" spans="1:19">
      <c r="A68" s="1478" t="s">
        <v>14156</v>
      </c>
      <c r="B68" s="1478">
        <v>1.0820000000000001</v>
      </c>
      <c r="C68" s="1478" t="s">
        <v>14157</v>
      </c>
      <c r="D68" s="1478" t="s">
        <v>14158</v>
      </c>
      <c r="S68" s="1530">
        <f t="shared" si="7"/>
        <v>48.257200000000005</v>
      </c>
    </row>
    <row r="69" spans="1:19">
      <c r="B69" s="1478">
        <f>B68</f>
        <v>1.0820000000000001</v>
      </c>
      <c r="C69" s="1478" t="s">
        <v>14159</v>
      </c>
      <c r="S69" s="1478"/>
    </row>
    <row r="70" spans="1:19">
      <c r="A70" s="1531"/>
      <c r="B70" s="1533">
        <v>2.8000000000000001E-2</v>
      </c>
      <c r="C70" s="1531" t="s">
        <v>14160</v>
      </c>
      <c r="D70" s="1478" t="s">
        <v>14161</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14162</v>
      </c>
      <c r="S82" s="1478"/>
    </row>
    <row r="83" spans="1:19">
      <c r="A83" s="1478" t="s">
        <v>14163</v>
      </c>
      <c r="S83" s="1478">
        <v>166.6</v>
      </c>
    </row>
    <row r="84" spans="1:19">
      <c r="A84" s="1478" t="s">
        <v>14164</v>
      </c>
      <c r="S84" s="1478">
        <v>23.2</v>
      </c>
    </row>
    <row r="85" spans="1:19">
      <c r="A85" s="1534" t="s">
        <v>14147</v>
      </c>
      <c r="S85" s="1478">
        <v>29.7</v>
      </c>
    </row>
    <row r="86" spans="1:19">
      <c r="A86" s="1534" t="s">
        <v>14148</v>
      </c>
      <c r="S86" s="1478">
        <v>35.6</v>
      </c>
    </row>
    <row r="87" spans="1:19">
      <c r="A87" s="1534" t="s">
        <v>14149</v>
      </c>
      <c r="S87" s="1478">
        <v>44.6</v>
      </c>
    </row>
    <row r="88" spans="1:19">
      <c r="A88" s="1478" t="s">
        <v>14165</v>
      </c>
      <c r="S88" s="1478"/>
    </row>
    <row r="89" spans="1:19">
      <c r="A89" s="1478" t="s">
        <v>14166</v>
      </c>
      <c r="S89" s="1478">
        <v>23.3</v>
      </c>
    </row>
    <row r="90" spans="1:19">
      <c r="A90" s="1478" t="s">
        <v>14167</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77" t="s">
        <v>14218</v>
      </c>
      <c r="B1" s="1878"/>
      <c r="C1" s="1878"/>
      <c r="D1" s="1878"/>
      <c r="E1" s="1878"/>
      <c r="F1" s="1878"/>
      <c r="G1" s="1878"/>
      <c r="H1" s="1878"/>
      <c r="I1" s="1878"/>
      <c r="J1" s="1541" t="s">
        <v>14219</v>
      </c>
    </row>
    <row r="2" spans="1:22" ht="31.5" customHeight="1">
      <c r="A2" s="1879" t="s">
        <v>14220</v>
      </c>
      <c r="B2" s="1879"/>
      <c r="C2" s="1879"/>
      <c r="D2" s="1542">
        <v>2019</v>
      </c>
      <c r="E2" s="1543">
        <v>2018</v>
      </c>
      <c r="F2" s="1544">
        <v>2017</v>
      </c>
      <c r="G2" s="1545">
        <v>2016</v>
      </c>
      <c r="H2" s="1546" t="s">
        <v>14221</v>
      </c>
      <c r="J2" s="1542">
        <v>2019</v>
      </c>
      <c r="K2" s="1543">
        <v>2018</v>
      </c>
      <c r="L2" s="1544">
        <v>2017</v>
      </c>
      <c r="M2" s="1545">
        <v>2016</v>
      </c>
      <c r="O2" s="503" t="s">
        <v>14299</v>
      </c>
      <c r="R2" s="503"/>
      <c r="S2" s="503"/>
      <c r="T2" s="427"/>
      <c r="U2" s="427"/>
    </row>
    <row r="3" spans="1:22" ht="12.6" customHeight="1">
      <c r="A3" s="1880" t="s">
        <v>14222</v>
      </c>
      <c r="B3" s="1880"/>
      <c r="C3" s="1547"/>
      <c r="D3" s="1548"/>
      <c r="E3" s="1547"/>
      <c r="F3" s="1547"/>
      <c r="G3" s="1549"/>
      <c r="H3" s="1881" t="s">
        <v>14223</v>
      </c>
      <c r="Q3" s="503"/>
      <c r="R3" s="503"/>
      <c r="S3" s="503"/>
      <c r="T3" s="427"/>
      <c r="U3" s="427"/>
    </row>
    <row r="4" spans="1:22" ht="11.25" customHeight="1">
      <c r="A4" s="1884" t="s">
        <v>14224</v>
      </c>
      <c r="B4" s="1884"/>
      <c r="C4" s="1550">
        <v>1</v>
      </c>
      <c r="D4" s="1551">
        <v>18446</v>
      </c>
      <c r="E4" s="1552">
        <v>17836</v>
      </c>
      <c r="F4" s="1552">
        <v>18472</v>
      </c>
      <c r="G4" s="1553">
        <v>18806</v>
      </c>
      <c r="H4" s="1882"/>
      <c r="J4" s="1541">
        <f>D4/F4</f>
        <v>0.99859246427024684</v>
      </c>
      <c r="K4" s="1541">
        <f>E4/F4</f>
        <v>0.96556951061065399</v>
      </c>
      <c r="L4" s="1541">
        <f>F4/F4</f>
        <v>1</v>
      </c>
      <c r="Q4" s="503"/>
      <c r="S4" s="503"/>
      <c r="T4" s="427"/>
    </row>
    <row r="5" spans="1:22" ht="11.25" customHeight="1">
      <c r="A5" s="1876" t="s">
        <v>14111</v>
      </c>
      <c r="B5" s="1876"/>
      <c r="C5" s="1554"/>
      <c r="D5" s="1551">
        <v>6736</v>
      </c>
      <c r="E5" s="1552">
        <v>6720</v>
      </c>
      <c r="F5" s="1552">
        <v>6974</v>
      </c>
      <c r="G5" s="1553">
        <v>7019</v>
      </c>
      <c r="H5" s="1882"/>
    </row>
    <row r="6" spans="1:22" ht="11.25" customHeight="1">
      <c r="A6" s="1876" t="s">
        <v>14112</v>
      </c>
      <c r="B6" s="1876"/>
      <c r="C6" s="1554"/>
      <c r="D6" s="1551">
        <v>1467</v>
      </c>
      <c r="E6" s="1552">
        <v>1585</v>
      </c>
      <c r="F6" s="1552">
        <v>1561</v>
      </c>
      <c r="G6" s="1553">
        <v>1461</v>
      </c>
      <c r="H6" s="1882"/>
    </row>
    <row r="7" spans="1:22" ht="11.25" customHeight="1">
      <c r="A7" s="1876" t="s">
        <v>14225</v>
      </c>
      <c r="B7" s="1876"/>
      <c r="C7" s="1554"/>
      <c r="D7" s="1551">
        <v>3209</v>
      </c>
      <c r="E7" s="1552">
        <v>3192</v>
      </c>
      <c r="F7" s="1552">
        <v>2976</v>
      </c>
      <c r="G7" s="1553">
        <v>3331</v>
      </c>
      <c r="H7" s="1882"/>
    </row>
    <row r="8" spans="1:22" ht="11.25" customHeight="1">
      <c r="A8" s="1876" t="s">
        <v>14226</v>
      </c>
      <c r="B8" s="1876"/>
      <c r="C8" s="1554"/>
      <c r="D8" s="1551">
        <v>4271</v>
      </c>
      <c r="E8" s="1552">
        <v>3578</v>
      </c>
      <c r="F8" s="1552">
        <v>3964</v>
      </c>
      <c r="G8" s="1553">
        <v>4067</v>
      </c>
      <c r="H8" s="1882"/>
    </row>
    <row r="9" spans="1:22" ht="11.25" customHeight="1">
      <c r="A9" s="1876" t="s">
        <v>14227</v>
      </c>
      <c r="B9" s="1876"/>
      <c r="C9" s="1554"/>
      <c r="D9" s="1551">
        <v>1277</v>
      </c>
      <c r="E9" s="1552">
        <v>1341</v>
      </c>
      <c r="F9" s="1552">
        <v>1345</v>
      </c>
      <c r="G9" s="1553">
        <v>1309</v>
      </c>
      <c r="H9" s="1882"/>
    </row>
    <row r="10" spans="1:22" ht="11.25" customHeight="1">
      <c r="A10" s="1876" t="s">
        <v>14228</v>
      </c>
      <c r="B10" s="1876"/>
      <c r="C10" s="1554"/>
      <c r="D10" s="1555">
        <v>688</v>
      </c>
      <c r="E10" s="1556">
        <v>707</v>
      </c>
      <c r="F10" s="1556">
        <v>811</v>
      </c>
      <c r="G10" s="1557">
        <v>793</v>
      </c>
      <c r="H10" s="1882"/>
    </row>
    <row r="11" spans="1:22" ht="11.25" customHeight="1">
      <c r="A11" s="1876" t="s">
        <v>14229</v>
      </c>
      <c r="B11" s="1876"/>
      <c r="C11" s="1554"/>
      <c r="D11" s="1555">
        <v>53</v>
      </c>
      <c r="E11" s="1556">
        <v>54</v>
      </c>
      <c r="F11" s="1556">
        <v>64</v>
      </c>
      <c r="G11" s="1557">
        <v>62</v>
      </c>
      <c r="H11" s="1882"/>
    </row>
    <row r="12" spans="1:22" ht="12" customHeight="1">
      <c r="A12" s="1885" t="s">
        <v>14230</v>
      </c>
      <c r="B12" s="1885"/>
      <c r="C12" s="1885"/>
      <c r="D12" s="1558">
        <v>745</v>
      </c>
      <c r="E12" s="1559">
        <v>659</v>
      </c>
      <c r="F12" s="1559">
        <v>776</v>
      </c>
      <c r="G12" s="1560">
        <v>763</v>
      </c>
      <c r="H12" s="1883"/>
      <c r="V12" s="1561"/>
    </row>
    <row r="13" spans="1:22" ht="11.45" customHeight="1">
      <c r="A13" s="1886" t="s">
        <v>14231</v>
      </c>
      <c r="B13" s="1886"/>
      <c r="C13" s="1562">
        <v>2</v>
      </c>
      <c r="D13" s="1563"/>
      <c r="E13" s="1564"/>
      <c r="F13" s="1564"/>
      <c r="G13" s="1565"/>
      <c r="H13" s="1566"/>
      <c r="V13" s="1561"/>
    </row>
    <row r="14" spans="1:22" ht="11.25" customHeight="1">
      <c r="A14" s="1878" t="s">
        <v>14232</v>
      </c>
      <c r="B14" s="1878"/>
      <c r="C14" s="1554"/>
      <c r="D14" s="1551">
        <v>105.04</v>
      </c>
      <c r="E14" s="1552">
        <v>109.18</v>
      </c>
      <c r="F14" s="1552">
        <v>110.68</v>
      </c>
      <c r="G14" s="1553">
        <v>119.25</v>
      </c>
      <c r="H14" s="1567" t="s">
        <v>14223</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76" t="s">
        <v>14111</v>
      </c>
      <c r="B15" s="1876"/>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76" t="s">
        <v>14112</v>
      </c>
      <c r="B16" s="1876"/>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76" t="s">
        <v>14225</v>
      </c>
      <c r="B17" s="1876"/>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76" t="s">
        <v>14226</v>
      </c>
      <c r="B18" s="1876"/>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76" t="s">
        <v>14227</v>
      </c>
      <c r="B19" s="1876"/>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76" t="s">
        <v>14228</v>
      </c>
      <c r="B20" s="1876"/>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76" t="s">
        <v>14229</v>
      </c>
      <c r="B21" s="1876"/>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76" t="s">
        <v>14230</v>
      </c>
      <c r="B22" s="1876"/>
      <c r="C22" s="1876"/>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78" t="s">
        <v>14233</v>
      </c>
      <c r="B23" s="1878"/>
      <c r="C23" s="1554"/>
      <c r="D23" s="1551">
        <v>1.64</v>
      </c>
      <c r="E23" s="1552">
        <v>1.44</v>
      </c>
      <c r="F23" s="1552">
        <v>0.51</v>
      </c>
      <c r="G23" s="1553">
        <v>0.45</v>
      </c>
      <c r="H23" s="1567" t="s">
        <v>14223</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76" t="s">
        <v>14111</v>
      </c>
      <c r="B24" s="1876"/>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76" t="s">
        <v>14112</v>
      </c>
      <c r="B25" s="1876"/>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76" t="s">
        <v>14225</v>
      </c>
      <c r="B26" s="1876"/>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76" t="s">
        <v>14226</v>
      </c>
      <c r="B27" s="1876"/>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76" t="s">
        <v>14227</v>
      </c>
      <c r="B28" s="1876"/>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76" t="s">
        <v>14228</v>
      </c>
      <c r="B29" s="1876"/>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76" t="s">
        <v>14229</v>
      </c>
      <c r="B30" s="1876"/>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76" t="s">
        <v>14230</v>
      </c>
      <c r="B31" s="1876"/>
      <c r="C31" s="1876"/>
      <c r="D31" s="1551">
        <v>0</v>
      </c>
      <c r="E31" s="1552">
        <v>0</v>
      </c>
      <c r="F31" s="1552">
        <v>0</v>
      </c>
      <c r="G31" s="1553">
        <v>0</v>
      </c>
      <c r="H31" s="1568"/>
      <c r="J31" s="1541">
        <f t="shared" si="4"/>
        <v>0</v>
      </c>
      <c r="K31" s="1541">
        <f t="shared" si="5"/>
        <v>0</v>
      </c>
      <c r="L31" s="1541">
        <f t="shared" si="6"/>
        <v>0</v>
      </c>
      <c r="M31" s="1541">
        <f t="shared" si="7"/>
        <v>0</v>
      </c>
    </row>
    <row r="32" spans="1:13" ht="12" customHeight="1">
      <c r="A32" s="1878" t="s">
        <v>14234</v>
      </c>
      <c r="B32" s="1878"/>
      <c r="C32" s="1554"/>
      <c r="D32" s="1551">
        <v>56004</v>
      </c>
      <c r="E32" s="1552">
        <v>56731</v>
      </c>
      <c r="F32" s="1552">
        <v>57281</v>
      </c>
      <c r="G32" s="1553">
        <v>58329</v>
      </c>
      <c r="H32" s="1567" t="s">
        <v>14223</v>
      </c>
      <c r="J32" s="1541">
        <f>D32</f>
        <v>56004</v>
      </c>
      <c r="K32" s="1541">
        <f>E32</f>
        <v>56731</v>
      </c>
      <c r="L32" s="1541">
        <f>F32</f>
        <v>57281</v>
      </c>
      <c r="M32" s="1541">
        <f>G32</f>
        <v>58329</v>
      </c>
    </row>
    <row r="33" spans="1:16" ht="11.25" customHeight="1">
      <c r="A33" s="1876" t="s">
        <v>14111</v>
      </c>
      <c r="B33" s="1876"/>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14298</v>
      </c>
    </row>
    <row r="34" spans="1:16" ht="11.25" customHeight="1">
      <c r="A34" s="1876" t="s">
        <v>14112</v>
      </c>
      <c r="B34" s="1876"/>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76" t="s">
        <v>14225</v>
      </c>
      <c r="B35" s="1876"/>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76" t="s">
        <v>14226</v>
      </c>
      <c r="B36" s="1876"/>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76" t="s">
        <v>14227</v>
      </c>
      <c r="B37" s="1876"/>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76" t="s">
        <v>14228</v>
      </c>
      <c r="B38" s="1876"/>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76" t="s">
        <v>14229</v>
      </c>
      <c r="B39" s="1876"/>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76" t="s">
        <v>14230</v>
      </c>
      <c r="B40" s="1876"/>
      <c r="C40" s="1876"/>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78" t="s">
        <v>14235</v>
      </c>
      <c r="B41" s="1878"/>
      <c r="C41" s="1550">
        <v>3</v>
      </c>
      <c r="D41" s="1551">
        <v>7653</v>
      </c>
      <c r="E41" s="1552">
        <v>7756</v>
      </c>
      <c r="F41" s="1552">
        <v>7659</v>
      </c>
      <c r="G41" s="1553">
        <v>8046</v>
      </c>
      <c r="H41" s="1567" t="s">
        <v>14223</v>
      </c>
    </row>
    <row r="42" spans="1:16" ht="11.25" customHeight="1">
      <c r="A42" s="1876" t="s">
        <v>14111</v>
      </c>
      <c r="B42" s="1876"/>
      <c r="C42" s="1554"/>
      <c r="D42" s="1551">
        <v>5596</v>
      </c>
      <c r="E42" s="1552">
        <v>5580</v>
      </c>
      <c r="F42" s="1552">
        <v>5598</v>
      </c>
      <c r="G42" s="1553">
        <v>6089</v>
      </c>
      <c r="H42" s="1568"/>
      <c r="I42" s="1570" t="s">
        <v>14111</v>
      </c>
      <c r="J42" s="1570">
        <f t="shared" ref="J42:M45" si="9">J15+J24+J33</f>
        <v>50896.08</v>
      </c>
      <c r="K42" s="1570">
        <f t="shared" si="9"/>
        <v>52022.1</v>
      </c>
      <c r="L42" s="1570">
        <f t="shared" si="9"/>
        <v>51673.599999999999</v>
      </c>
      <c r="M42" s="1570">
        <f t="shared" si="9"/>
        <v>52546.06</v>
      </c>
    </row>
    <row r="43" spans="1:16" ht="11.25" customHeight="1">
      <c r="A43" s="1876" t="s">
        <v>14112</v>
      </c>
      <c r="B43" s="1876"/>
      <c r="C43" s="1554"/>
      <c r="D43" s="1555">
        <v>400</v>
      </c>
      <c r="E43" s="1556">
        <v>723</v>
      </c>
      <c r="F43" s="1556">
        <v>527</v>
      </c>
      <c r="G43" s="1557">
        <v>468</v>
      </c>
      <c r="H43" s="1568"/>
      <c r="I43" s="1570" t="s">
        <v>14112</v>
      </c>
      <c r="J43" s="1570">
        <f t="shared" si="9"/>
        <v>4895.8999999999996</v>
      </c>
      <c r="K43" s="1570">
        <f t="shared" si="9"/>
        <v>4760.4799999999996</v>
      </c>
      <c r="L43" s="1570">
        <f t="shared" si="9"/>
        <v>5235.0200000000004</v>
      </c>
      <c r="M43" s="1570">
        <f t="shared" si="9"/>
        <v>5479.86</v>
      </c>
    </row>
    <row r="44" spans="1:16" ht="11.25" customHeight="1">
      <c r="A44" s="1876" t="s">
        <v>14225</v>
      </c>
      <c r="B44" s="1876"/>
      <c r="C44" s="1554"/>
      <c r="D44" s="1555">
        <v>726</v>
      </c>
      <c r="E44" s="1556">
        <v>697</v>
      </c>
      <c r="F44" s="1556">
        <v>705</v>
      </c>
      <c r="G44" s="1557">
        <v>739</v>
      </c>
      <c r="H44" s="1568"/>
      <c r="I44" s="1570" t="s">
        <v>14225</v>
      </c>
      <c r="J44" s="1570">
        <f t="shared" si="9"/>
        <v>96.27000000000001</v>
      </c>
      <c r="K44" s="1570">
        <f t="shared" si="9"/>
        <v>99.649999999999991</v>
      </c>
      <c r="L44" s="1570">
        <f t="shared" si="9"/>
        <v>101.79</v>
      </c>
      <c r="M44" s="1570">
        <f t="shared" si="9"/>
        <v>108.22999999999999</v>
      </c>
    </row>
    <row r="45" spans="1:16" ht="11.25" customHeight="1">
      <c r="A45" s="1876" t="s">
        <v>14226</v>
      </c>
      <c r="B45" s="1876"/>
      <c r="C45" s="1554"/>
      <c r="D45" s="1555">
        <v>289</v>
      </c>
      <c r="E45" s="1556">
        <v>248</v>
      </c>
      <c r="F45" s="1556">
        <v>263</v>
      </c>
      <c r="G45" s="1557">
        <v>261</v>
      </c>
      <c r="H45" s="1568"/>
      <c r="I45" s="1570" t="s">
        <v>14226</v>
      </c>
      <c r="J45" s="1570">
        <f t="shared" si="9"/>
        <v>932</v>
      </c>
      <c r="K45" s="1570">
        <f t="shared" si="9"/>
        <v>791</v>
      </c>
      <c r="L45" s="1570">
        <f t="shared" si="9"/>
        <v>903</v>
      </c>
      <c r="M45" s="1570">
        <f t="shared" si="9"/>
        <v>938</v>
      </c>
    </row>
    <row r="46" spans="1:16" ht="11.25" customHeight="1">
      <c r="A46" s="1876" t="s">
        <v>14227</v>
      </c>
      <c r="B46" s="1876"/>
      <c r="C46" s="1554"/>
      <c r="D46" s="1555">
        <v>108</v>
      </c>
      <c r="E46" s="1556">
        <v>125</v>
      </c>
      <c r="F46" s="1556">
        <v>170</v>
      </c>
      <c r="G46" s="1557">
        <v>162</v>
      </c>
      <c r="H46" s="1568"/>
    </row>
    <row r="47" spans="1:16" ht="11.25" customHeight="1">
      <c r="A47" s="1876" t="s">
        <v>14228</v>
      </c>
      <c r="B47" s="1876"/>
      <c r="C47" s="1554"/>
      <c r="D47" s="1555">
        <v>498</v>
      </c>
      <c r="E47" s="1556">
        <v>349</v>
      </c>
      <c r="F47" s="1556">
        <v>360</v>
      </c>
      <c r="G47" s="1557">
        <v>289</v>
      </c>
      <c r="H47" s="1568"/>
    </row>
    <row r="48" spans="1:16" ht="11.25" customHeight="1">
      <c r="A48" s="1876" t="s">
        <v>14229</v>
      </c>
      <c r="B48" s="1876"/>
      <c r="C48" s="1554"/>
      <c r="D48" s="1551">
        <v>0</v>
      </c>
      <c r="E48" s="1552">
        <v>0</v>
      </c>
      <c r="F48" s="1552">
        <v>0</v>
      </c>
      <c r="G48" s="1553">
        <v>0</v>
      </c>
      <c r="H48" s="1568"/>
    </row>
    <row r="49" spans="1:9" ht="11.85" customHeight="1">
      <c r="A49" s="1876" t="s">
        <v>14230</v>
      </c>
      <c r="B49" s="1876"/>
      <c r="C49" s="1876"/>
      <c r="D49" s="1555">
        <v>36</v>
      </c>
      <c r="E49" s="1556">
        <v>37</v>
      </c>
      <c r="F49" s="1556">
        <v>37</v>
      </c>
      <c r="G49" s="1557">
        <v>39</v>
      </c>
      <c r="H49" s="1568"/>
    </row>
    <row r="50" spans="1:9" ht="12" customHeight="1">
      <c r="A50" s="1878" t="s">
        <v>14236</v>
      </c>
      <c r="B50" s="1878"/>
      <c r="C50" s="1550">
        <v>4</v>
      </c>
      <c r="D50" s="1551">
        <v>0.05</v>
      </c>
      <c r="E50" s="1552">
        <v>0.59</v>
      </c>
      <c r="F50" s="1552">
        <v>0.78</v>
      </c>
      <c r="G50" s="1553">
        <v>0.52</v>
      </c>
      <c r="H50" s="1567" t="s">
        <v>14237</v>
      </c>
    </row>
    <row r="51" spans="1:9" ht="11.25" customHeight="1">
      <c r="A51" s="1876" t="s">
        <v>14111</v>
      </c>
      <c r="B51" s="1876"/>
      <c r="C51" s="1554"/>
      <c r="D51" s="1551">
        <v>0</v>
      </c>
      <c r="E51" s="1552">
        <v>0</v>
      </c>
      <c r="F51" s="1552">
        <v>0</v>
      </c>
      <c r="G51" s="1553">
        <v>0</v>
      </c>
      <c r="H51" s="1568"/>
    </row>
    <row r="52" spans="1:9" ht="11.25" customHeight="1">
      <c r="A52" s="1876" t="s">
        <v>14112</v>
      </c>
      <c r="B52" s="1876"/>
      <c r="C52" s="1554"/>
      <c r="D52" s="1551">
        <v>0</v>
      </c>
      <c r="E52" s="1552">
        <v>0</v>
      </c>
      <c r="F52" s="1552">
        <v>0</v>
      </c>
      <c r="G52" s="1553">
        <v>0</v>
      </c>
      <c r="H52" s="1568"/>
    </row>
    <row r="53" spans="1:9" ht="11.25" customHeight="1">
      <c r="A53" s="1876" t="s">
        <v>14225</v>
      </c>
      <c r="B53" s="1876"/>
      <c r="C53" s="1554"/>
      <c r="D53" s="1551">
        <v>0</v>
      </c>
      <c r="E53" s="1552">
        <v>0</v>
      </c>
      <c r="F53" s="1552">
        <v>0</v>
      </c>
      <c r="G53" s="1553">
        <v>0</v>
      </c>
      <c r="H53" s="1568"/>
    </row>
    <row r="54" spans="1:9" ht="11.25" customHeight="1">
      <c r="A54" s="1876" t="s">
        <v>14226</v>
      </c>
      <c r="B54" s="1876"/>
      <c r="C54" s="1554"/>
      <c r="D54" s="1551">
        <v>0</v>
      </c>
      <c r="E54" s="1552">
        <v>0</v>
      </c>
      <c r="F54" s="1552">
        <v>0</v>
      </c>
      <c r="G54" s="1553">
        <v>0</v>
      </c>
      <c r="H54" s="1568"/>
    </row>
    <row r="55" spans="1:9" ht="11.25" customHeight="1">
      <c r="A55" s="1876" t="s">
        <v>14227</v>
      </c>
      <c r="B55" s="1876"/>
      <c r="C55" s="1554"/>
      <c r="D55" s="1551">
        <v>0</v>
      </c>
      <c r="E55" s="1552">
        <v>0</v>
      </c>
      <c r="F55" s="1552">
        <v>0</v>
      </c>
      <c r="G55" s="1553">
        <v>0</v>
      </c>
      <c r="H55" s="1568"/>
    </row>
    <row r="56" spans="1:9" ht="11.25" customHeight="1">
      <c r="A56" s="1876" t="s">
        <v>14228</v>
      </c>
      <c r="B56" s="1876"/>
      <c r="C56" s="1554"/>
      <c r="D56" s="1551">
        <v>0</v>
      </c>
      <c r="E56" s="1552">
        <v>0</v>
      </c>
      <c r="F56" s="1552">
        <v>0</v>
      </c>
      <c r="G56" s="1553">
        <v>0</v>
      </c>
      <c r="H56" s="1568"/>
    </row>
    <row r="57" spans="1:9" ht="11.25" customHeight="1">
      <c r="A57" s="1876" t="s">
        <v>14229</v>
      </c>
      <c r="B57" s="1876"/>
      <c r="C57" s="1554"/>
      <c r="D57" s="1551">
        <v>0.05</v>
      </c>
      <c r="E57" s="1552">
        <v>0.59</v>
      </c>
      <c r="F57" s="1552">
        <v>0.78</v>
      </c>
      <c r="G57" s="1553">
        <v>0.52</v>
      </c>
      <c r="H57" s="1568"/>
    </row>
    <row r="58" spans="1:9" ht="13.5" customHeight="1">
      <c r="A58" s="1885" t="s">
        <v>14230</v>
      </c>
      <c r="B58" s="1885"/>
      <c r="C58" s="1885"/>
      <c r="D58" s="1571">
        <v>0</v>
      </c>
      <c r="E58" s="1572">
        <v>0</v>
      </c>
      <c r="F58" s="1572">
        <v>0</v>
      </c>
      <c r="G58" s="1573">
        <v>0</v>
      </c>
      <c r="H58" s="1574"/>
    </row>
    <row r="59" spans="1:9" ht="0.95" customHeight="1">
      <c r="A59" s="1878"/>
      <c r="B59" s="1878"/>
      <c r="C59" s="1878"/>
      <c r="D59" s="1878"/>
      <c r="E59" s="1878"/>
      <c r="F59" s="1878"/>
      <c r="G59" s="1878"/>
      <c r="H59" s="1878"/>
      <c r="I59" s="1878"/>
    </row>
    <row r="60" spans="1:9" ht="0.95" customHeight="1">
      <c r="A60" s="1878"/>
      <c r="B60" s="1878"/>
      <c r="C60" s="1878"/>
      <c r="D60" s="1878"/>
      <c r="E60" s="1878"/>
      <c r="F60" s="1878"/>
      <c r="G60" s="1878"/>
      <c r="H60" s="1878"/>
      <c r="I60" s="1878"/>
    </row>
    <row r="61" spans="1:9" ht="12.75" customHeight="1">
      <c r="A61" s="1888" t="s">
        <v>14238</v>
      </c>
      <c r="B61" s="1888"/>
      <c r="C61" s="1888"/>
      <c r="D61" s="1888"/>
      <c r="E61" s="1888"/>
      <c r="F61" s="1888"/>
      <c r="G61" s="1888"/>
      <c r="H61" s="1888"/>
      <c r="I61" s="1888"/>
    </row>
    <row r="62" spans="1:9" ht="39" customHeight="1">
      <c r="A62" s="1889" t="s">
        <v>14220</v>
      </c>
      <c r="B62" s="1889"/>
      <c r="C62" s="1889"/>
      <c r="D62" s="1575">
        <v>2019</v>
      </c>
      <c r="E62" s="1576">
        <v>2018</v>
      </c>
      <c r="F62" s="1576">
        <v>2017</v>
      </c>
      <c r="G62" s="1577">
        <v>2016</v>
      </c>
      <c r="H62" s="1578" t="s">
        <v>14239</v>
      </c>
    </row>
    <row r="63" spans="1:9" ht="12.75" customHeight="1">
      <c r="A63" s="1887" t="s">
        <v>14240</v>
      </c>
      <c r="B63" s="1887"/>
      <c r="C63" s="1887"/>
      <c r="D63" s="1579" t="s">
        <v>14241</v>
      </c>
      <c r="E63" s="1580" t="s">
        <v>14242</v>
      </c>
      <c r="F63" s="1580" t="s">
        <v>14243</v>
      </c>
      <c r="G63" s="1581" t="s">
        <v>14244</v>
      </c>
      <c r="H63" s="1582" t="s">
        <v>14223</v>
      </c>
    </row>
    <row r="64" spans="1:9" ht="11.25" customHeight="1">
      <c r="A64" s="1876" t="s">
        <v>14111</v>
      </c>
      <c r="B64" s="1876"/>
      <c r="C64" s="1876"/>
      <c r="D64" s="1551" t="s">
        <v>14245</v>
      </c>
      <c r="E64" s="1552" t="s">
        <v>14246</v>
      </c>
      <c r="F64" s="1552" t="s">
        <v>14247</v>
      </c>
      <c r="G64" s="1553" t="s">
        <v>14248</v>
      </c>
      <c r="H64" s="1568"/>
    </row>
    <row r="65" spans="1:8" ht="11.25" customHeight="1">
      <c r="A65" s="1876" t="s">
        <v>14112</v>
      </c>
      <c r="B65" s="1876"/>
      <c r="C65" s="1876"/>
      <c r="D65" s="1551" t="s">
        <v>14249</v>
      </c>
      <c r="E65" s="1552" t="s">
        <v>14250</v>
      </c>
      <c r="F65" s="1552" t="s">
        <v>14251</v>
      </c>
      <c r="G65" s="1553" t="s">
        <v>14252</v>
      </c>
      <c r="H65" s="1568"/>
    </row>
    <row r="66" spans="1:8" ht="11.25" customHeight="1">
      <c r="A66" s="1876" t="s">
        <v>14225</v>
      </c>
      <c r="B66" s="1876"/>
      <c r="C66" s="1876"/>
      <c r="D66" s="1555">
        <v>822</v>
      </c>
      <c r="E66" s="1556">
        <v>797</v>
      </c>
      <c r="F66" s="1556">
        <v>807</v>
      </c>
      <c r="G66" s="1557">
        <v>847</v>
      </c>
      <c r="H66" s="1568"/>
    </row>
    <row r="67" spans="1:8" ht="11.25" customHeight="1">
      <c r="A67" s="1876" t="s">
        <v>14226</v>
      </c>
      <c r="B67" s="1876"/>
      <c r="C67" s="1876"/>
      <c r="D67" s="1551" t="s">
        <v>14253</v>
      </c>
      <c r="E67" s="1552" t="s">
        <v>14254</v>
      </c>
      <c r="F67" s="1552" t="s">
        <v>14255</v>
      </c>
      <c r="G67" s="1553" t="s">
        <v>14256</v>
      </c>
      <c r="H67" s="1568"/>
    </row>
    <row r="68" spans="1:8" ht="11.25" customHeight="1">
      <c r="A68" s="1876" t="s">
        <v>14227</v>
      </c>
      <c r="B68" s="1876"/>
      <c r="C68" s="1876"/>
      <c r="D68" s="1555">
        <v>717</v>
      </c>
      <c r="E68" s="1556">
        <v>823</v>
      </c>
      <c r="F68" s="1556">
        <v>943</v>
      </c>
      <c r="G68" s="1557">
        <v>910</v>
      </c>
      <c r="H68" s="1568"/>
    </row>
    <row r="69" spans="1:8" ht="11.25" customHeight="1">
      <c r="A69" s="1876" t="s">
        <v>14228</v>
      </c>
      <c r="B69" s="1876"/>
      <c r="C69" s="1876"/>
      <c r="D69" s="1551" t="s">
        <v>14257</v>
      </c>
      <c r="E69" s="1552" t="s">
        <v>14258</v>
      </c>
      <c r="F69" s="1552" t="s">
        <v>14259</v>
      </c>
      <c r="G69" s="1553" t="s">
        <v>14260</v>
      </c>
      <c r="H69" s="1568"/>
    </row>
    <row r="70" spans="1:8" ht="11.25" customHeight="1">
      <c r="A70" s="1876" t="s">
        <v>14229</v>
      </c>
      <c r="B70" s="1876"/>
      <c r="C70" s="1876"/>
      <c r="D70" s="1555">
        <v>261</v>
      </c>
      <c r="E70" s="1556">
        <v>258</v>
      </c>
      <c r="F70" s="1556">
        <v>260</v>
      </c>
      <c r="G70" s="1557">
        <v>274</v>
      </c>
      <c r="H70" s="1568"/>
    </row>
    <row r="71" spans="1:8" ht="11.85" customHeight="1">
      <c r="A71" s="1876" t="s">
        <v>14230</v>
      </c>
      <c r="B71" s="1876"/>
      <c r="C71" s="1876"/>
      <c r="D71" s="1555">
        <v>83</v>
      </c>
      <c r="E71" s="1556">
        <v>88</v>
      </c>
      <c r="F71" s="1556">
        <v>89</v>
      </c>
      <c r="G71" s="1557">
        <v>198</v>
      </c>
      <c r="H71" s="1568"/>
    </row>
    <row r="72" spans="1:8" ht="12" customHeight="1">
      <c r="A72" s="1878" t="s">
        <v>14261</v>
      </c>
      <c r="B72" s="1878"/>
      <c r="C72" s="1878"/>
      <c r="D72" s="1551" t="s">
        <v>14262</v>
      </c>
      <c r="E72" s="1552" t="s">
        <v>14263</v>
      </c>
      <c r="F72" s="1552" t="s">
        <v>14264</v>
      </c>
      <c r="G72" s="1553" t="s">
        <v>14265</v>
      </c>
      <c r="H72" s="1583" t="s">
        <v>14223</v>
      </c>
    </row>
    <row r="73" spans="1:8" ht="11.25" customHeight="1">
      <c r="A73" s="1876" t="s">
        <v>14111</v>
      </c>
      <c r="B73" s="1876"/>
      <c r="C73" s="1876"/>
      <c r="D73" s="1551" t="s">
        <v>14266</v>
      </c>
      <c r="E73" s="1552" t="s">
        <v>14267</v>
      </c>
      <c r="F73" s="1552" t="s">
        <v>14268</v>
      </c>
      <c r="G73" s="1553" t="s">
        <v>14269</v>
      </c>
      <c r="H73" s="1568"/>
    </row>
    <row r="74" spans="1:8" ht="11.25" customHeight="1">
      <c r="A74" s="1876" t="s">
        <v>14112</v>
      </c>
      <c r="B74" s="1876"/>
      <c r="C74" s="1876"/>
      <c r="D74" s="1551" t="s">
        <v>14262</v>
      </c>
      <c r="E74" s="1552" t="s">
        <v>14270</v>
      </c>
      <c r="F74" s="1552" t="s">
        <v>14271</v>
      </c>
      <c r="G74" s="1553" t="s">
        <v>14272</v>
      </c>
      <c r="H74" s="1568"/>
    </row>
    <row r="75" spans="1:8" ht="11.25" customHeight="1">
      <c r="A75" s="1876" t="s">
        <v>14225</v>
      </c>
      <c r="B75" s="1876"/>
      <c r="C75" s="1876"/>
      <c r="D75" s="1551" t="s">
        <v>14273</v>
      </c>
      <c r="E75" s="1552" t="s">
        <v>14274</v>
      </c>
      <c r="F75" s="1552" t="s">
        <v>14275</v>
      </c>
      <c r="G75" s="1553" t="s">
        <v>14274</v>
      </c>
      <c r="H75" s="1568"/>
    </row>
    <row r="76" spans="1:8" ht="11.25" customHeight="1">
      <c r="A76" s="1876" t="s">
        <v>14226</v>
      </c>
      <c r="B76" s="1876"/>
      <c r="C76" s="1876"/>
      <c r="D76" s="1551" t="s">
        <v>14276</v>
      </c>
      <c r="E76" s="1552" t="s">
        <v>14276</v>
      </c>
      <c r="F76" s="1552" t="s">
        <v>14276</v>
      </c>
      <c r="G76" s="1553" t="s">
        <v>14276</v>
      </c>
      <c r="H76" s="1568"/>
    </row>
    <row r="77" spans="1:8" ht="11.25" customHeight="1">
      <c r="A77" s="1876" t="s">
        <v>14227</v>
      </c>
      <c r="B77" s="1876"/>
      <c r="C77" s="1876"/>
      <c r="D77" s="1551" t="s">
        <v>14277</v>
      </c>
      <c r="E77" s="1552" t="s">
        <v>14278</v>
      </c>
      <c r="F77" s="1552" t="s">
        <v>14279</v>
      </c>
      <c r="G77" s="1553" t="s">
        <v>14279</v>
      </c>
      <c r="H77" s="1568"/>
    </row>
    <row r="78" spans="1:8" ht="11.25" customHeight="1">
      <c r="A78" s="1876" t="s">
        <v>14228</v>
      </c>
      <c r="B78" s="1876"/>
      <c r="C78" s="1876"/>
      <c r="D78" s="1551" t="s">
        <v>14280</v>
      </c>
      <c r="E78" s="1552" t="s">
        <v>14281</v>
      </c>
      <c r="F78" s="1552" t="s">
        <v>14282</v>
      </c>
      <c r="G78" s="1553" t="s">
        <v>14283</v>
      </c>
      <c r="H78" s="1568"/>
    </row>
    <row r="79" spans="1:8" ht="11.25" customHeight="1">
      <c r="A79" s="1876" t="s">
        <v>14229</v>
      </c>
      <c r="B79" s="1876"/>
      <c r="C79" s="1876"/>
      <c r="D79" s="1551" t="s">
        <v>14284</v>
      </c>
      <c r="E79" s="1552" t="s">
        <v>14285</v>
      </c>
      <c r="F79" s="1552" t="s">
        <v>14286</v>
      </c>
      <c r="G79" s="1553" t="s">
        <v>14287</v>
      </c>
      <c r="H79" s="1568"/>
    </row>
    <row r="80" spans="1:8" ht="13.7" customHeight="1">
      <c r="A80" s="1885" t="s">
        <v>14230</v>
      </c>
      <c r="B80" s="1885"/>
      <c r="C80" s="1885"/>
      <c r="D80" s="1571" t="s">
        <v>14288</v>
      </c>
      <c r="E80" s="1572" t="s">
        <v>14289</v>
      </c>
      <c r="F80" s="1572" t="s">
        <v>14288</v>
      </c>
      <c r="G80" s="1573" t="s">
        <v>14273</v>
      </c>
      <c r="H80" s="1584"/>
    </row>
    <row r="81" spans="1:13" ht="113.25" customHeight="1">
      <c r="A81" s="1890" t="s">
        <v>14307</v>
      </c>
      <c r="B81" s="1878"/>
      <c r="C81" s="1878"/>
      <c r="D81" s="1878"/>
      <c r="E81" s="1878"/>
      <c r="F81" s="1878"/>
      <c r="G81" s="1878"/>
      <c r="H81" s="1878"/>
      <c r="I81" s="1878"/>
    </row>
    <row r="82" spans="1:13" ht="12.75" customHeight="1">
      <c r="A82" s="1878" t="s">
        <v>14290</v>
      </c>
      <c r="B82" s="1878"/>
      <c r="C82" s="1878"/>
      <c r="D82" s="1878"/>
      <c r="E82" s="1878"/>
      <c r="F82" s="1878"/>
      <c r="G82" s="1878"/>
      <c r="H82" s="1878"/>
      <c r="I82" s="1878"/>
    </row>
    <row r="83" spans="1:13">
      <c r="D83" s="1541" t="str">
        <f>D63</f>
        <v>66 558</v>
      </c>
      <c r="E83" s="1541" t="str">
        <f>E63</f>
        <v>67 412</v>
      </c>
      <c r="F83" s="1541" t="str">
        <f>F63</f>
        <v>67 632</v>
      </c>
      <c r="G83" s="1541" t="str">
        <f>G63</f>
        <v>69 250</v>
      </c>
    </row>
    <row r="85" spans="1:13">
      <c r="A85" s="1889" t="s">
        <v>14220</v>
      </c>
      <c r="B85" s="1889"/>
      <c r="C85" s="1889"/>
      <c r="D85" s="1575">
        <v>2019</v>
      </c>
      <c r="E85" s="1576">
        <v>2018</v>
      </c>
      <c r="F85" s="1576">
        <v>2017</v>
      </c>
      <c r="G85" s="1577">
        <v>2016</v>
      </c>
      <c r="J85" s="1541">
        <v>2019</v>
      </c>
      <c r="K85" s="1541">
        <v>2018</v>
      </c>
      <c r="L85" s="1541">
        <v>2017</v>
      </c>
      <c r="M85" s="1541">
        <v>2016</v>
      </c>
    </row>
    <row r="86" spans="1:13">
      <c r="A86" s="1887" t="s">
        <v>14240</v>
      </c>
      <c r="B86" s="1887"/>
      <c r="C86" s="1887"/>
      <c r="D86" s="1579">
        <f>D14*gwpch4+D23*gwpn2o+D32+D41+D50</f>
        <v>66558.41</v>
      </c>
      <c r="E86" s="1579">
        <f>E14*gwpch4+E23*gwpn2o+E32+E41+E50</f>
        <v>67424.97</v>
      </c>
      <c r="F86" s="1579">
        <f>F14*gwpch4+F23*gwpn2o+F32+F41+F50</f>
        <v>67637.38</v>
      </c>
      <c r="G86" s="1579">
        <f>G14*gwpch4+G23*gwpn2o+G32+G41+G50</f>
        <v>69251.47</v>
      </c>
      <c r="I86" s="1541" t="s">
        <v>14291</v>
      </c>
      <c r="J86" s="1570">
        <f>J14+J23+J32</f>
        <v>58905.36</v>
      </c>
      <c r="K86" s="1570">
        <f>K14+K23+K32</f>
        <v>59668.38</v>
      </c>
      <c r="L86" s="1570">
        <f>L14+L23+L32</f>
        <v>59977.599999999999</v>
      </c>
      <c r="M86" s="1570">
        <f>M14+M23+M32</f>
        <v>61204.95</v>
      </c>
    </row>
    <row r="87" spans="1:13">
      <c r="A87" s="1876" t="s">
        <v>14111</v>
      </c>
      <c r="B87" s="1876"/>
      <c r="C87" s="1876"/>
      <c r="D87" s="1579">
        <f t="shared" ref="D87:D94" si="10">D15*gwpch4+D24*gwpn2o+D33+D42+D51</f>
        <v>56492.08</v>
      </c>
      <c r="E87" s="1552" t="s">
        <v>14246</v>
      </c>
      <c r="F87" s="1552">
        <v>57267</v>
      </c>
      <c r="G87" s="1553" t="s">
        <v>14248</v>
      </c>
      <c r="I87" s="1570" t="s">
        <v>14111</v>
      </c>
      <c r="J87" s="1570">
        <f t="shared" ref="J87:M94" si="11">J15+J24+J33</f>
        <v>50896.08</v>
      </c>
      <c r="K87" s="1570">
        <f t="shared" si="11"/>
        <v>52022.1</v>
      </c>
      <c r="L87" s="1570">
        <f t="shared" si="11"/>
        <v>51673.599999999999</v>
      </c>
      <c r="M87" s="1570">
        <f t="shared" si="11"/>
        <v>52546.06</v>
      </c>
    </row>
    <row r="88" spans="1:13">
      <c r="A88" s="1876" t="s">
        <v>14112</v>
      </c>
      <c r="B88" s="1876"/>
      <c r="C88" s="1876"/>
      <c r="D88" s="1579">
        <f t="shared" si="10"/>
        <v>5295.9</v>
      </c>
      <c r="E88" s="1552" t="s">
        <v>14250</v>
      </c>
      <c r="F88" s="1552" t="s">
        <v>14251</v>
      </c>
      <c r="G88" s="1553" t="s">
        <v>14252</v>
      </c>
      <c r="I88" s="1570" t="s">
        <v>14112</v>
      </c>
      <c r="J88" s="1570">
        <f t="shared" si="11"/>
        <v>4895.8999999999996</v>
      </c>
      <c r="K88" s="1570">
        <f t="shared" si="11"/>
        <v>4760.4799999999996</v>
      </c>
      <c r="L88" s="1570">
        <f t="shared" si="11"/>
        <v>5235.0200000000004</v>
      </c>
      <c r="M88" s="1570">
        <f t="shared" si="11"/>
        <v>5479.86</v>
      </c>
    </row>
    <row r="89" spans="1:13">
      <c r="A89" s="1876" t="s">
        <v>14225</v>
      </c>
      <c r="B89" s="1876"/>
      <c r="C89" s="1876"/>
      <c r="D89" s="1579">
        <f t="shared" si="10"/>
        <v>822.27</v>
      </c>
      <c r="E89" s="1556">
        <v>797</v>
      </c>
      <c r="F89" s="1556">
        <v>807</v>
      </c>
      <c r="G89" s="1557">
        <v>847</v>
      </c>
      <c r="I89" s="1570" t="s">
        <v>14225</v>
      </c>
      <c r="J89" s="1570">
        <f t="shared" si="11"/>
        <v>96.27000000000001</v>
      </c>
      <c r="K89" s="1570">
        <f t="shared" si="11"/>
        <v>99.649999999999991</v>
      </c>
      <c r="L89" s="1570">
        <f t="shared" si="11"/>
        <v>101.79</v>
      </c>
      <c r="M89" s="1570">
        <f t="shared" si="11"/>
        <v>108.22999999999999</v>
      </c>
    </row>
    <row r="90" spans="1:13">
      <c r="A90" s="1876" t="s">
        <v>14226</v>
      </c>
      <c r="B90" s="1876"/>
      <c r="C90" s="1876"/>
      <c r="D90" s="1579">
        <f t="shared" si="10"/>
        <v>1221</v>
      </c>
      <c r="E90" s="1552" t="s">
        <v>14254</v>
      </c>
      <c r="F90" s="1552" t="s">
        <v>14255</v>
      </c>
      <c r="G90" s="1553" t="s">
        <v>14256</v>
      </c>
      <c r="I90" s="1570" t="s">
        <v>14226</v>
      </c>
      <c r="J90" s="1570">
        <f t="shared" si="11"/>
        <v>932</v>
      </c>
      <c r="K90" s="1570">
        <f t="shared" si="11"/>
        <v>791</v>
      </c>
      <c r="L90" s="1570">
        <f t="shared" si="11"/>
        <v>903</v>
      </c>
      <c r="M90" s="1570">
        <f t="shared" si="11"/>
        <v>938</v>
      </c>
    </row>
    <row r="91" spans="1:13">
      <c r="A91" s="1876" t="s">
        <v>14227</v>
      </c>
      <c r="B91" s="1876"/>
      <c r="C91" s="1876"/>
      <c r="D91" s="1579">
        <f t="shared" si="10"/>
        <v>718</v>
      </c>
      <c r="E91" s="1556">
        <v>823</v>
      </c>
      <c r="F91" s="1556">
        <v>943</v>
      </c>
      <c r="G91" s="1557">
        <v>910</v>
      </c>
      <c r="I91" s="1570" t="s">
        <v>14227</v>
      </c>
      <c r="J91" s="1570">
        <f t="shared" si="11"/>
        <v>610</v>
      </c>
      <c r="K91" s="1570">
        <f t="shared" si="11"/>
        <v>698</v>
      </c>
      <c r="L91" s="1570">
        <f t="shared" si="11"/>
        <v>773</v>
      </c>
      <c r="M91" s="1570">
        <f t="shared" si="11"/>
        <v>748</v>
      </c>
    </row>
    <row r="92" spans="1:13" ht="22.5">
      <c r="A92" s="1876" t="s">
        <v>14228</v>
      </c>
      <c r="B92" s="1876"/>
      <c r="C92" s="1876"/>
      <c r="D92" s="1579">
        <f t="shared" si="10"/>
        <v>1664.88</v>
      </c>
      <c r="E92" s="1552" t="s">
        <v>14258</v>
      </c>
      <c r="F92" s="1552" t="s">
        <v>14259</v>
      </c>
      <c r="G92" s="1553" t="s">
        <v>14260</v>
      </c>
      <c r="I92" s="1570" t="s">
        <v>14228</v>
      </c>
      <c r="J92" s="1570">
        <f t="shared" si="11"/>
        <v>1166.8800000000001</v>
      </c>
      <c r="K92" s="1570">
        <f t="shared" si="11"/>
        <v>991.88</v>
      </c>
      <c r="L92" s="1570">
        <f t="shared" si="11"/>
        <v>978</v>
      </c>
      <c r="M92" s="1570">
        <f t="shared" si="11"/>
        <v>953</v>
      </c>
    </row>
    <row r="93" spans="1:13">
      <c r="A93" s="1876" t="s">
        <v>14229</v>
      </c>
      <c r="B93" s="1876"/>
      <c r="C93" s="1876"/>
      <c r="D93" s="1579">
        <f t="shared" si="10"/>
        <v>261.05</v>
      </c>
      <c r="E93" s="1556">
        <v>258</v>
      </c>
      <c r="F93" s="1556">
        <v>260</v>
      </c>
      <c r="G93" s="1557">
        <v>274</v>
      </c>
      <c r="I93" s="1570" t="s">
        <v>14229</v>
      </c>
      <c r="J93" s="1570">
        <f t="shared" si="11"/>
        <v>261</v>
      </c>
      <c r="K93" s="1570">
        <f t="shared" si="11"/>
        <v>258</v>
      </c>
      <c r="L93" s="1570">
        <f t="shared" si="11"/>
        <v>260</v>
      </c>
      <c r="M93" s="1570">
        <f t="shared" si="11"/>
        <v>273</v>
      </c>
    </row>
    <row r="94" spans="1:13" ht="12.95" customHeight="1">
      <c r="A94" s="1876" t="s">
        <v>14230</v>
      </c>
      <c r="B94" s="1876"/>
      <c r="C94" s="1876"/>
      <c r="D94" s="1579">
        <f t="shared" si="10"/>
        <v>83.22999999999999</v>
      </c>
      <c r="E94" s="1556">
        <v>88</v>
      </c>
      <c r="F94" s="1556">
        <v>89</v>
      </c>
      <c r="G94" s="1557">
        <v>198</v>
      </c>
      <c r="I94" s="1570" t="s">
        <v>14230</v>
      </c>
      <c r="J94" s="1570">
        <f t="shared" si="11"/>
        <v>47.23</v>
      </c>
      <c r="K94" s="1570">
        <f t="shared" si="11"/>
        <v>51.23</v>
      </c>
      <c r="L94" s="1570">
        <f t="shared" si="11"/>
        <v>51.23</v>
      </c>
      <c r="M94" s="1570">
        <f t="shared" si="11"/>
        <v>159.03</v>
      </c>
    </row>
    <row r="96" spans="1:13">
      <c r="D96" s="1541" t="s">
        <v>14292</v>
      </c>
      <c r="E96" s="1541" t="s">
        <v>14293</v>
      </c>
    </row>
    <row r="97" spans="4:6">
      <c r="D97" s="1541" t="s">
        <v>14294</v>
      </c>
      <c r="E97" s="1541">
        <v>296</v>
      </c>
    </row>
    <row r="98" spans="4:6">
      <c r="D98" s="1541" t="s">
        <v>14295</v>
      </c>
      <c r="E98" s="1541">
        <v>23</v>
      </c>
    </row>
    <row r="100" spans="4:6">
      <c r="E100" s="1541" t="s">
        <v>14293</v>
      </c>
      <c r="F100" s="1541" t="s">
        <v>14296</v>
      </c>
    </row>
    <row r="101" spans="4:6">
      <c r="E101" s="1541">
        <v>310</v>
      </c>
      <c r="F101" s="1541">
        <v>296</v>
      </c>
    </row>
    <row r="102" spans="4:6">
      <c r="E102" s="1541">
        <v>21</v>
      </c>
      <c r="F102" s="1541">
        <v>23</v>
      </c>
    </row>
  </sheetData>
  <mergeCells count="93">
    <mergeCell ref="A90:C90"/>
    <mergeCell ref="A91:C91"/>
    <mergeCell ref="A92:C92"/>
    <mergeCell ref="A93:C93"/>
    <mergeCell ref="A94:C94"/>
    <mergeCell ref="A89:C89"/>
    <mergeCell ref="A76:C76"/>
    <mergeCell ref="A77:C77"/>
    <mergeCell ref="A78:C78"/>
    <mergeCell ref="A79:C79"/>
    <mergeCell ref="A80:C80"/>
    <mergeCell ref="A81:I81"/>
    <mergeCell ref="A82:I82"/>
    <mergeCell ref="A85:C85"/>
    <mergeCell ref="A86:C86"/>
    <mergeCell ref="A87:C87"/>
    <mergeCell ref="A88:C88"/>
    <mergeCell ref="A75:C75"/>
    <mergeCell ref="A64:C64"/>
    <mergeCell ref="A65:C65"/>
    <mergeCell ref="A66:C66"/>
    <mergeCell ref="A67:C67"/>
    <mergeCell ref="A68:C68"/>
    <mergeCell ref="A69:C69"/>
    <mergeCell ref="A70:C70"/>
    <mergeCell ref="A71:C71"/>
    <mergeCell ref="A72:C72"/>
    <mergeCell ref="A73:C73"/>
    <mergeCell ref="A74:C74"/>
    <mergeCell ref="A63:C63"/>
    <mergeCell ref="A52:B52"/>
    <mergeCell ref="A53:B53"/>
    <mergeCell ref="A54:B54"/>
    <mergeCell ref="A55:B55"/>
    <mergeCell ref="A56:B56"/>
    <mergeCell ref="A57:B57"/>
    <mergeCell ref="A58:C58"/>
    <mergeCell ref="A59:I59"/>
    <mergeCell ref="A60:I60"/>
    <mergeCell ref="A61:I61"/>
    <mergeCell ref="A62:C62"/>
    <mergeCell ref="A51:B51"/>
    <mergeCell ref="A40:C40"/>
    <mergeCell ref="A41:B41"/>
    <mergeCell ref="A42:B42"/>
    <mergeCell ref="A43:B43"/>
    <mergeCell ref="A44:B44"/>
    <mergeCell ref="A45:B45"/>
    <mergeCell ref="A46:B46"/>
    <mergeCell ref="A47:B47"/>
    <mergeCell ref="A48:B48"/>
    <mergeCell ref="A49:C49"/>
    <mergeCell ref="A50:B50"/>
    <mergeCell ref="A39:B39"/>
    <mergeCell ref="A28:B28"/>
    <mergeCell ref="A29:B29"/>
    <mergeCell ref="A30:B30"/>
    <mergeCell ref="A31:C31"/>
    <mergeCell ref="A32:B32"/>
    <mergeCell ref="A33:B33"/>
    <mergeCell ref="A34:B34"/>
    <mergeCell ref="A35:B35"/>
    <mergeCell ref="A36:B36"/>
    <mergeCell ref="A37:B37"/>
    <mergeCell ref="A38:B38"/>
    <mergeCell ref="A27:B27"/>
    <mergeCell ref="A16:B16"/>
    <mergeCell ref="A17:B17"/>
    <mergeCell ref="A18:B18"/>
    <mergeCell ref="A19:B19"/>
    <mergeCell ref="A20:B20"/>
    <mergeCell ref="A21:B21"/>
    <mergeCell ref="A22:C22"/>
    <mergeCell ref="A23:B23"/>
    <mergeCell ref="A24:B24"/>
    <mergeCell ref="A25:B25"/>
    <mergeCell ref="A26:B26"/>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14171</v>
      </c>
    </row>
    <row r="45" spans="14:20">
      <c r="N45" s="1538" t="s">
        <v>14172</v>
      </c>
      <c r="O45" s="1538" t="s">
        <v>14173</v>
      </c>
      <c r="Q45" s="1538" t="s">
        <v>14174</v>
      </c>
      <c r="R45" s="1538" t="s">
        <v>14175</v>
      </c>
      <c r="S45" s="1538" t="s">
        <v>14176</v>
      </c>
      <c r="T45" s="1538" t="s">
        <v>14326</v>
      </c>
    </row>
    <row r="46" spans="14:20">
      <c r="N46" s="1538">
        <v>1</v>
      </c>
      <c r="O46" s="1538" t="s">
        <v>14177</v>
      </c>
      <c r="P46" s="1538" t="s">
        <v>14205</v>
      </c>
      <c r="Q46" s="1538" t="s">
        <v>14178</v>
      </c>
      <c r="R46" s="1538">
        <v>6</v>
      </c>
    </row>
    <row r="47" spans="14:20">
      <c r="N47" s="1538">
        <v>2</v>
      </c>
      <c r="O47" s="1538" t="s">
        <v>14179</v>
      </c>
      <c r="P47" s="1538" t="s">
        <v>14206</v>
      </c>
      <c r="Q47" s="1538" t="s">
        <v>14180</v>
      </c>
      <c r="R47" s="1538">
        <v>1</v>
      </c>
    </row>
    <row r="48" spans="14:20">
      <c r="N48" s="1538" t="s">
        <v>14181</v>
      </c>
      <c r="O48" s="1538" t="s">
        <v>14182</v>
      </c>
      <c r="P48" s="1538" t="s">
        <v>14207</v>
      </c>
      <c r="Q48" s="1538" t="s">
        <v>14178</v>
      </c>
      <c r="R48" s="1538">
        <v>8</v>
      </c>
      <c r="S48" s="1604">
        <f>R48/SUM($R$48:$R$50)</f>
        <v>0.34782608695652173</v>
      </c>
      <c r="T48" s="1606">
        <f>S48</f>
        <v>0.34782608695652173</v>
      </c>
    </row>
    <row r="49" spans="1:20">
      <c r="E49" s="1538">
        <f>9+22</f>
        <v>31</v>
      </c>
      <c r="N49" s="1538" t="s">
        <v>14183</v>
      </c>
      <c r="O49" s="1538" t="s">
        <v>14184</v>
      </c>
      <c r="P49" s="1538" t="s">
        <v>14208</v>
      </c>
      <c r="Q49" s="1538" t="s">
        <v>14178</v>
      </c>
      <c r="R49" s="1538">
        <v>9</v>
      </c>
      <c r="S49" s="1604">
        <f t="shared" ref="S49:S50" si="0">R49/SUM($R$48:$R$50)</f>
        <v>0.39130434782608697</v>
      </c>
      <c r="T49" s="1606">
        <f>S49</f>
        <v>0.39130434782608697</v>
      </c>
    </row>
    <row r="50" spans="1:20">
      <c r="N50" s="1538">
        <v>4</v>
      </c>
      <c r="O50" s="1538" t="s">
        <v>14185</v>
      </c>
      <c r="P50" s="1538" t="s">
        <v>14206</v>
      </c>
      <c r="Q50" s="1538" t="s">
        <v>14180</v>
      </c>
      <c r="R50" s="1538">
        <v>6</v>
      </c>
      <c r="S50" s="1604">
        <f t="shared" si="0"/>
        <v>0.2608695652173913</v>
      </c>
      <c r="T50" s="1605">
        <f>1-SUM(T48:T49)</f>
        <v>0.26086956521739135</v>
      </c>
    </row>
    <row r="51" spans="1:20">
      <c r="N51" s="1538" t="s">
        <v>14210</v>
      </c>
      <c r="O51" s="1538" t="s">
        <v>14186</v>
      </c>
      <c r="P51" s="1538" t="s">
        <v>14209</v>
      </c>
      <c r="Q51" s="1538" t="s">
        <v>14178</v>
      </c>
      <c r="R51" s="1538">
        <v>2</v>
      </c>
    </row>
    <row r="52" spans="1:20" ht="15">
      <c r="N52" s="1538" t="s">
        <v>14211</v>
      </c>
      <c r="O52" s="1538" t="s">
        <v>14186</v>
      </c>
      <c r="P52" s="1538" t="s">
        <v>14212</v>
      </c>
      <c r="Q52" s="1538" t="s">
        <v>14178</v>
      </c>
      <c r="R52" s="1538">
        <v>22</v>
      </c>
      <c r="T52" t="s">
        <v>14203</v>
      </c>
    </row>
    <row r="53" spans="1:20" ht="15">
      <c r="N53" s="1538" t="s">
        <v>14210</v>
      </c>
      <c r="O53" s="1538" t="s">
        <v>14186</v>
      </c>
      <c r="P53" s="1538" t="s">
        <v>14213</v>
      </c>
      <c r="Q53" s="1538" t="s">
        <v>14178</v>
      </c>
      <c r="R53" s="1538">
        <v>3</v>
      </c>
      <c r="T53" t="s">
        <v>14204</v>
      </c>
    </row>
    <row r="55" spans="1:20" ht="15.75">
      <c r="A55" s="1537" t="s">
        <v>14187</v>
      </c>
      <c r="N55" s="1538" t="s">
        <v>14188</v>
      </c>
      <c r="R55" s="1538">
        <f>SUM(R47:R53)</f>
        <v>51</v>
      </c>
    </row>
    <row r="56" spans="1:20">
      <c r="A56" s="1538" t="s">
        <v>14189</v>
      </c>
      <c r="N56" s="1538" t="s">
        <v>14202</v>
      </c>
      <c r="R56" s="1538">
        <f>R55-R50-R47</f>
        <v>44</v>
      </c>
    </row>
    <row r="57" spans="1:20">
      <c r="A57" s="1538" t="s">
        <v>14190</v>
      </c>
      <c r="C57" s="1538" t="s">
        <v>14191</v>
      </c>
      <c r="N57" s="1538" t="s">
        <v>14202</v>
      </c>
      <c r="O57" s="1538" t="s">
        <v>14215</v>
      </c>
      <c r="R57" s="1538">
        <f>R48+R49</f>
        <v>17</v>
      </c>
    </row>
    <row r="58" spans="1:20">
      <c r="C58" s="1538">
        <v>103164727</v>
      </c>
      <c r="N58" s="1538" t="s">
        <v>14202</v>
      </c>
      <c r="O58" s="1538" t="s">
        <v>14214</v>
      </c>
      <c r="R58" s="1538">
        <f>R52+R53</f>
        <v>25</v>
      </c>
    </row>
    <row r="59" spans="1:20">
      <c r="C59" s="1538" t="s">
        <v>14192</v>
      </c>
      <c r="N59" s="1538" t="s">
        <v>14202</v>
      </c>
      <c r="O59" s="1538" t="s">
        <v>14305</v>
      </c>
      <c r="R59" s="1538">
        <f>R51</f>
        <v>2</v>
      </c>
    </row>
    <row r="60" spans="1:20">
      <c r="C60" s="1538" t="s">
        <v>14193</v>
      </c>
      <c r="D60" s="1538">
        <v>94521</v>
      </c>
      <c r="E60" s="1538" t="s">
        <v>14194</v>
      </c>
      <c r="F60" s="1538">
        <f>D60*3.6</f>
        <v>340275.60000000003</v>
      </c>
      <c r="G60" s="1538" t="s">
        <v>1145</v>
      </c>
      <c r="H60" s="1538">
        <f>F60*0.000001</f>
        <v>0.34027560000000001</v>
      </c>
      <c r="I60" s="1538" t="s">
        <v>248</v>
      </c>
    </row>
    <row r="61" spans="1:20">
      <c r="C61" s="1538" t="s">
        <v>1700</v>
      </c>
      <c r="D61" s="1538">
        <v>2446</v>
      </c>
      <c r="E61" s="1538" t="s">
        <v>14194</v>
      </c>
      <c r="F61" s="1538">
        <f t="shared" ref="F61:F63" si="1">D61*3.6</f>
        <v>8805.6</v>
      </c>
      <c r="G61" s="1538" t="s">
        <v>1145</v>
      </c>
      <c r="H61" s="1538">
        <f t="shared" ref="H61:H63" si="2">F61*0.000001</f>
        <v>8.8056000000000002E-3</v>
      </c>
      <c r="I61" s="1538" t="s">
        <v>248</v>
      </c>
    </row>
    <row r="62" spans="1:20">
      <c r="C62" s="1538" t="s">
        <v>14195</v>
      </c>
      <c r="D62" s="1538">
        <v>84661823</v>
      </c>
      <c r="E62" s="1538" t="s">
        <v>14194</v>
      </c>
      <c r="F62" s="1538">
        <f t="shared" si="1"/>
        <v>304782562.80000001</v>
      </c>
      <c r="G62" s="1538" t="s">
        <v>1145</v>
      </c>
      <c r="H62" s="1538">
        <f t="shared" si="2"/>
        <v>304.78256279999999</v>
      </c>
      <c r="I62" s="1538" t="s">
        <v>248</v>
      </c>
    </row>
    <row r="63" spans="1:20">
      <c r="C63" s="1538" t="s">
        <v>14196</v>
      </c>
      <c r="D63" s="1538">
        <v>18405938</v>
      </c>
      <c r="E63" s="1538" t="s">
        <v>14194</v>
      </c>
      <c r="F63" s="1538">
        <f t="shared" si="1"/>
        <v>66261376.800000004</v>
      </c>
      <c r="G63" s="1538" t="s">
        <v>1145</v>
      </c>
      <c r="H63" s="1538">
        <f t="shared" si="2"/>
        <v>66.261376800000008</v>
      </c>
      <c r="I63" s="1538" t="s">
        <v>248</v>
      </c>
    </row>
    <row r="67" spans="3:9">
      <c r="C67" s="1538" t="s">
        <v>14197</v>
      </c>
    </row>
    <row r="68" spans="3:9">
      <c r="C68" s="1538" t="s">
        <v>23</v>
      </c>
      <c r="D68" s="1538">
        <v>0</v>
      </c>
      <c r="E68" s="1538" t="s">
        <v>14194</v>
      </c>
    </row>
    <row r="69" spans="3:9">
      <c r="C69" s="1538" t="s">
        <v>671</v>
      </c>
      <c r="D69" s="1538">
        <v>75393332</v>
      </c>
      <c r="E69" s="1538" t="s">
        <v>14194</v>
      </c>
      <c r="F69" s="1538">
        <f>D69*3.6</f>
        <v>271415995.19999999</v>
      </c>
      <c r="G69" s="1538" t="s">
        <v>1145</v>
      </c>
      <c r="H69" s="1538">
        <f>F69*0.000001</f>
        <v>271.4159952</v>
      </c>
      <c r="I69" s="1538" t="s">
        <v>248</v>
      </c>
    </row>
    <row r="70" spans="3:9">
      <c r="C70" s="1538" t="s">
        <v>14198</v>
      </c>
      <c r="D70" s="1538">
        <v>0</v>
      </c>
      <c r="E70" s="1538" t="s">
        <v>14194</v>
      </c>
    </row>
    <row r="73" spans="3:9">
      <c r="C73" s="1538" t="s">
        <v>14199</v>
      </c>
    </row>
    <row r="84" spans="1:7">
      <c r="D84" s="1538">
        <v>17271234</v>
      </c>
      <c r="E84" s="1538" t="s">
        <v>14194</v>
      </c>
    </row>
    <row r="85" spans="1:7">
      <c r="D85" s="1538">
        <v>8002743</v>
      </c>
      <c r="E85" s="1538" t="s">
        <v>14194</v>
      </c>
    </row>
    <row r="86" spans="1:7">
      <c r="D86" s="1538">
        <v>9268491</v>
      </c>
      <c r="E86" s="1538" t="s">
        <v>14194</v>
      </c>
    </row>
    <row r="87" spans="1:7">
      <c r="D87" s="1538">
        <v>0</v>
      </c>
      <c r="E87" s="1538" t="s">
        <v>14194</v>
      </c>
    </row>
    <row r="88" spans="1:7">
      <c r="D88" s="1538">
        <v>0</v>
      </c>
      <c r="E88" s="1538" t="s">
        <v>14194</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14318</v>
      </c>
      <c r="F95" s="1598">
        <v>13777374</v>
      </c>
      <c r="G95" s="1538" t="s">
        <v>14317</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topLeftCell="A238" workbookViewId="0">
      <selection activeCell="N244" sqref="N244"/>
    </sheetView>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14105</v>
      </c>
      <c r="M11" s="413"/>
      <c r="N11" s="413"/>
      <c r="O11" s="413"/>
      <c r="P11" s="1410"/>
      <c r="Q11" s="1382"/>
      <c r="R11" s="1607" t="s">
        <v>14328</v>
      </c>
      <c r="S11" s="1409"/>
    </row>
    <row r="12" spans="2:30" ht="15.75" thickBot="1">
      <c r="B12" s="427" t="s">
        <v>14106</v>
      </c>
      <c r="C12" s="427" t="s">
        <v>620</v>
      </c>
      <c r="D12" s="407">
        <f>D11-D15+D16</f>
        <v>41</v>
      </c>
      <c r="E12" s="1473" t="s">
        <v>14105</v>
      </c>
      <c r="L12" s="415" t="s">
        <v>622</v>
      </c>
      <c r="P12" s="1410"/>
      <c r="Q12" s="1607" t="s">
        <v>1846</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14299</v>
      </c>
      <c r="R13" s="1608">
        <f>'SASOL CC 2019 report'!O33</f>
        <v>25578.843000000001</v>
      </c>
      <c r="S13" s="427" t="str">
        <f>L13</f>
        <v>Coal Material Input</v>
      </c>
      <c r="T13" s="431">
        <v>542321</v>
      </c>
      <c r="U13" s="503" t="s">
        <v>14103</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14301</v>
      </c>
      <c r="R14" s="1613">
        <f>1- R12/R13</f>
        <v>6.20256712195284E-2</v>
      </c>
      <c r="S14" s="427" t="str">
        <f>L14</f>
        <v>Gas Material Input</v>
      </c>
      <c r="T14" s="431">
        <v>66763.742000000013</v>
      </c>
      <c r="U14" s="503" t="s">
        <v>14102</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14104</v>
      </c>
      <c r="C16" s="427" t="s">
        <v>620</v>
      </c>
      <c r="D16" s="407">
        <v>8</v>
      </c>
      <c r="J16" s="1397">
        <v>49.353049907578551</v>
      </c>
      <c r="L16" s="427" t="s">
        <v>631</v>
      </c>
      <c r="M16" s="431">
        <v>0</v>
      </c>
      <c r="N16" s="406">
        <f>N27</f>
        <v>56.1</v>
      </c>
      <c r="O16" s="431">
        <f>M16*N16/1000</f>
        <v>0</v>
      </c>
      <c r="P16" s="1409"/>
      <c r="Q16" s="1609"/>
      <c r="R16" s="1610" t="s">
        <v>14329</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14306</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14327</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14316</v>
      </c>
      <c r="K19" s="431">
        <f>M19/$D$32</f>
        <v>54552.890090400004</v>
      </c>
      <c r="L19" s="427" t="s">
        <v>640</v>
      </c>
      <c r="M19" s="431">
        <f>D37</f>
        <v>46423.36881761744</v>
      </c>
      <c r="N19" s="406"/>
      <c r="O19" s="1539">
        <f>M19*$D$30/1000</f>
        <v>4430.0897531579812</v>
      </c>
      <c r="Q19" s="1607" t="s">
        <v>14301</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14304</v>
      </c>
      <c r="N23" s="406"/>
      <c r="O23" s="404">
        <f>SUM(O17:O18)</f>
        <v>18886.172105568236</v>
      </c>
      <c r="P23" s="504"/>
      <c r="R23" s="504"/>
    </row>
    <row r="24" spans="2:30">
      <c r="B24" s="427" t="s">
        <v>648</v>
      </c>
      <c r="C24" s="427" t="s">
        <v>649</v>
      </c>
      <c r="D24" s="1603">
        <v>20.840000000000003</v>
      </c>
      <c r="E24" s="427" t="s">
        <v>14216</v>
      </c>
      <c r="L24" s="403" t="s">
        <v>14319</v>
      </c>
      <c r="N24" s="406"/>
      <c r="O24" s="1539">
        <f>E90-O21</f>
        <v>43874.5</v>
      </c>
      <c r="P24" s="431"/>
      <c r="Q24" s="504"/>
      <c r="R24" s="504"/>
      <c r="T24" s="503" t="s">
        <v>2136</v>
      </c>
    </row>
    <row r="25" spans="2:30">
      <c r="B25" s="427" t="s">
        <v>14325</v>
      </c>
      <c r="C25" s="427" t="s">
        <v>649</v>
      </c>
      <c r="D25" s="1603">
        <v>18.670000000000002</v>
      </c>
      <c r="I25" s="427" t="s">
        <v>14169</v>
      </c>
      <c r="J25" s="1595" t="s">
        <v>14308</v>
      </c>
      <c r="L25" s="427" t="s">
        <v>650</v>
      </c>
      <c r="N25" s="406"/>
      <c r="O25" s="404">
        <f>O24-O23+P25</f>
        <v>24988.327894431764</v>
      </c>
      <c r="P25" s="407">
        <v>0</v>
      </c>
      <c r="Q25" s="504"/>
      <c r="T25" s="503" t="s">
        <v>254</v>
      </c>
      <c r="U25" s="503">
        <v>23600</v>
      </c>
    </row>
    <row r="26" spans="2:30" ht="15.75" thickBot="1">
      <c r="B26" s="415" t="s">
        <v>651</v>
      </c>
      <c r="I26" s="427" t="s">
        <v>14168</v>
      </c>
      <c r="J26" s="427" t="s">
        <v>14168</v>
      </c>
      <c r="K26" s="1476" t="s">
        <v>14113</v>
      </c>
      <c r="L26" s="413" t="s">
        <v>652</v>
      </c>
      <c r="N26" s="406"/>
      <c r="Q26" s="504"/>
      <c r="R26" s="1587" t="s">
        <v>14217</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1805</v>
      </c>
      <c r="U27" s="432">
        <f>M28</f>
        <v>968.6782907999999</v>
      </c>
    </row>
    <row r="28" spans="2:30">
      <c r="B28" s="427" t="s">
        <v>655</v>
      </c>
      <c r="C28" s="427" t="s">
        <v>506</v>
      </c>
      <c r="D28" s="432">
        <v>2778.39</v>
      </c>
      <c r="E28" s="427" t="s">
        <v>14310</v>
      </c>
      <c r="G28" s="427" t="s">
        <v>14309</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14311</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14312</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14313</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14315</v>
      </c>
      <c r="D32" s="407">
        <f>H31</f>
        <v>0.85097909094621615</v>
      </c>
      <c r="F32" s="1114"/>
      <c r="G32" s="1596" t="s">
        <v>14314</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14320</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14170</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13546</v>
      </c>
      <c r="R37" s="1600">
        <v>25578.84</v>
      </c>
      <c r="U37" s="446">
        <f>U34/U35</f>
        <v>0.2979682648272291</v>
      </c>
    </row>
    <row r="38" spans="2:27">
      <c r="B38" s="427" t="s">
        <v>676</v>
      </c>
      <c r="C38" s="427" t="s">
        <v>520</v>
      </c>
      <c r="D38" s="407">
        <v>130</v>
      </c>
      <c r="E38" s="427" t="s">
        <v>677</v>
      </c>
      <c r="J38" s="427" t="str">
        <f t="shared" si="5"/>
        <v>UCTLCLEIN-E</v>
      </c>
      <c r="L38" s="413" t="s">
        <v>678</v>
      </c>
      <c r="Q38" s="1587" t="s">
        <v>13553</v>
      </c>
      <c r="R38" s="1600">
        <v>16546.82</v>
      </c>
      <c r="U38" s="427"/>
    </row>
    <row r="39" spans="2:27">
      <c r="B39" s="427" t="s">
        <v>679</v>
      </c>
      <c r="C39" s="427" t="s">
        <v>14201</v>
      </c>
      <c r="D39" s="407">
        <v>600</v>
      </c>
      <c r="E39" s="427" t="s">
        <v>14200</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14321</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14107</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13415</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13415</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14300</v>
      </c>
      <c r="Q61" s="505" t="s">
        <v>1846</v>
      </c>
      <c r="R61" s="1400">
        <f>R84*N84</f>
        <v>920.49975670448089</v>
      </c>
    </row>
    <row r="62" spans="2:21">
      <c r="B62" s="427" t="s">
        <v>35</v>
      </c>
      <c r="C62" s="427" t="s">
        <v>0</v>
      </c>
      <c r="D62" s="431">
        <f>D55*$D$51</f>
        <v>1122.56</v>
      </c>
      <c r="L62" s="427" t="s">
        <v>709</v>
      </c>
      <c r="M62" s="427" t="s">
        <v>0</v>
      </c>
      <c r="N62" s="431">
        <f>D83</f>
        <v>216343.2875182417</v>
      </c>
      <c r="P62" s="505"/>
      <c r="Q62" s="505" t="s">
        <v>14299</v>
      </c>
      <c r="R62" s="431">
        <f>E89</f>
        <v>920.5</v>
      </c>
    </row>
    <row r="63" spans="2:21">
      <c r="B63" s="427" t="s">
        <v>627</v>
      </c>
      <c r="C63" s="427" t="s">
        <v>0</v>
      </c>
      <c r="D63" s="431">
        <f>D56*$D$51</f>
        <v>17820.64</v>
      </c>
      <c r="L63" s="427" t="s">
        <v>683</v>
      </c>
      <c r="M63" s="427" t="s">
        <v>0</v>
      </c>
      <c r="N63" s="431">
        <f>D62</f>
        <v>1122.56</v>
      </c>
      <c r="P63" s="505"/>
      <c r="Q63" s="505" t="s">
        <v>14301</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14107</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14322</v>
      </c>
      <c r="D71" s="432">
        <f>'[2]SASOL NIR 2017'!$U$11 *1000</f>
        <v>30761.111000000001</v>
      </c>
      <c r="E71" s="427" t="s">
        <v>14323</v>
      </c>
      <c r="L71" s="427" t="s">
        <v>715</v>
      </c>
      <c r="M71" s="427" t="s">
        <v>0</v>
      </c>
      <c r="N71" s="432">
        <f>'Crude refineries'!$AB$12</f>
        <v>7621.8370692764838</v>
      </c>
    </row>
    <row r="72" spans="2:19">
      <c r="B72" s="427" t="s">
        <v>716</v>
      </c>
      <c r="C72" s="427" t="s">
        <v>0</v>
      </c>
      <c r="D72" s="432">
        <v>126165.20000000001</v>
      </c>
      <c r="E72" s="427" t="s">
        <v>14108</v>
      </c>
      <c r="L72" s="427" t="s">
        <v>717</v>
      </c>
      <c r="M72" s="427" t="s">
        <v>0</v>
      </c>
      <c r="N72" s="431">
        <f>SUM(N66:N71)</f>
        <v>203440.89587632063</v>
      </c>
    </row>
    <row r="73" spans="2:19">
      <c r="B73" s="427" t="s">
        <v>718</v>
      </c>
      <c r="C73" s="427" t="s">
        <v>0</v>
      </c>
      <c r="D73" s="432">
        <v>51780</v>
      </c>
      <c r="E73" s="427" t="s">
        <v>14324</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14324</v>
      </c>
      <c r="J74" s="427" t="str">
        <f t="shared" si="8"/>
        <v>UREFOCRIN-E</v>
      </c>
      <c r="L74" s="413" t="s">
        <v>678</v>
      </c>
    </row>
    <row r="75" spans="2:19">
      <c r="B75" s="427" t="s">
        <v>720</v>
      </c>
      <c r="C75" s="427" t="s">
        <v>0</v>
      </c>
      <c r="D75" s="1601">
        <v>28640.346999999998</v>
      </c>
      <c r="E75" s="427" t="s">
        <v>14323</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14217</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14297</v>
      </c>
      <c r="C87" s="427" t="s">
        <v>14109</v>
      </c>
      <c r="D87" s="427" t="s">
        <v>14110</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13415</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13415</v>
      </c>
      <c r="Q89" s="503">
        <v>2019</v>
      </c>
    </row>
    <row r="90" spans="2:19">
      <c r="B90" s="1474" t="s">
        <v>14111</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14112</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1588</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1589</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14300</v>
      </c>
      <c r="Q154" s="505" t="s">
        <v>1846</v>
      </c>
      <c r="R154" s="1397">
        <f>R170*N171</f>
        <v>2472.0238511742737</v>
      </c>
    </row>
    <row r="155" spans="2:19">
      <c r="B155" s="427" t="s">
        <v>801</v>
      </c>
      <c r="C155" s="427" t="s">
        <v>0</v>
      </c>
      <c r="D155" s="432">
        <v>926356.32638568</v>
      </c>
      <c r="E155" s="427" t="s">
        <v>802</v>
      </c>
      <c r="P155" s="503" t="s">
        <v>254</v>
      </c>
      <c r="Q155" s="505" t="s">
        <v>14299</v>
      </c>
      <c r="R155" s="1540">
        <f>3328.02714 -R62</f>
        <v>2407.5271400000001</v>
      </c>
      <c r="S155" s="503" t="s">
        <v>14302</v>
      </c>
    </row>
    <row r="156" spans="2:19">
      <c r="B156" s="427" t="s">
        <v>803</v>
      </c>
      <c r="C156" s="427" t="s">
        <v>0</v>
      </c>
      <c r="D156" s="432">
        <f>1000*D79</f>
        <v>42660</v>
      </c>
      <c r="P156" s="505"/>
      <c r="Q156" s="505" t="s">
        <v>14301</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14217</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13415</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13415</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14089</v>
      </c>
      <c r="L177" s="415" t="s">
        <v>14076</v>
      </c>
      <c r="N177" s="427" t="str">
        <f>UPS!$B$114</f>
        <v>UREFOCRCO-N</v>
      </c>
    </row>
    <row r="178" spans="2:14">
      <c r="B178" s="427" t="s">
        <v>733</v>
      </c>
      <c r="C178" s="427" t="s">
        <v>783</v>
      </c>
      <c r="D178" s="432">
        <v>300000</v>
      </c>
      <c r="E178" s="427" t="s">
        <v>14075</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14074</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14090</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1484</v>
      </c>
      <c r="C204" s="427" t="s">
        <v>0</v>
      </c>
      <c r="D204" s="460">
        <f>G204</f>
        <v>1016.0363890120483</v>
      </c>
      <c r="E204" s="1620">
        <f>U232</f>
        <v>2182.1822384053153</v>
      </c>
      <c r="F204" s="503"/>
      <c r="G204" s="1400">
        <f>AC232</f>
        <v>1016.0363890120483</v>
      </c>
      <c r="J204" s="427" t="str">
        <f>$N$203&amp;K204</f>
        <v>UGTLGICCO-EGIC</v>
      </c>
      <c r="K204" s="427" t="str">
        <f>NameConv!C26</f>
        <v>GIC</v>
      </c>
      <c r="L204" s="427" t="s">
        <v>1797</v>
      </c>
      <c r="N204" s="898">
        <f>1-SUM(N205:N206)</f>
        <v>0.76985311799533229</v>
      </c>
      <c r="R204" s="503" t="s">
        <v>1493</v>
      </c>
      <c r="S204" s="906">
        <v>0.8</v>
      </c>
      <c r="T204" s="460">
        <f>3/3</f>
        <v>1</v>
      </c>
    </row>
    <row r="205" spans="1:20">
      <c r="A205" s="427" t="s">
        <v>14331</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1507</v>
      </c>
      <c r="S205" s="906"/>
      <c r="T205" s="906"/>
    </row>
    <row r="206" spans="1:20">
      <c r="B206" s="427" t="s">
        <v>1498</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1488</v>
      </c>
    </row>
    <row r="209" spans="1:34">
      <c r="B209" s="427" t="s">
        <v>810</v>
      </c>
      <c r="E209" s="505"/>
      <c r="F209" s="503"/>
      <c r="G209" s="1400"/>
      <c r="J209" s="427" t="str">
        <f t="shared" si="22"/>
        <v>UGTLGICCO-E</v>
      </c>
      <c r="L209" s="427" t="str">
        <f t="shared" si="23"/>
        <v>Energy Products Output Share</v>
      </c>
      <c r="P209" s="506"/>
      <c r="R209" s="503" t="s">
        <v>1487</v>
      </c>
      <c r="S209" s="906">
        <v>7.3529999999999998</v>
      </c>
      <c r="U209" s="902" t="s">
        <v>1488</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1486</v>
      </c>
      <c r="S210" s="906">
        <v>41.868000000000002</v>
      </c>
      <c r="T210" s="903" t="s">
        <v>1497</v>
      </c>
      <c r="U210" s="902" t="s">
        <v>1488</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1500</v>
      </c>
      <c r="S211" s="906">
        <v>0.19</v>
      </c>
      <c r="T211" s="503" t="s">
        <v>1501</v>
      </c>
      <c r="U211" s="910" t="s">
        <v>1502</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1503</v>
      </c>
      <c r="S212" s="503">
        <v>45.75</v>
      </c>
      <c r="T212" s="503" t="s">
        <v>1045</v>
      </c>
      <c r="U212" s="902" t="s">
        <v>1488</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14339</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1508</v>
      </c>
      <c r="S215" s="947" t="s">
        <v>1489</v>
      </c>
      <c r="V215" s="427"/>
      <c r="W215" s="947" t="s">
        <v>1490</v>
      </c>
      <c r="X215" s="503"/>
      <c r="Y215" s="503"/>
      <c r="AA215" s="947" t="s">
        <v>14330</v>
      </c>
      <c r="AB215" s="503"/>
      <c r="AC215" s="503"/>
      <c r="AE215" s="947" t="s">
        <v>14091</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14333</v>
      </c>
      <c r="S216" s="934">
        <v>12.7</v>
      </c>
      <c r="T216" s="926" t="s">
        <v>1482</v>
      </c>
      <c r="U216" s="935">
        <f>S216/$S$209*$S$210* 1000</f>
        <v>72313.831089351283</v>
      </c>
      <c r="V216" s="930" t="s">
        <v>0</v>
      </c>
      <c r="W216" s="934">
        <v>7.47</v>
      </c>
      <c r="X216" s="926" t="s">
        <v>1482</v>
      </c>
      <c r="Y216" s="935">
        <f>W216/$S$209*$S$210* 1000</f>
        <v>42534.198286413703</v>
      </c>
      <c r="Z216" s="930" t="s">
        <v>0</v>
      </c>
      <c r="AA216" s="1442"/>
      <c r="AB216" s="926" t="s">
        <v>1482</v>
      </c>
      <c r="AC216" s="935">
        <f>SUM(AC218:AC219)</f>
        <v>35477.051652386777</v>
      </c>
      <c r="AD216" s="930" t="s">
        <v>0</v>
      </c>
      <c r="AE216" s="1442"/>
      <c r="AF216" s="926" t="s">
        <v>1482</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1482</v>
      </c>
      <c r="U217" s="937">
        <f>S217/$S$209*$S$210* 1000</f>
        <v>64228.347613219084</v>
      </c>
      <c r="V217" s="931" t="s">
        <v>0</v>
      </c>
      <c r="W217" s="936">
        <v>7.47</v>
      </c>
      <c r="X217" s="927" t="s">
        <v>1482</v>
      </c>
      <c r="Y217" s="937">
        <f>W217/$S$209*$S$210* 1000</f>
        <v>42534.198286413703</v>
      </c>
      <c r="Z217" s="931" t="s">
        <v>0</v>
      </c>
      <c r="AA217" s="1441"/>
      <c r="AB217" s="927" t="s">
        <v>1482</v>
      </c>
      <c r="AC217" s="937"/>
      <c r="AD217" s="925" t="s">
        <v>0</v>
      </c>
      <c r="AE217" s="1441"/>
      <c r="AF217" s="927" t="s">
        <v>1482</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1491</v>
      </c>
      <c r="U218" s="937">
        <f>(S218*$S$211)/$S$209 * $S$210 *1000</f>
        <v>63072.465116279076</v>
      </c>
      <c r="V218" s="931" t="s">
        <v>0</v>
      </c>
      <c r="W218" s="938"/>
      <c r="X218" s="927" t="s">
        <v>1491</v>
      </c>
      <c r="Y218" s="937">
        <f>(W218*$S$211)/$S$209 * $S$210 *1000</f>
        <v>0</v>
      </c>
      <c r="Z218" s="931" t="s">
        <v>0</v>
      </c>
      <c r="AA218" s="938">
        <v>24.74</v>
      </c>
      <c r="AB218" s="927" t="s">
        <v>1491</v>
      </c>
      <c r="AC218" s="937">
        <f>(AA218*$S$211)/$S$209 * $S$210 *1000</f>
        <v>26765.227906976743</v>
      </c>
      <c r="AD218" s="925" t="s">
        <v>0</v>
      </c>
      <c r="AE218" s="938">
        <v>26.07</v>
      </c>
      <c r="AF218" s="927" t="s">
        <v>1491</v>
      </c>
      <c r="AG218" s="937">
        <f>(AE218*$S$211)/$S$209 * $S$210 *1000</f>
        <v>28204.102325581403</v>
      </c>
      <c r="AH218" s="925" t="s">
        <v>0</v>
      </c>
    </row>
    <row r="219" spans="1:34" ht="15.75" thickBot="1">
      <c r="A219" s="1619" t="s">
        <v>14335</v>
      </c>
      <c r="B219" s="1409" t="s">
        <v>14328</v>
      </c>
      <c r="C219" s="1619" t="s">
        <v>14336</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1494</v>
      </c>
      <c r="S219" s="941">
        <f>1.42</f>
        <v>1.42</v>
      </c>
      <c r="T219" s="942" t="s">
        <v>1481</v>
      </c>
      <c r="U219" s="549">
        <f>S219/$S$209*$S$210* 1000</f>
        <v>8085.4834761321918</v>
      </c>
      <c r="V219" s="943" t="s">
        <v>0</v>
      </c>
      <c r="W219" s="941"/>
      <c r="X219" s="942" t="s">
        <v>1481</v>
      </c>
      <c r="Y219" s="549">
        <f>W219/$S$209*$S$210* 1000</f>
        <v>0</v>
      </c>
      <c r="Z219" s="943" t="s">
        <v>0</v>
      </c>
      <c r="AA219" s="941">
        <v>1.53</v>
      </c>
      <c r="AB219" s="942" t="s">
        <v>1481</v>
      </c>
      <c r="AC219" s="549">
        <f>AA219/$S$209*$S$210* 1000</f>
        <v>8711.8237454100363</v>
      </c>
      <c r="AD219" s="953" t="s">
        <v>0</v>
      </c>
      <c r="AE219" s="941">
        <v>1.97</v>
      </c>
      <c r="AF219" s="942" t="s">
        <v>1481</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1485</v>
      </c>
      <c r="S220" s="1617">
        <f>SUM(S221:S222)</f>
        <v>2.6</v>
      </c>
      <c r="T220" s="926" t="s">
        <v>1481</v>
      </c>
      <c r="U220" s="935">
        <f>S220/$S$209*$S$210* 1000</f>
        <v>14804.406364749082</v>
      </c>
      <c r="V220" s="930" t="s">
        <v>0</v>
      </c>
      <c r="W220" s="1617">
        <f>SUM(W221:W222)</f>
        <v>0.39600000000000002</v>
      </c>
      <c r="X220" s="926" t="s">
        <v>1481</v>
      </c>
      <c r="Y220" s="935">
        <f>W221/$S$209*$S$210* 1000</f>
        <v>2254.8249694002452</v>
      </c>
      <c r="Z220" s="930" t="s">
        <v>0</v>
      </c>
      <c r="AA220" s="1617">
        <f>SUM(AA221:AA222)</f>
        <v>0</v>
      </c>
      <c r="AB220" s="926" t="s">
        <v>1481</v>
      </c>
      <c r="AC220" s="935">
        <f>AA221/$S$209*$S$210* 1000</f>
        <v>0</v>
      </c>
      <c r="AD220" s="930" t="s">
        <v>0</v>
      </c>
      <c r="AE220" s="1617">
        <f>SUM(AE221:AE222)</f>
        <v>0</v>
      </c>
      <c r="AF220" s="926" t="s">
        <v>1481</v>
      </c>
      <c r="AG220" s="935">
        <f>AE221/$S$209*$S$210* 1000</f>
        <v>0</v>
      </c>
      <c r="AH220" s="930" t="s">
        <v>0</v>
      </c>
    </row>
    <row r="221" spans="1:34">
      <c r="C221" s="1597" t="s">
        <v>1845</v>
      </c>
      <c r="D221" s="413" t="s">
        <v>1847</v>
      </c>
      <c r="E221" s="427" t="s">
        <v>0</v>
      </c>
      <c r="J221" s="427" t="str">
        <f t="shared" si="22"/>
        <v>UGTLGICCO-ELC_Future</v>
      </c>
      <c r="K221" s="427" t="str">
        <f>$A$260</f>
        <v>LC_Future</v>
      </c>
      <c r="L221" s="427" t="s">
        <v>738</v>
      </c>
      <c r="M221" s="427" t="s">
        <v>705</v>
      </c>
      <c r="N221" s="452">
        <f>N219+$D$103/N208</f>
        <v>140.13392192482252</v>
      </c>
      <c r="R221" s="918" t="s">
        <v>1495</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1496</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1779</v>
      </c>
      <c r="N223" s="427" t="str">
        <f>UPS!$B$70</f>
        <v>UGTLGASIN-N</v>
      </c>
      <c r="R223" s="920" t="s">
        <v>14332</v>
      </c>
      <c r="S223" s="1615">
        <v>10.17</v>
      </c>
      <c r="T223" s="926" t="s">
        <v>1481</v>
      </c>
      <c r="U223" s="935">
        <f>S223/$S$209*$S$210* 1000</f>
        <v>57908.004895960839</v>
      </c>
      <c r="V223" s="930" t="s">
        <v>0</v>
      </c>
      <c r="W223" s="948">
        <v>7.5250000000000004</v>
      </c>
      <c r="X223" s="926" t="s">
        <v>1481</v>
      </c>
      <c r="Y223" s="935">
        <f>W223/$S$209*$S$210* 1000</f>
        <v>42847.368421052633</v>
      </c>
      <c r="Z223" s="930" t="s">
        <v>0</v>
      </c>
      <c r="AA223" s="948">
        <v>6.2859999999999996</v>
      </c>
      <c r="AB223" s="926" t="s">
        <v>1481</v>
      </c>
      <c r="AC223" s="935">
        <f>AA223/$S$209*$S$210* 1000</f>
        <v>35792.499388004901</v>
      </c>
      <c r="AD223" s="930" t="s">
        <v>0</v>
      </c>
      <c r="AE223" s="948">
        <v>2.552</v>
      </c>
      <c r="AF223" s="926" t="s">
        <v>1481</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1480</v>
      </c>
      <c r="S224" s="927"/>
      <c r="T224" s="927" t="s">
        <v>1481</v>
      </c>
      <c r="U224" s="927"/>
      <c r="V224" s="931"/>
      <c r="W224" s="949">
        <v>5.4909999999999997</v>
      </c>
      <c r="X224" s="927" t="s">
        <v>1481</v>
      </c>
      <c r="Y224" s="540">
        <f>W224/$S$209*$S$210* 1000</f>
        <v>31265.767441860466</v>
      </c>
      <c r="Z224" s="931" t="s">
        <v>0</v>
      </c>
      <c r="AA224" s="949"/>
      <c r="AB224" s="927" t="s">
        <v>1481</v>
      </c>
      <c r="AC224" s="540">
        <f>AA224/$S$209*$S$210* 1000</f>
        <v>0</v>
      </c>
      <c r="AD224" s="931" t="s">
        <v>0</v>
      </c>
      <c r="AE224" s="949">
        <v>1.923</v>
      </c>
      <c r="AF224" s="927" t="s">
        <v>1481</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1483</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1492</v>
      </c>
      <c r="S226" s="927"/>
      <c r="T226" s="927" t="s">
        <v>1504</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1505</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1506</v>
      </c>
      <c r="V230" s="916"/>
      <c r="W230" s="922"/>
      <c r="X230" s="939"/>
      <c r="Y230" s="939"/>
      <c r="Z230" s="925"/>
      <c r="AA230" s="922"/>
      <c r="AB230" s="939"/>
      <c r="AC230" s="939"/>
      <c r="AD230" s="925"/>
      <c r="AE230" s="922"/>
      <c r="AF230" s="939"/>
      <c r="AG230" s="939"/>
      <c r="AH230" s="925"/>
    </row>
    <row r="231" spans="1:34" ht="15.75" thickBot="1">
      <c r="B231" s="415" t="s">
        <v>1779</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1848</v>
      </c>
      <c r="D232" s="1294" t="s">
        <v>1849</v>
      </c>
      <c r="E232" s="1296" t="s">
        <v>1850</v>
      </c>
      <c r="G232" s="503"/>
      <c r="J232" s="427" t="str">
        <f t="shared" si="29"/>
        <v>UGTLGASIN-NOHF</v>
      </c>
      <c r="K232" s="427" t="str">
        <f>NameConv!$C$38</f>
        <v>OHF</v>
      </c>
      <c r="L232" s="427" t="str">
        <f t="shared" si="30"/>
        <v>HFO</v>
      </c>
      <c r="N232" s="446">
        <f t="shared" si="31"/>
        <v>0</v>
      </c>
      <c r="R232" s="928" t="s">
        <v>1484</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1851</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1852</v>
      </c>
      <c r="C234" s="427" t="s">
        <v>2187</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1787</v>
      </c>
      <c r="R235" s="911" t="s">
        <v>1846</v>
      </c>
      <c r="W235" s="503" t="s">
        <v>1787</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1701</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1784</v>
      </c>
      <c r="R237" s="503" t="s">
        <v>33</v>
      </c>
      <c r="W237" s="1114">
        <v>0.53</v>
      </c>
      <c r="X237" s="503">
        <f t="shared" ref="X237:X242" si="33">W237*$W$224</f>
        <v>2.9102299999999999</v>
      </c>
      <c r="Y237" s="503">
        <f t="shared" si="32"/>
        <v>16570.856744186047</v>
      </c>
    </row>
    <row r="238" spans="1:34">
      <c r="D238" s="1622"/>
      <c r="E238" s="1624" t="s">
        <v>14337</v>
      </c>
      <c r="J238" s="427" t="str">
        <f t="shared" si="29"/>
        <v>UGTLGASIN-NRESID</v>
      </c>
      <c r="K238" s="427" t="str">
        <f>$A$255</f>
        <v>RESID</v>
      </c>
      <c r="L238" s="427" t="s">
        <v>733</v>
      </c>
      <c r="M238" s="427" t="s">
        <v>817</v>
      </c>
      <c r="N238" s="467">
        <v>0</v>
      </c>
      <c r="P238" s="427" t="s">
        <v>592</v>
      </c>
      <c r="Q238" s="503" t="s">
        <v>1783</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1782</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1781</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2186</v>
      </c>
      <c r="M241" s="427" t="s">
        <v>2187</v>
      </c>
      <c r="N241" s="467">
        <f>D234</f>
        <v>12.8826</v>
      </c>
      <c r="P241" s="427" t="s">
        <v>594</v>
      </c>
      <c r="Q241" s="503" t="s">
        <v>1785</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1786</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13539</v>
      </c>
      <c r="E246" s="1625">
        <v>0.1162</v>
      </c>
    </row>
    <row r="247" spans="1:25">
      <c r="D247" s="1622" t="s">
        <v>13540</v>
      </c>
      <c r="E247" s="1625">
        <v>151.39769999999999</v>
      </c>
    </row>
    <row r="248" spans="1:25">
      <c r="C248" s="1409" t="s">
        <v>14334</v>
      </c>
      <c r="D248" s="1619" t="s">
        <v>14336</v>
      </c>
      <c r="E248" s="1615">
        <v>167.62299999999999</v>
      </c>
      <c r="F248" s="1619" t="s">
        <v>14335</v>
      </c>
    </row>
    <row r="249" spans="1:25">
      <c r="D249" s="1626" t="s">
        <v>14338</v>
      </c>
      <c r="E249" s="1397">
        <f>SUM(E240:E245)</f>
        <v>25.83</v>
      </c>
      <c r="F249" s="427" t="s">
        <v>248</v>
      </c>
    </row>
    <row r="250" spans="1:25">
      <c r="D250" s="1622" t="s">
        <v>14340</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1780</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topLeftCell="A76" zoomScale="85" zoomScaleNormal="85" workbookViewId="0">
      <selection activeCell="A101" sqref="A101:C107"/>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14611</v>
      </c>
    </row>
    <row r="2" spans="1:18">
      <c r="A2" s="1409" t="s">
        <v>14613</v>
      </c>
      <c r="B2" s="1409" t="s">
        <v>14612</v>
      </c>
    </row>
    <row r="3" spans="1:18">
      <c r="A3" s="1409" t="s">
        <v>14562</v>
      </c>
      <c r="C3" s="1409" t="s">
        <v>14563</v>
      </c>
      <c r="G3" s="1409">
        <v>2020</v>
      </c>
      <c r="H3" s="1409">
        <v>2030</v>
      </c>
      <c r="I3" s="1409">
        <v>2035</v>
      </c>
      <c r="J3" s="1409">
        <v>2040</v>
      </c>
      <c r="K3" s="1409">
        <v>2050</v>
      </c>
      <c r="L3" s="1409">
        <v>2060</v>
      </c>
      <c r="M3" s="1409">
        <v>2070</v>
      </c>
      <c r="O3" s="1409">
        <v>2030</v>
      </c>
      <c r="P3" s="1409">
        <v>2035</v>
      </c>
      <c r="Q3" s="1409">
        <v>2040</v>
      </c>
      <c r="R3" s="1409">
        <v>2050</v>
      </c>
    </row>
    <row r="4" spans="1:18">
      <c r="A4" s="1409" t="s">
        <v>14608</v>
      </c>
      <c r="B4" s="1409" t="s">
        <v>14716</v>
      </c>
      <c r="C4" s="1409" t="s">
        <v>13417</v>
      </c>
      <c r="G4" s="1409">
        <v>2030</v>
      </c>
    </row>
    <row r="5" spans="1:18">
      <c r="A5" s="1409" t="s">
        <v>14608</v>
      </c>
      <c r="B5" s="1409" t="s">
        <v>14719</v>
      </c>
      <c r="C5" s="1409" t="s">
        <v>357</v>
      </c>
      <c r="D5" s="1409" t="s">
        <v>14610</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14606</v>
      </c>
      <c r="B6" s="1409" t="s">
        <v>14720</v>
      </c>
      <c r="C6" s="1409" t="s">
        <v>361</v>
      </c>
      <c r="D6" s="1409" t="s">
        <v>13537</v>
      </c>
    </row>
    <row r="7" spans="1:18">
      <c r="A7" s="1409" t="s">
        <v>14606</v>
      </c>
      <c r="B7" s="1409" t="s">
        <v>14718</v>
      </c>
      <c r="C7" s="1409" t="s">
        <v>361</v>
      </c>
      <c r="D7" s="1409" t="s">
        <v>1199</v>
      </c>
    </row>
    <row r="8" spans="1:18">
      <c r="A8" s="1409" t="s">
        <v>14607</v>
      </c>
      <c r="B8" s="1409" t="s">
        <v>14715</v>
      </c>
      <c r="C8" s="1409" t="s">
        <v>344</v>
      </c>
      <c r="D8" s="1409" t="s">
        <v>558</v>
      </c>
    </row>
    <row r="9" spans="1:18">
      <c r="A9" s="1409" t="s">
        <v>14607</v>
      </c>
      <c r="B9" s="1409" t="s">
        <v>14714</v>
      </c>
      <c r="C9" s="1409" t="s">
        <v>344</v>
      </c>
      <c r="D9" s="1409" t="s">
        <v>592</v>
      </c>
    </row>
    <row r="10" spans="1:18">
      <c r="A10" s="1409" t="s">
        <v>14608</v>
      </c>
      <c r="B10" s="1409" t="s">
        <v>14717</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14608</v>
      </c>
      <c r="B11" s="1409" t="s">
        <v>14720</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14608</v>
      </c>
      <c r="B12" s="1409" t="s">
        <v>14718</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14608</v>
      </c>
      <c r="B13" s="1409" t="s">
        <v>14715</v>
      </c>
      <c r="C13" s="1409" t="s">
        <v>855</v>
      </c>
      <c r="D13" s="1409" t="str">
        <f>D8</f>
        <v>OAG</v>
      </c>
      <c r="E13" s="1409" t="s">
        <v>344</v>
      </c>
      <c r="G13" s="666">
        <f>I31</f>
        <v>0.5118329249859862</v>
      </c>
      <c r="H13" s="666">
        <f t="shared" si="2"/>
        <v>0.5118329249859862</v>
      </c>
      <c r="I13" s="666">
        <f t="shared" si="2"/>
        <v>0.5118329249859862</v>
      </c>
      <c r="J13" s="666">
        <f t="shared" si="2"/>
        <v>0.5118329249859862</v>
      </c>
      <c r="K13" s="666">
        <f t="shared" si="2"/>
        <v>0.5118329249859862</v>
      </c>
      <c r="L13" s="666">
        <f t="shared" si="2"/>
        <v>0.5118329249859862</v>
      </c>
      <c r="M13" s="666">
        <f t="shared" si="2"/>
        <v>0.5118329249859862</v>
      </c>
    </row>
    <row r="14" spans="1:18">
      <c r="A14" s="1409" t="s">
        <v>14608</v>
      </c>
      <c r="B14" s="1409" t="s">
        <v>14714</v>
      </c>
      <c r="C14" s="1409" t="s">
        <v>855</v>
      </c>
      <c r="D14" s="1409" t="str">
        <f>D9</f>
        <v>OKE</v>
      </c>
      <c r="E14" s="1409" t="s">
        <v>344</v>
      </c>
      <c r="G14" s="666">
        <f>I32</f>
        <v>0.48816707501401374</v>
      </c>
      <c r="H14" s="666">
        <f t="shared" si="2"/>
        <v>0.48816707501401374</v>
      </c>
      <c r="I14" s="666">
        <f t="shared" si="2"/>
        <v>0.48816707501401374</v>
      </c>
      <c r="J14" s="666">
        <f t="shared" si="2"/>
        <v>0.48816707501401374</v>
      </c>
      <c r="K14" s="666">
        <f t="shared" si="2"/>
        <v>0.48816707501401374</v>
      </c>
      <c r="L14" s="666">
        <f t="shared" si="2"/>
        <v>0.48816707501401374</v>
      </c>
      <c r="M14" s="666">
        <f t="shared" si="2"/>
        <v>0.48816707501401374</v>
      </c>
    </row>
    <row r="15" spans="1:18">
      <c r="A15" s="1409" t="s">
        <v>14608</v>
      </c>
      <c r="B15" s="1409" t="s">
        <v>14086</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14608</v>
      </c>
      <c r="B16" s="1409" t="s">
        <v>14709</v>
      </c>
      <c r="C16" s="1409" t="s">
        <v>849</v>
      </c>
      <c r="D16" s="1409" t="s">
        <v>334</v>
      </c>
      <c r="E16" s="1717">
        <v>0.04</v>
      </c>
      <c r="G16" s="1691">
        <f>$E$16*G15</f>
        <v>19.110877684407097</v>
      </c>
      <c r="H16" s="1691">
        <f>$E$16*H15</f>
        <v>16.381661826724937</v>
      </c>
      <c r="I16" s="1691">
        <f>$E$16*I15</f>
        <v>14.816966823691608</v>
      </c>
      <c r="J16" s="1691">
        <f t="shared" ref="J16:K16" si="3">$E$16*J15</f>
        <v>13.252271820658279</v>
      </c>
      <c r="K16" s="1691">
        <f t="shared" si="3"/>
        <v>11.393381513312923</v>
      </c>
      <c r="L16" s="1691">
        <f>K16</f>
        <v>11.393381513312923</v>
      </c>
      <c r="M16" s="1691">
        <f>L16</f>
        <v>11.393381513312923</v>
      </c>
    </row>
    <row r="17" spans="1:13" ht="14.25" customHeight="1">
      <c r="A17" s="1409" t="s">
        <v>14608</v>
      </c>
      <c r="B17" s="1409" t="s">
        <v>14710</v>
      </c>
      <c r="C17" s="1409" t="s">
        <v>332</v>
      </c>
      <c r="D17" s="1409" t="s">
        <v>334</v>
      </c>
      <c r="E17" s="1402"/>
      <c r="G17" s="1715"/>
      <c r="H17" s="1691"/>
      <c r="I17" s="1691"/>
      <c r="J17" s="1691"/>
      <c r="K17" s="1691"/>
    </row>
    <row r="18" spans="1:13">
      <c r="A18" s="1409" t="s">
        <v>14608</v>
      </c>
      <c r="B18" s="1409" t="s">
        <v>14712</v>
      </c>
      <c r="C18" s="1409" t="s">
        <v>602</v>
      </c>
      <c r="D18" s="1409" t="s">
        <v>338</v>
      </c>
      <c r="G18" s="1397">
        <f>C44/8760</f>
        <v>0.91324200913242004</v>
      </c>
      <c r="H18" s="1397">
        <f>G18</f>
        <v>0.91324200913242004</v>
      </c>
      <c r="I18" s="1397">
        <f t="shared" ref="I18:M18" si="4">H18</f>
        <v>0.91324200913242004</v>
      </c>
      <c r="J18" s="1397">
        <f t="shared" si="4"/>
        <v>0.91324200913242004</v>
      </c>
      <c r="K18" s="1397">
        <f t="shared" si="4"/>
        <v>0.91324200913242004</v>
      </c>
      <c r="L18" s="1397">
        <f t="shared" si="4"/>
        <v>0.91324200913242004</v>
      </c>
      <c r="M18" s="1397">
        <f t="shared" si="4"/>
        <v>0.91324200913242004</v>
      </c>
    </row>
    <row r="19" spans="1:13">
      <c r="A19" s="1409" t="s">
        <v>14608</v>
      </c>
      <c r="B19" s="1409" t="s">
        <v>14711</v>
      </c>
      <c r="C19" s="1409" t="s">
        <v>602</v>
      </c>
      <c r="D19" s="1409" t="s">
        <v>1194</v>
      </c>
      <c r="G19" s="1397">
        <v>0.5</v>
      </c>
      <c r="H19" s="1397">
        <f t="shared" ref="H19:M21" si="5">G19</f>
        <v>0.5</v>
      </c>
      <c r="I19" s="1397">
        <f t="shared" si="5"/>
        <v>0.5</v>
      </c>
      <c r="J19" s="1397">
        <f t="shared" si="5"/>
        <v>0.5</v>
      </c>
      <c r="K19" s="1397">
        <f t="shared" si="5"/>
        <v>0.5</v>
      </c>
      <c r="L19" s="1397">
        <f t="shared" si="5"/>
        <v>0.5</v>
      </c>
      <c r="M19" s="1397">
        <f t="shared" si="5"/>
        <v>0.5</v>
      </c>
    </row>
    <row r="20" spans="1:13">
      <c r="A20" s="1409" t="s">
        <v>14608</v>
      </c>
      <c r="B20" s="1409" t="s">
        <v>14713</v>
      </c>
      <c r="C20" s="1409" t="s">
        <v>861</v>
      </c>
      <c r="D20" s="1409" t="s">
        <v>334</v>
      </c>
      <c r="G20" s="1409">
        <v>25</v>
      </c>
      <c r="H20" s="1397">
        <f t="shared" si="5"/>
        <v>25</v>
      </c>
      <c r="I20" s="1397">
        <f t="shared" si="5"/>
        <v>25</v>
      </c>
      <c r="J20" s="1397">
        <f t="shared" si="5"/>
        <v>25</v>
      </c>
      <c r="K20" s="1397">
        <f t="shared" si="5"/>
        <v>25</v>
      </c>
      <c r="L20" s="1397">
        <f t="shared" si="5"/>
        <v>25</v>
      </c>
      <c r="M20" s="1397">
        <f t="shared" si="5"/>
        <v>25</v>
      </c>
    </row>
    <row r="21" spans="1:13">
      <c r="A21" s="1409" t="s">
        <v>14608</v>
      </c>
      <c r="B21" s="1409" t="s">
        <v>14593</v>
      </c>
      <c r="C21" s="1409" t="s">
        <v>1136</v>
      </c>
      <c r="D21" s="1409" t="s">
        <v>334</v>
      </c>
      <c r="G21" s="1409">
        <v>-6</v>
      </c>
      <c r="H21" s="1397">
        <f t="shared" si="5"/>
        <v>-6</v>
      </c>
      <c r="I21" s="1397">
        <f t="shared" si="5"/>
        <v>-6</v>
      </c>
      <c r="J21" s="1397">
        <f t="shared" si="5"/>
        <v>-6</v>
      </c>
      <c r="K21" s="1397">
        <f t="shared" si="5"/>
        <v>-6</v>
      </c>
      <c r="L21" s="1397">
        <f t="shared" si="5"/>
        <v>-6</v>
      </c>
      <c r="M21" s="1397">
        <f t="shared" si="5"/>
        <v>-6</v>
      </c>
    </row>
    <row r="22" spans="1:13">
      <c r="H22" s="1397"/>
      <c r="I22" s="1397"/>
      <c r="J22" s="1397"/>
      <c r="K22" s="1397"/>
      <c r="L22" s="1397"/>
      <c r="M22" s="1397"/>
    </row>
    <row r="25" spans="1:13">
      <c r="A25" s="1747" t="s">
        <v>14615</v>
      </c>
      <c r="B25" s="1748" t="s">
        <v>14616</v>
      </c>
      <c r="C25" s="1748">
        <f>D27/I27</f>
        <v>3.1606644855486539</v>
      </c>
      <c r="D25" s="1748"/>
      <c r="E25" s="1748"/>
      <c r="F25" s="1748"/>
      <c r="G25" s="1748" t="s">
        <v>14617</v>
      </c>
      <c r="H25" s="1748">
        <f>I27/D27</f>
        <v>0.31638916581378673</v>
      </c>
      <c r="I25" s="1748"/>
      <c r="J25" s="1749"/>
    </row>
    <row r="26" spans="1:13">
      <c r="A26" s="1750"/>
      <c r="B26" s="1751"/>
      <c r="C26" s="1751"/>
      <c r="D26" s="1751" t="s">
        <v>14618</v>
      </c>
      <c r="E26" s="1751" t="s">
        <v>14619</v>
      </c>
      <c r="F26" s="1751"/>
      <c r="G26" s="1751"/>
      <c r="H26" s="1751"/>
      <c r="I26" s="1751" t="s">
        <v>14618</v>
      </c>
      <c r="J26" s="1752" t="s">
        <v>14619</v>
      </c>
    </row>
    <row r="27" spans="1:13">
      <c r="A27" s="1750"/>
      <c r="B27" s="1753" t="s">
        <v>14291</v>
      </c>
      <c r="C27" s="1753" t="s">
        <v>1145</v>
      </c>
      <c r="D27" s="1753">
        <f>SUM(D28:D29)</f>
        <v>2764.0029890109895</v>
      </c>
      <c r="E27" s="1753"/>
      <c r="F27" s="1753"/>
      <c r="G27" s="1753" t="s">
        <v>14291</v>
      </c>
      <c r="H27" s="1753" t="s">
        <v>1145</v>
      </c>
      <c r="I27" s="1753">
        <f>SUM(I28:I29)</f>
        <v>874.50060000000008</v>
      </c>
      <c r="J27" s="1754"/>
    </row>
    <row r="28" spans="1:13">
      <c r="A28" s="1750"/>
      <c r="B28" s="1751" t="s">
        <v>523</v>
      </c>
      <c r="C28" s="1751" t="s">
        <v>1145</v>
      </c>
      <c r="D28" s="1751">
        <f>C81</f>
        <v>214.99200000000002</v>
      </c>
      <c r="E28" s="1751"/>
      <c r="F28" s="1751"/>
      <c r="G28" s="1751" t="s">
        <v>14625</v>
      </c>
      <c r="H28" s="1751" t="s">
        <v>1145</v>
      </c>
      <c r="I28" s="1751">
        <f>C88*Q147</f>
        <v>447.59819999999996</v>
      </c>
      <c r="J28" s="1752">
        <f>I28*8760</f>
        <v>3920960.2319999998</v>
      </c>
    </row>
    <row r="29" spans="1:13">
      <c r="A29" s="1750"/>
      <c r="B29" s="1751" t="s">
        <v>14627</v>
      </c>
      <c r="C29" s="1751" t="s">
        <v>1145</v>
      </c>
      <c r="D29" s="1755">
        <f>C71</f>
        <v>2549.0109890109893</v>
      </c>
      <c r="E29" s="1751"/>
      <c r="F29" s="1751"/>
      <c r="G29" s="1751" t="s">
        <v>14628</v>
      </c>
      <c r="H29" s="1751" t="s">
        <v>1145</v>
      </c>
      <c r="I29" s="1751">
        <f>C89*Q148</f>
        <v>426.90240000000006</v>
      </c>
      <c r="J29" s="1752">
        <f>I29*8760</f>
        <v>3739665.0240000007</v>
      </c>
    </row>
    <row r="30" spans="1:13">
      <c r="A30" s="1756" t="s">
        <v>14630</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14635</v>
      </c>
      <c r="B34" s="1746"/>
      <c r="C34" s="1746"/>
      <c r="D34" s="1746"/>
      <c r="E34" s="1746"/>
      <c r="F34" s="1746"/>
      <c r="G34" s="1746"/>
      <c r="H34" s="1746"/>
      <c r="I34" s="1746"/>
      <c r="J34" s="1757"/>
    </row>
    <row r="35" spans="1:10">
      <c r="A35" s="1750"/>
      <c r="B35" s="1751" t="s">
        <v>14637</v>
      </c>
      <c r="C35" s="1751" t="s">
        <v>14638</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14642</v>
      </c>
      <c r="B38" s="1746"/>
      <c r="C38" s="1746"/>
      <c r="D38" s="1746"/>
      <c r="E38" s="1746"/>
      <c r="F38" s="1746"/>
      <c r="G38" s="1746"/>
      <c r="H38" s="1746"/>
      <c r="I38" s="1746"/>
      <c r="J38" s="1757"/>
    </row>
    <row r="39" spans="1:10">
      <c r="A39" s="1750"/>
      <c r="B39" s="1751"/>
      <c r="C39" s="1751"/>
      <c r="D39" s="1751"/>
      <c r="E39" s="1751"/>
      <c r="F39" s="1751"/>
      <c r="G39" s="1751" t="s">
        <v>14644</v>
      </c>
      <c r="H39" s="1751" t="s">
        <v>14638</v>
      </c>
      <c r="I39" s="1751">
        <f>C92</f>
        <v>6.94</v>
      </c>
      <c r="J39" s="1752">
        <f>I39*8760</f>
        <v>60794.400000000001</v>
      </c>
    </row>
    <row r="40" spans="1:10">
      <c r="A40" s="1756"/>
      <c r="B40" s="1746"/>
      <c r="C40" s="1746"/>
      <c r="D40" s="1746"/>
      <c r="E40" s="1746"/>
      <c r="F40" s="1746"/>
      <c r="G40" s="1746"/>
      <c r="H40" s="1746" t="s">
        <v>14168</v>
      </c>
      <c r="I40" s="1746"/>
      <c r="J40" s="1757">
        <f>J39/1000</f>
        <v>60.794400000000003</v>
      </c>
    </row>
    <row r="44" spans="1:10">
      <c r="A44" s="1409" t="s">
        <v>14613</v>
      </c>
      <c r="B44" s="1409" t="s">
        <v>14614</v>
      </c>
      <c r="C44" s="1409">
        <v>8000</v>
      </c>
    </row>
    <row r="46" spans="1:10">
      <c r="A46" s="1409" t="s">
        <v>14620</v>
      </c>
      <c r="C46" s="1409" t="s">
        <v>14621</v>
      </c>
      <c r="D46" s="1409" t="s">
        <v>14622</v>
      </c>
    </row>
    <row r="47" spans="1:10">
      <c r="A47" s="1409" t="s">
        <v>14623</v>
      </c>
      <c r="B47" s="1409" t="s">
        <v>14624</v>
      </c>
      <c r="C47" s="1409">
        <v>193.3</v>
      </c>
      <c r="D47" s="1409">
        <v>256.5</v>
      </c>
    </row>
    <row r="48" spans="1:10">
      <c r="A48" s="1409" t="s">
        <v>14626</v>
      </c>
      <c r="B48" s="1409" t="s">
        <v>14624</v>
      </c>
      <c r="C48" s="1409">
        <v>74.5</v>
      </c>
      <c r="D48" s="1409">
        <v>994.3</v>
      </c>
    </row>
    <row r="49" spans="1:4">
      <c r="A49" s="1409" t="s">
        <v>14629</v>
      </c>
      <c r="B49" s="1409" t="s">
        <v>14624</v>
      </c>
      <c r="C49" s="1409">
        <v>103.4</v>
      </c>
      <c r="D49" s="1409">
        <v>137.19999999999999</v>
      </c>
    </row>
    <row r="50" spans="1:4">
      <c r="A50" s="1409" t="s">
        <v>14631</v>
      </c>
      <c r="B50" s="1409" t="s">
        <v>14624</v>
      </c>
      <c r="C50" s="1409">
        <v>93.9</v>
      </c>
      <c r="D50" s="1409">
        <v>142.4</v>
      </c>
    </row>
    <row r="51" spans="1:4">
      <c r="A51" s="387" t="s">
        <v>14632</v>
      </c>
      <c r="B51" s="387" t="s">
        <v>14624</v>
      </c>
      <c r="C51" s="387">
        <v>0</v>
      </c>
      <c r="D51" s="387">
        <v>0</v>
      </c>
    </row>
    <row r="52" spans="1:4">
      <c r="A52" s="387" t="s">
        <v>14633</v>
      </c>
      <c r="B52" s="387" t="s">
        <v>14624</v>
      </c>
      <c r="C52" s="387">
        <f>SUM(C53:C58)</f>
        <v>114.49999999999999</v>
      </c>
      <c r="D52" s="387">
        <f>SUM(D53:D58)</f>
        <v>163.14000000000001</v>
      </c>
    </row>
    <row r="53" spans="1:4">
      <c r="A53" s="1692" t="s">
        <v>14634</v>
      </c>
      <c r="B53" s="1692"/>
      <c r="C53" s="1692">
        <v>5.8</v>
      </c>
      <c r="D53" s="1692">
        <v>8.3000000000000007</v>
      </c>
    </row>
    <row r="54" spans="1:4">
      <c r="A54" s="1693" t="s">
        <v>14636</v>
      </c>
      <c r="B54" s="1693"/>
      <c r="C54" s="1693">
        <v>82.1</v>
      </c>
      <c r="D54" s="1693">
        <v>128.6</v>
      </c>
    </row>
    <row r="55" spans="1:4">
      <c r="A55" s="1693" t="s">
        <v>14639</v>
      </c>
      <c r="B55" s="1693"/>
      <c r="C55" s="1693"/>
      <c r="D55" s="1693"/>
    </row>
    <row r="56" spans="1:4">
      <c r="A56" s="1693" t="s">
        <v>14640</v>
      </c>
      <c r="B56" s="1693"/>
      <c r="C56" s="1693">
        <v>9.94</v>
      </c>
      <c r="D56" s="1693">
        <v>9.75</v>
      </c>
    </row>
    <row r="57" spans="1:4">
      <c r="A57" s="1693" t="s">
        <v>14641</v>
      </c>
      <c r="B57" s="1693"/>
      <c r="C57" s="1693">
        <v>9.7200000000000006</v>
      </c>
      <c r="D57" s="1693">
        <v>9.66</v>
      </c>
    </row>
    <row r="58" spans="1:4">
      <c r="A58" s="1694" t="s">
        <v>14643</v>
      </c>
      <c r="B58" s="1694"/>
      <c r="C58" s="1694">
        <v>6.94</v>
      </c>
      <c r="D58" s="1694">
        <v>6.83</v>
      </c>
    </row>
    <row r="59" spans="1:4">
      <c r="A59" s="387" t="s">
        <v>22</v>
      </c>
      <c r="B59" s="387" t="s">
        <v>520</v>
      </c>
      <c r="C59" s="387">
        <f>SUM(C60:C63)</f>
        <v>59.720000000000006</v>
      </c>
      <c r="D59" s="387">
        <f>SUM(D60:D63)</f>
        <v>67.08</v>
      </c>
    </row>
    <row r="60" spans="1:4">
      <c r="A60" s="1693" t="s">
        <v>14645</v>
      </c>
      <c r="B60" s="1693"/>
      <c r="C60" s="1693">
        <v>0.63</v>
      </c>
      <c r="D60" s="1693">
        <v>0.83</v>
      </c>
    </row>
    <row r="61" spans="1:4">
      <c r="A61" s="1693" t="s">
        <v>14646</v>
      </c>
      <c r="B61" s="1693"/>
      <c r="C61" s="1693">
        <v>59.09</v>
      </c>
      <c r="D61" s="1693">
        <v>66.25</v>
      </c>
    </row>
    <row r="62" spans="1:4">
      <c r="A62" s="1693"/>
      <c r="B62" s="1693"/>
      <c r="C62" s="1693"/>
      <c r="D62" s="1693"/>
    </row>
    <row r="63" spans="1:4">
      <c r="A63" s="1694"/>
      <c r="B63" s="1694"/>
      <c r="C63" s="1694"/>
      <c r="D63" s="1694"/>
    </row>
    <row r="65" spans="1:4">
      <c r="A65" s="1695" t="s">
        <v>14640</v>
      </c>
      <c r="B65" s="1695" t="s">
        <v>14647</v>
      </c>
    </row>
    <row r="66" spans="1:4">
      <c r="A66" s="1695" t="s">
        <v>14641</v>
      </c>
      <c r="B66" s="1695" t="s">
        <v>14648</v>
      </c>
      <c r="C66" s="1409" t="s">
        <v>14649</v>
      </c>
    </row>
    <row r="67" spans="1:4">
      <c r="A67" s="1695" t="s">
        <v>14643</v>
      </c>
      <c r="B67" s="1695" t="s">
        <v>36</v>
      </c>
    </row>
    <row r="69" spans="1:4">
      <c r="A69" s="1409" t="s">
        <v>14650</v>
      </c>
      <c r="B69" s="1409" t="s">
        <v>14651</v>
      </c>
      <c r="C69" s="1409">
        <v>9.1</v>
      </c>
    </row>
    <row r="70" spans="1:4">
      <c r="A70" s="1409" t="s">
        <v>14652</v>
      </c>
      <c r="B70" s="1409" t="s">
        <v>14653</v>
      </c>
      <c r="C70" s="666">
        <f>C47/$C$69</f>
        <v>21.241758241758244</v>
      </c>
      <c r="D70" s="666">
        <f>D47/$C$69</f>
        <v>28.186813186813186</v>
      </c>
    </row>
    <row r="71" spans="1:4">
      <c r="A71" s="1409" t="s">
        <v>14652</v>
      </c>
      <c r="B71" s="1409" t="s">
        <v>14654</v>
      </c>
      <c r="C71" s="1400">
        <f>C70*V135</f>
        <v>2549.0109890109893</v>
      </c>
      <c r="D71" s="666"/>
    </row>
    <row r="72" spans="1:4">
      <c r="A72" s="1409" t="s">
        <v>14652</v>
      </c>
      <c r="B72" s="1409" t="s">
        <v>14655</v>
      </c>
      <c r="C72" s="1401">
        <f>C70/C87</f>
        <v>1.0804556582786493</v>
      </c>
    </row>
    <row r="74" spans="1:4">
      <c r="A74" s="1696" t="s">
        <v>14656</v>
      </c>
      <c r="B74" s="1696"/>
    </row>
    <row r="75" spans="1:4">
      <c r="A75" s="1409">
        <f>C89*C44</f>
        <v>77760</v>
      </c>
      <c r="B75" s="1409" t="s">
        <v>14638</v>
      </c>
    </row>
    <row r="76" spans="1:4">
      <c r="A76" s="1397">
        <f>A75*Q148*0.000001</f>
        <v>3.4152192000000001</v>
      </c>
      <c r="B76" s="1409" t="s">
        <v>248</v>
      </c>
    </row>
    <row r="78" spans="1:4">
      <c r="A78" s="1409" t="s">
        <v>14657</v>
      </c>
    </row>
    <row r="79" spans="1:4">
      <c r="C79" s="1409" t="s">
        <v>14658</v>
      </c>
    </row>
    <row r="80" spans="1:4">
      <c r="A80" s="1410" t="s">
        <v>22</v>
      </c>
      <c r="B80" s="1410" t="s">
        <v>14659</v>
      </c>
      <c r="C80" s="1410">
        <f>C59*1</f>
        <v>59.720000000000006</v>
      </c>
    </row>
    <row r="81" spans="1:3">
      <c r="A81" s="1409" t="s">
        <v>22</v>
      </c>
      <c r="B81" s="1409" t="s">
        <v>14654</v>
      </c>
      <c r="C81" s="1409">
        <f>C80*3.6</f>
        <v>214.99200000000002</v>
      </c>
    </row>
    <row r="82" spans="1:3">
      <c r="A82" s="1410" t="s">
        <v>22</v>
      </c>
      <c r="B82" s="1409" t="s">
        <v>14660</v>
      </c>
      <c r="C82" s="1397">
        <f>C81/C87</f>
        <v>10.935503560528995</v>
      </c>
    </row>
    <row r="83" spans="1:3">
      <c r="A83" s="1410" t="s">
        <v>1198</v>
      </c>
      <c r="B83" s="1409" t="s">
        <v>14660</v>
      </c>
      <c r="C83" s="1400">
        <f>C71/C87</f>
        <v>129.6546789934379</v>
      </c>
    </row>
    <row r="84" spans="1:3">
      <c r="A84" s="1410" t="s">
        <v>254</v>
      </c>
      <c r="B84" s="1409" t="s">
        <v>14661</v>
      </c>
      <c r="C84" s="1689">
        <f>(C50*0.001)/C87</f>
        <v>4.7761953204476099E-3</v>
      </c>
    </row>
    <row r="85" spans="1:3">
      <c r="A85" s="1122"/>
      <c r="B85" s="387"/>
      <c r="C85" s="1697"/>
    </row>
    <row r="86" spans="1:3">
      <c r="A86" s="1410" t="s">
        <v>14662</v>
      </c>
      <c r="B86" s="1410"/>
      <c r="C86" s="1410" t="s">
        <v>14663</v>
      </c>
    </row>
    <row r="87" spans="1:3">
      <c r="A87" s="1410" t="s">
        <v>245</v>
      </c>
      <c r="B87" s="1410" t="s">
        <v>14638</v>
      </c>
      <c r="C87" s="1410">
        <f>SUM(C88:C89)</f>
        <v>19.66</v>
      </c>
    </row>
    <row r="88" spans="1:3">
      <c r="A88" s="1409" t="s">
        <v>14640</v>
      </c>
      <c r="B88" s="1409" t="s">
        <v>14638</v>
      </c>
      <c r="C88" s="1409">
        <v>9.94</v>
      </c>
    </row>
    <row r="89" spans="1:3">
      <c r="A89" s="1409" t="s">
        <v>14641</v>
      </c>
      <c r="B89" s="1409" t="s">
        <v>14638</v>
      </c>
      <c r="C89" s="1409">
        <v>9.7200000000000006</v>
      </c>
    </row>
    <row r="90" spans="1:3">
      <c r="A90" s="1410" t="s">
        <v>14664</v>
      </c>
    </row>
    <row r="91" spans="1:3">
      <c r="A91" s="1410" t="s">
        <v>245</v>
      </c>
      <c r="B91" s="1410" t="s">
        <v>14638</v>
      </c>
      <c r="C91" s="1410">
        <f>SUM(C92:C93)</f>
        <v>6.94</v>
      </c>
    </row>
    <row r="92" spans="1:3">
      <c r="A92" s="1409" t="s">
        <v>14643</v>
      </c>
      <c r="B92" s="1409" t="s">
        <v>14638</v>
      </c>
      <c r="C92" s="1409">
        <v>6.94</v>
      </c>
    </row>
    <row r="94" spans="1:3">
      <c r="A94" s="1410" t="s">
        <v>14665</v>
      </c>
    </row>
    <row r="95" spans="1:3">
      <c r="A95" s="1410" t="s">
        <v>14662</v>
      </c>
    </row>
    <row r="96" spans="1:3">
      <c r="A96" s="1409" t="s">
        <v>14640</v>
      </c>
      <c r="C96" s="1698">
        <f>C88/$C$87</f>
        <v>0.50559511698880977</v>
      </c>
    </row>
    <row r="97" spans="1:6">
      <c r="A97" s="1409" t="s">
        <v>14641</v>
      </c>
      <c r="C97" s="1698">
        <f>C89/$C$87</f>
        <v>0.49440488301119029</v>
      </c>
    </row>
    <row r="98" spans="1:6">
      <c r="A98" s="1410" t="s">
        <v>14664</v>
      </c>
      <c r="C98" s="1699"/>
    </row>
    <row r="99" spans="1:6">
      <c r="A99" s="1409" t="s">
        <v>14643</v>
      </c>
      <c r="C99" s="1699">
        <f>C92/$C$91</f>
        <v>1</v>
      </c>
    </row>
    <row r="101" spans="1:6">
      <c r="A101" s="1686" t="s">
        <v>14666</v>
      </c>
      <c r="B101" s="1687">
        <f>1/1.2</f>
        <v>0.83333333333333337</v>
      </c>
      <c r="C101" s="1409" t="s">
        <v>14423</v>
      </c>
    </row>
    <row r="102" spans="1:6">
      <c r="A102" s="1686" t="s">
        <v>14756</v>
      </c>
      <c r="B102" s="1687">
        <v>15.7</v>
      </c>
      <c r="C102" s="184" t="s">
        <v>14724</v>
      </c>
    </row>
    <row r="103" spans="1:6">
      <c r="A103" s="1687" t="s">
        <v>14667</v>
      </c>
      <c r="B103" s="1687">
        <v>1.145</v>
      </c>
      <c r="C103" s="1409" t="s">
        <v>14613</v>
      </c>
    </row>
    <row r="104" spans="1:6">
      <c r="A104" s="1687" t="s">
        <v>14738</v>
      </c>
      <c r="B104" s="1687">
        <v>1.04</v>
      </c>
      <c r="C104" s="1409" t="s">
        <v>14739</v>
      </c>
      <c r="D104" s="1700"/>
      <c r="E104" s="1701"/>
    </row>
    <row r="105" spans="1:6">
      <c r="A105" s="1731" t="s">
        <v>14755</v>
      </c>
      <c r="B105" s="1687">
        <v>1.1200000000000001</v>
      </c>
      <c r="C105" s="1409" t="s">
        <v>14724</v>
      </c>
    </row>
    <row r="106" spans="1:6">
      <c r="A106" s="1686" t="s">
        <v>14589</v>
      </c>
      <c r="B106" s="1687">
        <f>1/1.19</f>
        <v>0.84033613445378152</v>
      </c>
    </row>
    <row r="107" spans="1:6">
      <c r="A107" s="1686" t="s">
        <v>14591</v>
      </c>
      <c r="B107" s="1687">
        <v>15.5</v>
      </c>
      <c r="C107" s="1409" t="s">
        <v>14724</v>
      </c>
    </row>
    <row r="109" spans="1:6">
      <c r="A109" s="1726" t="s">
        <v>14758</v>
      </c>
      <c r="B109" s="1726">
        <f>C44</f>
        <v>8000</v>
      </c>
      <c r="C109" s="1409" t="s">
        <v>14613</v>
      </c>
      <c r="D109" s="1399" t="s">
        <v>14668</v>
      </c>
      <c r="E109" s="1399"/>
    </row>
    <row r="110" spans="1:6">
      <c r="A110" s="1726">
        <f>8760*3600</f>
        <v>31536000</v>
      </c>
      <c r="B110" s="1745" t="s">
        <v>14669</v>
      </c>
      <c r="C110" s="1409" t="s">
        <v>14613</v>
      </c>
      <c r="D110" s="1744">
        <f>530*F110</f>
        <v>1060</v>
      </c>
      <c r="E110" s="1399" t="s">
        <v>14670</v>
      </c>
      <c r="F110" s="1409">
        <v>2</v>
      </c>
    </row>
    <row r="111" spans="1:6">
      <c r="A111" s="1726">
        <f>A110*B109/8760</f>
        <v>28800000</v>
      </c>
      <c r="B111" s="1745" t="s">
        <v>14669</v>
      </c>
      <c r="C111" s="1409" t="s">
        <v>14613</v>
      </c>
      <c r="D111" s="1744">
        <f>D110/A111 *1000000</f>
        <v>36.805555555555557</v>
      </c>
      <c r="E111" s="1399" t="s">
        <v>14671</v>
      </c>
      <c r="F111" s="1691"/>
    </row>
    <row r="112" spans="1:6">
      <c r="C112" s="1409" t="s">
        <v>14613</v>
      </c>
      <c r="D112" s="1744">
        <f>D111*B102</f>
        <v>577.84722222222217</v>
      </c>
      <c r="E112" s="1399" t="s">
        <v>14672</v>
      </c>
    </row>
    <row r="113" spans="1:6">
      <c r="C113" s="1409" t="s">
        <v>14613</v>
      </c>
      <c r="D113" s="1744">
        <f>D112*B101</f>
        <v>481.53935185185185</v>
      </c>
      <c r="E113" s="1399" t="s">
        <v>14673</v>
      </c>
    </row>
    <row r="115" spans="1:6">
      <c r="C115" s="1409" t="s">
        <v>14674</v>
      </c>
      <c r="D115" s="1702">
        <v>1.4999999999999999E-2</v>
      </c>
      <c r="E115" s="1409" t="s">
        <v>14675</v>
      </c>
    </row>
    <row r="116" spans="1:6">
      <c r="B116" s="573" t="s">
        <v>14613</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14613</v>
      </c>
      <c r="C118" s="1729" t="s">
        <v>14751</v>
      </c>
      <c r="D118" s="1735">
        <f>D110</f>
        <v>1060</v>
      </c>
      <c r="E118" s="1735">
        <f>E116/$D$116*$D$118</f>
        <v>911.31426879469166</v>
      </c>
      <c r="F118" s="1735">
        <f>F116/$D$116*$D$118</f>
        <v>783.48461934792783</v>
      </c>
    </row>
    <row r="119" spans="1:6">
      <c r="A119" s="1691"/>
      <c r="B119" s="573" t="s">
        <v>14613</v>
      </c>
      <c r="C119" s="1729" t="s">
        <v>14752</v>
      </c>
      <c r="D119" s="1735">
        <f>D118*$B$105</f>
        <v>1187.2</v>
      </c>
      <c r="E119" s="1735">
        <f>E118*$B$105</f>
        <v>1020.6719810500548</v>
      </c>
      <c r="F119" s="1736">
        <f>F118*$B$105</f>
        <v>877.5027736696793</v>
      </c>
    </row>
    <row r="120" spans="1:6">
      <c r="A120" s="1691"/>
      <c r="B120" s="1739" t="s">
        <v>14753</v>
      </c>
      <c r="C120" s="1729" t="s">
        <v>14752</v>
      </c>
      <c r="D120" s="1735">
        <f>D121*$B$104</f>
        <v>925.6</v>
      </c>
      <c r="E120" s="1735">
        <f>E121*$B$104</f>
        <v>790.4</v>
      </c>
      <c r="F120" s="1736">
        <f>F121*$B$104</f>
        <v>587.6</v>
      </c>
    </row>
    <row r="121" spans="1:6">
      <c r="B121" s="1739" t="s">
        <v>14753</v>
      </c>
      <c r="C121" s="1730" t="s">
        <v>14754</v>
      </c>
      <c r="D121" s="1737">
        <v>890</v>
      </c>
      <c r="E121" s="1737">
        <v>760</v>
      </c>
      <c r="F121" s="1738">
        <v>565</v>
      </c>
    </row>
    <row r="122" spans="1:6">
      <c r="B122" s="1410" t="s">
        <v>14757</v>
      </c>
      <c r="C122" s="1740" t="s">
        <v>14752</v>
      </c>
      <c r="D122" s="1741">
        <f>AVERAGE(D119:D120)</f>
        <v>1056.4000000000001</v>
      </c>
      <c r="E122" s="1741">
        <f t="shared" ref="E122:F122" si="6">AVERAGE(E119:E120)</f>
        <v>905.53599052502739</v>
      </c>
      <c r="F122" s="1742">
        <f t="shared" si="6"/>
        <v>732.5513868348396</v>
      </c>
    </row>
    <row r="123" spans="1:6">
      <c r="B123" s="1409" t="s">
        <v>702</v>
      </c>
      <c r="C123" s="1740" t="s">
        <v>14673</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14676</v>
      </c>
      <c r="E131" s="387"/>
    </row>
    <row r="132" spans="3:22">
      <c r="C132" s="1409">
        <f>D132</f>
        <v>1.97</v>
      </c>
      <c r="D132" s="1409">
        <v>1.97</v>
      </c>
      <c r="E132" s="1409" t="s">
        <v>14677</v>
      </c>
    </row>
    <row r="133" spans="3:22">
      <c r="C133" s="1409">
        <f>D133</f>
        <v>0.49</v>
      </c>
      <c r="D133" s="1409">
        <v>0.49</v>
      </c>
      <c r="E133" s="1409" t="s">
        <v>14677</v>
      </c>
    </row>
    <row r="134" spans="3:22">
      <c r="C134" s="1409">
        <f>D134*$B$103</f>
        <v>0.83584999999999998</v>
      </c>
      <c r="D134" s="1409">
        <v>0.73</v>
      </c>
      <c r="E134" s="1409" t="s">
        <v>14678</v>
      </c>
    </row>
    <row r="135" spans="3:22">
      <c r="C135" s="1409">
        <f>D135*$B$103</f>
        <v>36.64</v>
      </c>
      <c r="D135" s="1409">
        <v>32</v>
      </c>
      <c r="E135" s="1409" t="s">
        <v>14678</v>
      </c>
      <c r="T135" s="1703" t="s">
        <v>14679</v>
      </c>
      <c r="U135" s="1703" t="s">
        <v>1045</v>
      </c>
      <c r="V135" s="1703">
        <f>V137</f>
        <v>120</v>
      </c>
    </row>
    <row r="136" spans="3:22">
      <c r="T136" s="775" t="s">
        <v>14680</v>
      </c>
      <c r="U136" s="775" t="s">
        <v>1045</v>
      </c>
      <c r="V136" s="775">
        <v>140</v>
      </c>
    </row>
    <row r="137" spans="3:22">
      <c r="T137" s="775" t="s">
        <v>14681</v>
      </c>
      <c r="U137" s="775" t="s">
        <v>1045</v>
      </c>
      <c r="V137" s="775">
        <v>120</v>
      </c>
    </row>
    <row r="138" spans="3:22">
      <c r="C138"/>
      <c r="D138"/>
      <c r="E138"/>
      <c r="F138"/>
      <c r="G138"/>
      <c r="H138"/>
    </row>
    <row r="139" spans="3:22">
      <c r="C139"/>
      <c r="D139"/>
      <c r="E139"/>
      <c r="F139"/>
      <c r="G139"/>
      <c r="H139"/>
      <c r="M139" s="1410" t="s">
        <v>14682</v>
      </c>
    </row>
    <row r="140" spans="3:22">
      <c r="C140"/>
      <c r="D140"/>
      <c r="E140"/>
      <c r="F140"/>
      <c r="G140"/>
      <c r="H140"/>
    </row>
    <row r="141" spans="3:22" ht="75">
      <c r="C141"/>
      <c r="D141"/>
      <c r="E141"/>
      <c r="F141"/>
      <c r="G141"/>
      <c r="H141"/>
      <c r="M141" s="1704" t="s">
        <v>14683</v>
      </c>
      <c r="N141" s="849" t="s">
        <v>14684</v>
      </c>
      <c r="O141" s="1704" t="s">
        <v>14685</v>
      </c>
      <c r="P141" s="849" t="s">
        <v>14686</v>
      </c>
      <c r="Q141" s="1705" t="s">
        <v>14687</v>
      </c>
      <c r="R141" s="1706" t="s">
        <v>14688</v>
      </c>
      <c r="T141" s="1707"/>
    </row>
    <row r="142" spans="3:22">
      <c r="C142"/>
      <c r="D142"/>
      <c r="E142"/>
      <c r="F142"/>
      <c r="G142"/>
      <c r="H142"/>
      <c r="M142" s="1704" t="s">
        <v>14689</v>
      </c>
      <c r="N142" s="1708">
        <v>366.3</v>
      </c>
      <c r="O142" s="1709">
        <v>2730</v>
      </c>
      <c r="P142" s="1710">
        <v>51.9</v>
      </c>
      <c r="Q142" s="1711">
        <v>47.51</v>
      </c>
      <c r="R142" s="1710">
        <f t="shared" ref="R142:R147" si="7">Q142/O142*1000</f>
        <v>17.402930402930401</v>
      </c>
      <c r="T142" s="1707"/>
    </row>
    <row r="143" spans="3:22">
      <c r="C143"/>
      <c r="D143"/>
      <c r="E143"/>
      <c r="F143"/>
      <c r="G143"/>
      <c r="H143"/>
      <c r="M143" s="1704" t="s">
        <v>14690</v>
      </c>
      <c r="N143" s="1708">
        <v>507.6</v>
      </c>
      <c r="O143" s="1709">
        <v>1970</v>
      </c>
      <c r="P143" s="1710">
        <v>50.32</v>
      </c>
      <c r="Q143" s="1711">
        <v>46.33</v>
      </c>
      <c r="R143" s="1710">
        <f t="shared" si="7"/>
        <v>23.517766497461928</v>
      </c>
      <c r="T143" s="1707"/>
    </row>
    <row r="144" spans="3:22">
      <c r="C144"/>
      <c r="D144"/>
      <c r="E144"/>
      <c r="F144"/>
      <c r="G144"/>
      <c r="H144"/>
      <c r="M144" s="1704" t="s">
        <v>14691</v>
      </c>
      <c r="N144" s="1708">
        <v>572.70000000000005</v>
      </c>
      <c r="O144" s="1709">
        <v>1746</v>
      </c>
      <c r="P144" s="1710">
        <v>49.51</v>
      </c>
      <c r="Q144" s="1711">
        <v>45.72</v>
      </c>
      <c r="R144" s="1710">
        <f t="shared" si="7"/>
        <v>26.185567010309278</v>
      </c>
    </row>
    <row r="145" spans="3:20">
      <c r="C145"/>
      <c r="D145"/>
      <c r="E145"/>
      <c r="F145"/>
      <c r="G145"/>
      <c r="H145"/>
      <c r="M145" s="1704" t="s">
        <v>14692</v>
      </c>
      <c r="N145" s="1708">
        <v>522.20000000000005</v>
      </c>
      <c r="O145" s="1709">
        <v>1915</v>
      </c>
      <c r="P145" s="1710">
        <v>50.08</v>
      </c>
      <c r="Q145" s="1711">
        <v>46.15</v>
      </c>
      <c r="R145" s="1710">
        <f t="shared" si="7"/>
        <v>24.099216710182766</v>
      </c>
    </row>
    <row r="146" spans="3:20">
      <c r="C146"/>
      <c r="D146"/>
      <c r="E146"/>
      <c r="F146"/>
      <c r="G146"/>
      <c r="H146"/>
      <c r="M146" s="1704" t="s">
        <v>14693</v>
      </c>
      <c r="N146" s="1708">
        <v>690.6</v>
      </c>
      <c r="O146" s="1709">
        <v>1448</v>
      </c>
      <c r="P146" s="1710">
        <v>47.73</v>
      </c>
      <c r="Q146" s="1711">
        <v>45.34</v>
      </c>
      <c r="R146" s="1710">
        <f t="shared" si="7"/>
        <v>31.312154696132598</v>
      </c>
    </row>
    <row r="147" spans="3:20" ht="30">
      <c r="C147"/>
      <c r="D147"/>
      <c r="E147"/>
      <c r="F147"/>
      <c r="G147"/>
      <c r="H147"/>
      <c r="M147" s="1704" t="s">
        <v>14694</v>
      </c>
      <c r="N147" s="1708">
        <v>716.8</v>
      </c>
      <c r="O147" s="1709">
        <v>1395</v>
      </c>
      <c r="P147" s="1710">
        <v>47.4</v>
      </c>
      <c r="Q147" s="1711">
        <v>45.03</v>
      </c>
      <c r="R147" s="1710">
        <f t="shared" si="7"/>
        <v>32.27956989247312</v>
      </c>
    </row>
    <row r="148" spans="3:20" ht="45">
      <c r="C148"/>
      <c r="D148"/>
      <c r="E148"/>
      <c r="F148"/>
      <c r="G148"/>
      <c r="H148"/>
      <c r="M148" s="1704" t="s">
        <v>14695</v>
      </c>
      <c r="N148" s="1708">
        <v>802.6</v>
      </c>
      <c r="O148" s="1709">
        <v>1246</v>
      </c>
      <c r="P148" s="1710">
        <v>46.23</v>
      </c>
      <c r="Q148" s="1711">
        <v>43.92</v>
      </c>
      <c r="R148" s="1710">
        <f t="shared" ref="R148:R153" si="8">Q148/O148*1000</f>
        <v>35.24879614767255</v>
      </c>
    </row>
    <row r="149" spans="3:20" ht="45">
      <c r="C149"/>
      <c r="D149"/>
      <c r="E149"/>
      <c r="F149"/>
      <c r="G149"/>
      <c r="H149"/>
      <c r="M149" s="1704" t="s">
        <v>14696</v>
      </c>
      <c r="N149" s="1708">
        <v>740.7</v>
      </c>
      <c r="O149" s="1709">
        <v>1350</v>
      </c>
      <c r="P149" s="1710">
        <v>47.1</v>
      </c>
      <c r="Q149" s="1711">
        <v>44.75</v>
      </c>
      <c r="R149" s="1710">
        <f t="shared" si="8"/>
        <v>33.148148148148152</v>
      </c>
    </row>
    <row r="150" spans="3:20" ht="30">
      <c r="C150"/>
      <c r="D150"/>
      <c r="E150"/>
      <c r="F150"/>
      <c r="G150"/>
      <c r="H150"/>
      <c r="M150" s="1704" t="s">
        <v>14697</v>
      </c>
      <c r="N150" s="1708">
        <v>802.6</v>
      </c>
      <c r="O150" s="1709">
        <v>1246</v>
      </c>
      <c r="P150" s="1710">
        <v>46.23</v>
      </c>
      <c r="Q150" s="1711">
        <v>43.92</v>
      </c>
      <c r="R150" s="1710">
        <f t="shared" si="8"/>
        <v>35.24879614767255</v>
      </c>
    </row>
    <row r="151" spans="3:20" ht="30">
      <c r="C151"/>
      <c r="D151"/>
      <c r="E151"/>
      <c r="F151"/>
      <c r="G151"/>
      <c r="H151"/>
      <c r="M151" s="1704" t="s">
        <v>14698</v>
      </c>
      <c r="N151" s="1708">
        <v>843.9</v>
      </c>
      <c r="O151" s="1709">
        <v>1185</v>
      </c>
      <c r="P151" s="1710">
        <v>45.66</v>
      </c>
      <c r="Q151" s="1711">
        <v>43.38</v>
      </c>
      <c r="R151" s="1710">
        <f t="shared" si="8"/>
        <v>36.607594936708864</v>
      </c>
    </row>
    <row r="152" spans="3:20" ht="45">
      <c r="C152"/>
      <c r="D152"/>
      <c r="E152"/>
      <c r="F152"/>
      <c r="G152"/>
      <c r="H152"/>
      <c r="M152" s="1704" t="s">
        <v>14699</v>
      </c>
      <c r="N152" s="1708">
        <v>925.1</v>
      </c>
      <c r="O152" s="1709">
        <v>1081</v>
      </c>
      <c r="P152" s="1710">
        <v>44.4</v>
      </c>
      <c r="Q152" s="1711">
        <v>42.18</v>
      </c>
      <c r="R152" s="1710">
        <f t="shared" si="8"/>
        <v>39.01942645698427</v>
      </c>
    </row>
    <row r="153" spans="3:20" ht="45">
      <c r="C153"/>
      <c r="D153"/>
      <c r="E153"/>
      <c r="F153"/>
      <c r="G153"/>
      <c r="H153"/>
      <c r="M153" s="1704" t="s">
        <v>14700</v>
      </c>
      <c r="N153" s="1708">
        <v>963.4</v>
      </c>
      <c r="O153" s="1709">
        <v>1038</v>
      </c>
      <c r="P153" s="1710">
        <v>43.76</v>
      </c>
      <c r="Q153" s="1711">
        <v>41.57</v>
      </c>
      <c r="R153" s="1710">
        <f t="shared" si="8"/>
        <v>40.048169556840072</v>
      </c>
    </row>
    <row r="154" spans="3:20">
      <c r="M154" s="1712" t="s">
        <v>14701</v>
      </c>
      <c r="N154" s="1708"/>
      <c r="O154" s="1709">
        <f>1000/0.789</f>
        <v>1267.4271229404308</v>
      </c>
      <c r="P154" s="1710"/>
      <c r="Q154" s="1711"/>
      <c r="R154" s="1710">
        <v>23.399999869999998</v>
      </c>
      <c r="S154" s="1707"/>
      <c r="T154" s="1707"/>
    </row>
    <row r="155" spans="3:20">
      <c r="M155" s="1712" t="s">
        <v>14702</v>
      </c>
      <c r="N155" s="1708"/>
      <c r="O155" s="1713"/>
      <c r="P155" s="1710"/>
      <c r="Q155" s="1711"/>
      <c r="R155" s="1710">
        <v>23.000259429209784</v>
      </c>
      <c r="S155" s="1707"/>
      <c r="T155" s="1707"/>
    </row>
    <row r="156" spans="3:20">
      <c r="M156" s="1707"/>
      <c r="N156" s="1473" t="s">
        <v>14703</v>
      </c>
      <c r="O156" s="1473"/>
      <c r="P156" s="1473"/>
      <c r="Q156" s="1473"/>
      <c r="R156" s="1473"/>
      <c r="S156" s="1707"/>
      <c r="T156" s="1707"/>
    </row>
    <row r="157" spans="3:20">
      <c r="M157" s="1707"/>
      <c r="N157" s="1409" t="s">
        <v>14704</v>
      </c>
      <c r="S157" s="1473"/>
    </row>
    <row r="158" spans="3:20">
      <c r="M158" s="1707"/>
      <c r="N158" s="1409" t="s">
        <v>14705</v>
      </c>
    </row>
    <row r="170" spans="1:1">
      <c r="A170" s="1410" t="s">
        <v>14721</v>
      </c>
    </row>
    <row r="171" spans="1:1">
      <c r="A171" s="1409" t="s">
        <v>14706</v>
      </c>
    </row>
    <row r="172" spans="1:1">
      <c r="A172" s="1409" t="s">
        <v>14707</v>
      </c>
    </row>
    <row r="173" spans="1:1">
      <c r="A173" s="1409" t="s">
        <v>14708</v>
      </c>
    </row>
    <row r="174" spans="1:1">
      <c r="A174" s="1714" t="s">
        <v>14722</v>
      </c>
    </row>
  </sheetData>
  <dataConsolidate/>
  <hyperlinks>
    <hyperlink ref="C102" r:id="rId1" xr:uid="{CB0FA186-A24C-48EC-BBFD-849328EF66A7}"/>
  </hyperlinks>
  <pageMargins left="0.7" right="0.7" top="0.75" bottom="0.75" header="0.3" footer="0.3"/>
  <drawing r:id="rId2"/>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4"/>
  <sheetViews>
    <sheetView workbookViewId="0">
      <selection activeCell="D28" sqref="D28"/>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14546</v>
      </c>
      <c r="B1" s="1409" t="s">
        <v>308</v>
      </c>
    </row>
    <row r="2" spans="1:6">
      <c r="B2" s="1409" t="s">
        <v>598</v>
      </c>
      <c r="C2" s="1409" t="s">
        <v>14606</v>
      </c>
      <c r="D2" s="1409" t="s">
        <v>14606</v>
      </c>
      <c r="F2" s="1409" t="s">
        <v>599</v>
      </c>
    </row>
    <row r="3" spans="1:6">
      <c r="B3" s="1409" t="s">
        <v>598</v>
      </c>
      <c r="C3" s="1409" t="s">
        <v>14607</v>
      </c>
      <c r="D3" s="1409" t="s">
        <v>14607</v>
      </c>
      <c r="F3" s="1409" t="s">
        <v>599</v>
      </c>
    </row>
    <row r="4" spans="1:6">
      <c r="B4" s="1409" t="s">
        <v>1869</v>
      </c>
      <c r="C4" s="1409" t="s">
        <v>14608</v>
      </c>
      <c r="D4" s="1409" t="s">
        <v>14609</v>
      </c>
      <c r="E4" s="1409" t="s">
        <v>318</v>
      </c>
      <c r="F4" s="1409" t="s">
        <v>565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5"/>
  <sheetViews>
    <sheetView workbookViewId="0">
      <selection activeCell="AP15" sqref="A1:AP15"/>
    </sheetView>
  </sheetViews>
  <sheetFormatPr defaultRowHeight="15"/>
  <cols>
    <col min="1" max="1" width="8.28515625" style="1409" bestFit="1" customWidth="1"/>
    <col min="2" max="2" width="11.5703125" style="1409" bestFit="1" customWidth="1"/>
    <col min="3" max="3" width="14.140625" style="1409" bestFit="1" customWidth="1"/>
    <col min="4" max="4" width="8.8554687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8.28515625" style="1409" bestFit="1" customWidth="1"/>
    <col min="19"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14555</v>
      </c>
      <c r="B1" s="1409" t="s">
        <v>308</v>
      </c>
    </row>
    <row r="2" spans="1:42">
      <c r="A2" s="1409" t="s">
        <v>310</v>
      </c>
      <c r="B2" s="1409" t="s">
        <v>323</v>
      </c>
      <c r="C2" s="1409" t="s">
        <v>333</v>
      </c>
      <c r="D2" s="1409" t="s">
        <v>14599</v>
      </c>
      <c r="E2" s="1409" t="s">
        <v>14600</v>
      </c>
      <c r="F2" s="1409" t="s">
        <v>14595</v>
      </c>
      <c r="G2" s="1409" t="s">
        <v>14596</v>
      </c>
      <c r="H2" s="1409" t="s">
        <v>14597</v>
      </c>
      <c r="I2" s="1409" t="s">
        <v>14598</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14608</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357</v>
      </c>
      <c r="C4" s="1409" t="s">
        <v>14608</v>
      </c>
      <c r="D4" s="1409" t="s">
        <v>14610</v>
      </c>
      <c r="E4" s="1409" t="s">
        <v>14607</v>
      </c>
      <c r="F4" s="1409" t="s">
        <v>334</v>
      </c>
      <c r="G4" s="1409" t="s">
        <v>337</v>
      </c>
      <c r="H4" s="1409" t="s">
        <v>334</v>
      </c>
      <c r="I4" s="1409">
        <v>0</v>
      </c>
      <c r="J4" s="1401" t="str" cm="1">
        <f t="array" ref="J4">_xlfn.IFNA(INDEX('Aviation Synfuel Data'!$G$4:$M$22,MATCH('Aviation Synfuel-TSData'!$B4&amp;'Aviation Synfuel-TSData'!$C4&amp;$D4,'Aviation Synfuel Data'!$C$4:$C$22&amp;'Aviation Synfuel Data'!$A$4:$A$22&amp;'Aviation Synfuel Data'!$D$4:$D$22,0),MATCH(J$2,'Aviation Synfuel Data'!$G$3:$M$3,0)),"null")</f>
        <v>null</v>
      </c>
      <c r="K4" s="1401" t="str" cm="1">
        <f t="array" ref="K4">_xlfn.IFNA(INDEX('Aviation Synfuel Data'!$G$4:$M$22,MATCH('Aviation Synfuel-TSData'!$B4&amp;'Aviation Synfuel-TSData'!$C4&amp;$D4,'Aviation Synfuel Data'!$C$4:$C$22&amp;'Aviation Synfuel Data'!$A$4:$A$22&amp;'Aviation Synfuel Data'!$D$4:$D$22,0),MATCH(K$2,'Aviation Synfuel Data'!$G$3:$M$3,0)),"null")</f>
        <v>null</v>
      </c>
      <c r="L4" s="1401" t="str" cm="1">
        <f t="array" ref="L4">_xlfn.IFNA(INDEX('Aviation Synfuel Data'!$G$4:$M$22,MATCH('Aviation Synfuel-TSData'!$B4&amp;'Aviation Synfuel-TSData'!$C4&amp;$D4,'Aviation Synfuel Data'!$C$4:$C$22&amp;'Aviation Synfuel Data'!$A$4:$A$22&amp;'Aviation Synfuel Data'!$D$4:$D$22,0),MATCH(L$2,'Aviation Synfuel Data'!$G$3:$M$3,0)),"null")</f>
        <v>null</v>
      </c>
      <c r="M4" s="1401" t="str" cm="1">
        <f t="array" ref="M4">_xlfn.IFNA(INDEX('Aviation Synfuel Data'!$G$4:$M$22,MATCH('Aviation Synfuel-TSData'!$B4&amp;'Aviation Synfuel-TSData'!$C4&amp;$D4,'Aviation Synfuel Data'!$C$4:$C$22&amp;'Aviation Synfuel Data'!$A$4:$A$22&amp;'Aviation Synfuel Data'!$D$4:$D$22,0),MATCH(M$2,'Aviation Synfuel Data'!$G$3:$M$3,0)),"null")</f>
        <v>null</v>
      </c>
      <c r="N4" s="1401" t="str" cm="1">
        <f t="array" ref="N4">_xlfn.IFNA(INDEX('Aviation Synfuel Data'!$G$4:$M$22,MATCH('Aviation Synfuel-TSData'!$B4&amp;'Aviation Synfuel-TSData'!$C4&amp;$D4,'Aviation Synfuel Data'!$C$4:$C$22&amp;'Aviation Synfuel Data'!$A$4:$A$22&amp;'Aviation Synfuel Data'!$D$4:$D$22,0),MATCH(N$2,'Aviation Synfuel Data'!$G$3:$M$3,0)),"null")</f>
        <v>null</v>
      </c>
      <c r="O4" s="1401" t="str" cm="1">
        <f t="array" ref="O4">_xlfn.IFNA(INDEX('Aviation Synfuel Data'!$G$4:$M$22,MATCH('Aviation Synfuel-TSData'!$B4&amp;'Aviation Synfuel-TSData'!$C4&amp;$D4,'Aviation Synfuel Data'!$C$4:$C$22&amp;'Aviation Synfuel Data'!$A$4:$A$22&amp;'Aviation Synfuel Data'!$D$4:$D$22,0),MATCH(O$2,'Aviation Synfuel Data'!$G$3:$M$3,0)),"null")</f>
        <v>null</v>
      </c>
      <c r="P4" s="1401" t="str" cm="1">
        <f t="array" ref="P4">_xlfn.IFNA(INDEX('Aviation Synfuel Data'!$G$4:$M$22,MATCH('Aviation Synfuel-TSData'!$B4&amp;'Aviation Synfuel-TSData'!$C4&amp;$D4,'Aviation Synfuel Data'!$C$4:$C$22&amp;'Aviation Synfuel Data'!$A$4:$A$22&amp;'Aviation Synfuel Data'!$D$4:$D$22,0),MATCH(P$2,'Aviation Synfuel Data'!$G$3:$M$3,0)),"null")</f>
        <v>null</v>
      </c>
      <c r="Q4" s="1401" t="str" cm="1">
        <f t="array" ref="Q4">_xlfn.IFNA(INDEX('Aviation Synfuel Data'!$G$4:$M$22,MATCH('Aviation Synfuel-TSData'!$B4&amp;'Aviation Synfuel-TSData'!$C4&amp;$D4,'Aviation Synfuel Data'!$C$4:$C$22&amp;'Aviation Synfuel Data'!$A$4:$A$22&amp;'Aviation Synfuel Data'!$D$4:$D$22,0),MATCH(Q$2,'Aviation Synfuel Data'!$G$3:$M$3,0)),"null")</f>
        <v>null</v>
      </c>
      <c r="R4" s="1401" cm="1">
        <f t="array" ref="R4">_xlfn.IFNA(INDEX('Aviation Synfuel Data'!$G$4:$M$22,MATCH('Aviation Synfuel-TSData'!$B4&amp;'Aviation Synfuel-TSData'!$C4&amp;$D4,'Aviation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Synfuel-TSData'!$C4&amp;$D4,'Aviation Synfuel Data'!$C$4:$C$22&amp;'Aviation Synfuel Data'!$A$4:$A$22&amp;'Aviation Synfuel Data'!$D$4:$D$22,0),MATCH(S$2,'Aviation Synfuel Data'!$G$3:$M$3,0)),"null")</f>
        <v>null</v>
      </c>
      <c r="T4" s="1401" t="str" cm="1">
        <f t="array" ref="T4">_xlfn.IFNA(INDEX('Aviation Synfuel Data'!$G$4:$M$22,MATCH('Aviation Synfuel-TSData'!$B4&amp;'Aviation Synfuel-TSData'!$C4&amp;$D4,'Aviation Synfuel Data'!$C$4:$C$22&amp;'Aviation Synfuel Data'!$A$4:$A$22&amp;'Aviation Synfuel Data'!$D$4:$D$22,0),MATCH(T$2,'Aviation Synfuel Data'!$G$3:$M$3,0)),"null")</f>
        <v>null</v>
      </c>
      <c r="U4" s="1401" t="str" cm="1">
        <f t="array" ref="U4">_xlfn.IFNA(INDEX('Aviation Synfuel Data'!$G$4:$M$22,MATCH('Aviation Synfuel-TSData'!$B4&amp;'Aviation Synfuel-TSData'!$C4&amp;$D4,'Aviation Synfuel Data'!$C$4:$C$22&amp;'Aviation Synfuel Data'!$A$4:$A$22&amp;'Aviation Synfuel Data'!$D$4:$D$22,0),MATCH(U$2,'Aviation Synfuel Data'!$G$3:$M$3,0)),"null")</f>
        <v>null</v>
      </c>
      <c r="V4" s="1401" t="str" cm="1">
        <f t="array" ref="V4">_xlfn.IFNA(INDEX('Aviation Synfuel Data'!$G$4:$M$22,MATCH('Aviation Synfuel-TSData'!$B4&amp;'Aviation Synfuel-TSData'!$C4&amp;$D4,'Aviation Synfuel Data'!$C$4:$C$22&amp;'Aviation Synfuel Data'!$A$4:$A$22&amp;'Aviation Synfuel Data'!$D$4:$D$22,0),MATCH(V$2,'Aviation Synfuel Data'!$G$3:$M$3,0)),"null")</f>
        <v>null</v>
      </c>
      <c r="W4" s="1401" t="str" cm="1">
        <f t="array" ref="W4">_xlfn.IFNA(INDEX('Aviation Synfuel Data'!$G$4:$M$22,MATCH('Aviation Synfuel-TSData'!$B4&amp;'Aviation Synfuel-TSData'!$C4&amp;$D4,'Aviation Synfuel Data'!$C$4:$C$22&amp;'Aviation Synfuel Data'!$A$4:$A$22&amp;'Aviation Synfuel Data'!$D$4:$D$22,0),MATCH(W$2,'Aviation Synfuel Data'!$G$3:$M$3,0)),"null")</f>
        <v>null</v>
      </c>
      <c r="X4" s="1401" t="str" cm="1">
        <f t="array" ref="X4">_xlfn.IFNA(INDEX('Aviation Synfuel Data'!$G$4:$M$22,MATCH('Aviation Synfuel-TSData'!$B4&amp;'Aviation Synfuel-TSData'!$C4&amp;$D4,'Aviation Synfuel Data'!$C$4:$C$22&amp;'Aviation Synfuel Data'!$A$4:$A$22&amp;'Aviation Synfuel Data'!$D$4:$D$22,0),MATCH(X$2,'Aviation Synfuel Data'!$G$3:$M$3,0)),"null")</f>
        <v>null</v>
      </c>
      <c r="Y4" s="1401" t="str" cm="1">
        <f t="array" ref="Y4">_xlfn.IFNA(INDEX('Aviation Synfuel Data'!$G$4:$M$22,MATCH('Aviation Synfuel-TSData'!$B4&amp;'Aviation Synfuel-TSData'!$C4&amp;$D4,'Aviation Synfuel Data'!$C$4:$C$22&amp;'Aviation Synfuel Data'!$A$4:$A$22&amp;'Aviation Synfuel Data'!$D$4:$D$22,0),MATCH(Y$2,'Aviation Synfuel Data'!$G$3:$M$3,0)),"null")</f>
        <v>null</v>
      </c>
      <c r="Z4" s="1401" t="str" cm="1">
        <f t="array" ref="Z4">_xlfn.IFNA(INDEX('Aviation Synfuel Data'!$G$4:$M$22,MATCH('Aviation Synfuel-TSData'!$B4&amp;'Aviation Synfuel-TSData'!$C4&amp;$D4,'Aviation Synfuel Data'!$C$4:$C$22&amp;'Aviation Synfuel Data'!$A$4:$A$22&amp;'Aviation Synfuel Data'!$D$4:$D$22,0),MATCH(Z$2,'Aviation Synfuel Data'!$G$3:$M$3,0)),"null")</f>
        <v>null</v>
      </c>
      <c r="AA4" s="1401" t="str" cm="1">
        <f t="array" ref="AA4">_xlfn.IFNA(INDEX('Aviation Synfuel Data'!$G$4:$M$22,MATCH('Aviation Synfuel-TSData'!$B4&amp;'Aviation Synfuel-TSData'!$C4&amp;$D4,'Aviation Synfuel Data'!$C$4:$C$22&amp;'Aviation Synfuel Data'!$A$4:$A$22&amp;'Aviation Synfuel Data'!$D$4:$D$22,0),MATCH(AA$2,'Aviation Synfuel Data'!$G$3:$M$3,0)),"null")</f>
        <v>null</v>
      </c>
      <c r="AB4" s="1401" cm="1">
        <f t="array" ref="AB4">_xlfn.IFNA(INDEX('Aviation Synfuel Data'!$G$4:$M$22,MATCH('Aviation Synfuel-TSData'!$B4&amp;'Aviation Synfuel-TSData'!$C4&amp;$D4,'Aviation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Synfuel-TSData'!$C4&amp;$D4,'Aviation Synfuel Data'!$C$4:$C$22&amp;'Aviation Synfuel Data'!$A$4:$A$22&amp;'Aviation Synfuel Data'!$D$4:$D$22,0),MATCH(AC$2,'Aviation Synfuel Data'!$G$3:$M$3,0)),"null")</f>
        <v>null</v>
      </c>
      <c r="AD4" s="1401" t="str" cm="1">
        <f t="array" ref="AD4">_xlfn.IFNA(INDEX('Aviation Synfuel Data'!$G$4:$M$22,MATCH('Aviation Synfuel-TSData'!$B4&amp;'Aviation Synfuel-TSData'!$C4&amp;$D4,'Aviation Synfuel Data'!$C$4:$C$22&amp;'Aviation Synfuel Data'!$A$4:$A$22&amp;'Aviation Synfuel Data'!$D$4:$D$22,0),MATCH(AD$2,'Aviation Synfuel Data'!$G$3:$M$3,0)),"null")</f>
        <v>null</v>
      </c>
      <c r="AE4" s="1401" t="str" cm="1">
        <f t="array" ref="AE4">_xlfn.IFNA(INDEX('Aviation Synfuel Data'!$G$4:$M$22,MATCH('Aviation Synfuel-TSData'!$B4&amp;'Aviation Synfuel-TSData'!$C4&amp;$D4,'Aviation Synfuel Data'!$C$4:$C$22&amp;'Aviation Synfuel Data'!$A$4:$A$22&amp;'Aviation Synfuel Data'!$D$4:$D$22,0),MATCH(AE$2,'Aviation Synfuel Data'!$G$3:$M$3,0)),"null")</f>
        <v>null</v>
      </c>
      <c r="AF4" s="1401" t="str" cm="1">
        <f t="array" ref="AF4">_xlfn.IFNA(INDEX('Aviation Synfuel Data'!$G$4:$M$22,MATCH('Aviation Synfuel-TSData'!$B4&amp;'Aviation Synfuel-TSData'!$C4&amp;$D4,'Aviation Synfuel Data'!$C$4:$C$22&amp;'Aviation Synfuel Data'!$A$4:$A$22&amp;'Aviation Synfuel Data'!$D$4:$D$22,0),MATCH(AF$2,'Aviation Synfuel Data'!$G$3:$M$3,0)),"null")</f>
        <v>null</v>
      </c>
      <c r="AG4" s="1401" cm="1">
        <f t="array" ref="AG4">_xlfn.IFNA(INDEX('Aviation Synfuel Data'!$G$4:$M$22,MATCH('Aviation Synfuel-TSData'!$B4&amp;'Aviation Synfuel-TSData'!$C4&amp;$D4,'Aviation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Synfuel-TSData'!$C4&amp;$D4,'Aviation Synfuel Data'!$C$4:$C$22&amp;'Aviation Synfuel Data'!$A$4:$A$22&amp;'Aviation Synfuel Data'!$D$4:$D$22,0),MATCH(AH$2,'Aviation Synfuel Data'!$G$3:$M$3,0)),"null")</f>
        <v>null</v>
      </c>
      <c r="AI4" s="1401" t="str" cm="1">
        <f t="array" ref="AI4">_xlfn.IFNA(INDEX('Aviation Synfuel Data'!$G$4:$M$22,MATCH('Aviation Synfuel-TSData'!$B4&amp;'Aviation Synfuel-TSData'!$C4&amp;$D4,'Aviation Synfuel Data'!$C$4:$C$22&amp;'Aviation Synfuel Data'!$A$4:$A$22&amp;'Aviation Synfuel Data'!$D$4:$D$22,0),MATCH(AI$2,'Aviation Synfuel Data'!$G$3:$M$3,0)),"null")</f>
        <v>null</v>
      </c>
      <c r="AJ4" s="1401" t="str" cm="1">
        <f t="array" ref="AJ4">_xlfn.IFNA(INDEX('Aviation Synfuel Data'!$G$4:$M$22,MATCH('Aviation Synfuel-TSData'!$B4&amp;'Aviation Synfuel-TSData'!$C4&amp;$D4,'Aviation Synfuel Data'!$C$4:$C$22&amp;'Aviation Synfuel Data'!$A$4:$A$22&amp;'Aviation Synfuel Data'!$D$4:$D$22,0),MATCH(AJ$2,'Aviation Synfuel Data'!$G$3:$M$3,0)),"null")</f>
        <v>null</v>
      </c>
      <c r="AK4" s="1401" t="str" cm="1">
        <f t="array" ref="AK4">_xlfn.IFNA(INDEX('Aviation Synfuel Data'!$G$4:$M$22,MATCH('Aviation Synfuel-TSData'!$B4&amp;'Aviation Synfuel-TSData'!$C4&amp;$D4,'Aviation Synfuel Data'!$C$4:$C$22&amp;'Aviation Synfuel Data'!$A$4:$A$22&amp;'Aviation Synfuel Data'!$D$4:$D$22,0),MATCH(AK$2,'Aviation Synfuel Data'!$G$3:$M$3,0)),"null")</f>
        <v>null</v>
      </c>
      <c r="AL4" s="1401" cm="1">
        <f t="array" ref="AL4">_xlfn.IFNA(INDEX('Aviation Synfuel Data'!$G$4:$M$22,MATCH('Aviation Synfuel-TSData'!$B4&amp;'Aviation Synfuel-TSData'!$C4&amp;$D4,'Aviation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Synfuel-TSData'!$C4&amp;$D4,'Aviation Synfuel Data'!$C$4:$C$22&amp;'Aviation Synfuel Data'!$A$4:$A$22&amp;'Aviation Synfuel Data'!$D$4:$D$22,0),MATCH(AM$2,'Aviation Synfuel Data'!$G$3:$M$3,0)),"null")</f>
        <v>null</v>
      </c>
      <c r="AN4" s="1401" cm="1">
        <f t="array" ref="AN4">_xlfn.IFNA(INDEX('Aviation Synfuel Data'!$G$4:$M$22,MATCH('Aviation Synfuel-TSData'!$B4&amp;'Aviation Synfuel-TSData'!$C4&amp;$D4,'Aviation Synfuel Data'!$C$4:$C$22&amp;'Aviation Synfuel Data'!$A$4:$A$22&amp;'Aviation Synfuel Data'!$D$4:$D$22,0),MATCH(AN$2,'Aviation Synfuel Data'!$G$3:$M$3,0)),"null")</f>
        <v>-107.3755695536401</v>
      </c>
      <c r="AO4" s="1401" cm="1">
        <f t="array" ref="AO4">_xlfn.IFNA(INDEX('Aviation Synfuel Data'!$G$4:$M$22,MATCH('Aviation Synfuel-TSData'!$B4&amp;'Aviation Synfuel-TSData'!$C4&amp;$D4,'Aviation Synfuel Data'!$C$4:$C$22&amp;'Aviation Synfuel Data'!$A$4:$A$22&amp;'Aviation Synfuel Data'!$D$4:$D$22,0),MATCH(AO$2,'Aviation Synfuel Data'!$G$3:$M$3,0)),"null")</f>
        <v>-107.3755695536401</v>
      </c>
      <c r="AP4" s="1401" cm="1">
        <f t="array" ref="AP4">_xlfn.IFNA(INDEX('Aviation Synfuel Data'!$G$4:$M$22,MATCH('Aviation Synfuel-TSData'!$B4&amp;'Aviation Synfuel-TSData'!$C4&amp;$D4,'Aviation Synfuel Data'!$C$4:$C$22&amp;'Aviation Synfuel Data'!$A$4:$A$22&amp;'Aviation Synfuel Data'!$D$4:$D$22,0),MATCH(AP$2,'Aviation Synfuel Data'!$G$3:$M$3,0)),"null")</f>
        <v>-107.3755695536401</v>
      </c>
    </row>
    <row r="5" spans="1:42">
      <c r="B5" s="1409" t="s">
        <v>851</v>
      </c>
      <c r="C5" s="1409" t="s">
        <v>14608</v>
      </c>
      <c r="D5" s="1409" t="s">
        <v>334</v>
      </c>
      <c r="E5" s="1409" t="s">
        <v>14606</v>
      </c>
      <c r="F5" s="1409" t="s">
        <v>14607</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14608</v>
      </c>
      <c r="D6" s="1409" t="str">
        <f>'Aviation Synfuel Data'!D8</f>
        <v>OAG</v>
      </c>
      <c r="E6" s="1409" t="s">
        <v>14607</v>
      </c>
      <c r="F6" s="1409" t="s">
        <v>334</v>
      </c>
      <c r="G6" s="1409" t="s">
        <v>337</v>
      </c>
      <c r="H6" s="1409" t="s">
        <v>856</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0.5118329249859862</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0.5118329249859862</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0.5118329249859862</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0.5118329249859862</v>
      </c>
      <c r="AO6" s="1401" cm="1">
        <f t="array" ref="AO6">_xlfn.IFNA(INDEX('Aviation Synfuel Data'!$G$4:$M$22,MATCH('Aviation Synfuel-TSData'!$B6&amp;'Aviation Synfuel-TSData'!$C6&amp;$D6,'Aviation Synfuel Data'!$C$4:$C$22&amp;'Aviation Synfuel Data'!$A$4:$A$22&amp;'Aviation Synfuel Data'!$D$4:$D$22,0),MATCH(AO$2,'Aviation Synfuel Data'!$G$3:$M$3,0)),"null")</f>
        <v>0.5118329249859862</v>
      </c>
      <c r="AP6" s="1401" cm="1">
        <f t="array" ref="AP6">_xlfn.IFNA(INDEX('Aviation Synfuel Data'!$G$4:$M$22,MATCH('Aviation Synfuel-TSData'!$B6&amp;'Aviation Synfuel-TSData'!$C6&amp;$D6,'Aviation Synfuel Data'!$C$4:$C$22&amp;'Aviation Synfuel Data'!$A$4:$A$22&amp;'Aviation Synfuel Data'!$D$4:$D$22,0),MATCH(AP$2,'Aviation Synfuel Data'!$G$3:$M$3,0)),"null")</f>
        <v>0.5118329249859862</v>
      </c>
    </row>
    <row r="7" spans="1:42">
      <c r="B7" s="1409" t="s">
        <v>855</v>
      </c>
      <c r="C7" s="1409" t="s">
        <v>14608</v>
      </c>
      <c r="D7" s="1409" t="str">
        <f>'Aviation Synfuel Data'!D9</f>
        <v>OKE</v>
      </c>
      <c r="E7" s="1409" t="s">
        <v>14607</v>
      </c>
      <c r="F7" s="1409" t="s">
        <v>334</v>
      </c>
      <c r="G7" s="1409" t="s">
        <v>337</v>
      </c>
      <c r="H7" s="1409" t="s">
        <v>856</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0.48816707501401374</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0.48816707501401374</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0.48816707501401374</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0.48816707501401374</v>
      </c>
      <c r="AO7" s="1401" cm="1">
        <f t="array" ref="AO7">_xlfn.IFNA(INDEX('Aviation Synfuel Data'!$G$4:$M$22,MATCH('Aviation Synfuel-TSData'!$B7&amp;'Aviation Synfuel-TSData'!$C7&amp;$D7,'Aviation Synfuel Data'!$C$4:$C$22&amp;'Aviation Synfuel Data'!$A$4:$A$22&amp;'Aviation Synfuel Data'!$D$4:$D$22,0),MATCH(AO$2,'Aviation Synfuel Data'!$G$3:$M$3,0)),"null")</f>
        <v>0.48816707501401374</v>
      </c>
      <c r="AP7" s="1401" cm="1">
        <f t="array" ref="AP7">_xlfn.IFNA(INDEX('Aviation Synfuel Data'!$G$4:$M$22,MATCH('Aviation Synfuel-TSData'!$B7&amp;'Aviation Synfuel-TSData'!$C7&amp;$D7,'Aviation Synfuel Data'!$C$4:$C$22&amp;'Aviation Synfuel Data'!$A$4:$A$22&amp;'Aviation Synfuel Data'!$D$4:$D$22,0),MATCH(AP$2,'Aviation Synfuel Data'!$G$3:$M$3,0)),"null")</f>
        <v>0.48816707501401374</v>
      </c>
    </row>
    <row r="8" spans="1:42">
      <c r="B8" s="1409" t="s">
        <v>855</v>
      </c>
      <c r="C8" s="1409" t="s">
        <v>14608</v>
      </c>
      <c r="D8" s="1409" t="str">
        <f>'Aviation Synfuel Data'!D6</f>
        <v>UPSELC</v>
      </c>
      <c r="E8" s="1409" t="s">
        <v>14606</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14608</v>
      </c>
      <c r="D9" s="1409" t="str">
        <f>'Aviation Synfuel Data'!D7</f>
        <v>HGN</v>
      </c>
      <c r="E9" s="1409" t="s">
        <v>14606</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14608</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14608</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14608</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14608</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14608</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14608</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13"/>
  <sheetViews>
    <sheetView workbookViewId="0">
      <selection activeCell="G19" sqref="G19"/>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14561</v>
      </c>
      <c r="B1" s="1409" t="s">
        <v>308</v>
      </c>
    </row>
    <row r="2" spans="1:9">
      <c r="A2" s="1409" t="s">
        <v>310</v>
      </c>
      <c r="B2" s="1409" t="s">
        <v>323</v>
      </c>
      <c r="C2" s="1409" t="s">
        <v>333</v>
      </c>
      <c r="D2" s="1409" t="s">
        <v>345</v>
      </c>
      <c r="E2" s="1409" t="s">
        <v>14601</v>
      </c>
      <c r="F2" s="1409" t="s">
        <v>14595</v>
      </c>
      <c r="G2" s="1409" t="s">
        <v>14596</v>
      </c>
      <c r="H2" s="1409" t="s">
        <v>14597</v>
      </c>
      <c r="I2" s="1409" t="s">
        <v>339</v>
      </c>
    </row>
    <row r="3" spans="1:9">
      <c r="B3" s="1409" t="s">
        <v>13417</v>
      </c>
      <c r="C3" s="1409" t="s">
        <v>14608</v>
      </c>
      <c r="D3" s="1409" t="s">
        <v>334</v>
      </c>
      <c r="E3" s="1409" t="s">
        <v>334</v>
      </c>
      <c r="F3" s="1409" t="s">
        <v>334</v>
      </c>
      <c r="G3" s="1409" t="s">
        <v>334</v>
      </c>
      <c r="H3" s="1409" t="s">
        <v>334</v>
      </c>
      <c r="I3" s="1409">
        <v>2030</v>
      </c>
    </row>
    <row r="4" spans="1:9">
      <c r="B4" s="1409" t="s">
        <v>361</v>
      </c>
      <c r="C4" s="1409" t="s">
        <v>14608</v>
      </c>
      <c r="D4" s="1409" t="str">
        <f>'Aviation Synfuel Data'!D6</f>
        <v>UPSELC</v>
      </c>
      <c r="E4" s="1409" t="s">
        <v>334</v>
      </c>
      <c r="F4" s="1409" t="s">
        <v>334</v>
      </c>
      <c r="G4" s="1409" t="s">
        <v>334</v>
      </c>
      <c r="H4" s="1409" t="s">
        <v>334</v>
      </c>
      <c r="I4" s="1409">
        <v>1</v>
      </c>
    </row>
    <row r="5" spans="1:9">
      <c r="B5" s="1409" t="s">
        <v>361</v>
      </c>
      <c r="C5" s="1409" t="s">
        <v>14608</v>
      </c>
      <c r="D5" s="1409" t="str">
        <f>'Aviation Synfuel Data'!D7</f>
        <v>HGN</v>
      </c>
      <c r="E5" s="1409" t="s">
        <v>334</v>
      </c>
      <c r="F5" s="1409" t="s">
        <v>334</v>
      </c>
      <c r="G5" s="1409" t="s">
        <v>334</v>
      </c>
      <c r="H5" s="1409" t="s">
        <v>334</v>
      </c>
      <c r="I5" s="1409">
        <v>1</v>
      </c>
    </row>
    <row r="6" spans="1:9">
      <c r="B6" s="1409" t="s">
        <v>344</v>
      </c>
      <c r="C6" s="1409" t="s">
        <v>14608</v>
      </c>
      <c r="D6" s="1409" t="str">
        <f>'Aviation Synfuel Data'!D8</f>
        <v>OAG</v>
      </c>
      <c r="E6" s="1409" t="s">
        <v>334</v>
      </c>
      <c r="F6" s="1409" t="s">
        <v>334</v>
      </c>
      <c r="G6" s="1409" t="s">
        <v>334</v>
      </c>
      <c r="H6" s="1409" t="s">
        <v>334</v>
      </c>
      <c r="I6" s="1409">
        <v>1</v>
      </c>
    </row>
    <row r="7" spans="1:9">
      <c r="B7" s="1409" t="s">
        <v>344</v>
      </c>
      <c r="C7" s="1409" t="s">
        <v>14608</v>
      </c>
      <c r="D7" s="1409" t="str">
        <f>'Aviation Synfuel Data'!D9</f>
        <v>OKE</v>
      </c>
      <c r="E7" s="1409" t="s">
        <v>334</v>
      </c>
      <c r="F7" s="1409" t="s">
        <v>334</v>
      </c>
      <c r="G7" s="1409" t="s">
        <v>334</v>
      </c>
      <c r="H7" s="1409" t="s">
        <v>334</v>
      </c>
      <c r="I7" s="1409">
        <v>1</v>
      </c>
    </row>
    <row r="8" spans="1:9">
      <c r="B8" s="1409" t="s">
        <v>340</v>
      </c>
      <c r="C8" s="1409" t="s">
        <v>14608</v>
      </c>
      <c r="D8" s="1409" t="s">
        <v>334</v>
      </c>
      <c r="E8" s="1409" t="s">
        <v>14607</v>
      </c>
      <c r="F8" s="1409" t="s">
        <v>334</v>
      </c>
      <c r="G8" s="1409" t="s">
        <v>334</v>
      </c>
      <c r="H8" s="1409" t="s">
        <v>334</v>
      </c>
      <c r="I8" s="1409">
        <v>1</v>
      </c>
    </row>
    <row r="9" spans="1:9">
      <c r="B9" s="1409" t="s">
        <v>342</v>
      </c>
      <c r="C9" s="1409" t="s">
        <v>14608</v>
      </c>
      <c r="D9" s="1409" t="s">
        <v>334</v>
      </c>
      <c r="E9" s="1409" t="s">
        <v>334</v>
      </c>
      <c r="F9" s="1409" t="s">
        <v>334</v>
      </c>
      <c r="G9" s="1409" t="s">
        <v>334</v>
      </c>
      <c r="H9" s="1409" t="s">
        <v>334</v>
      </c>
      <c r="I9" s="1409">
        <v>1</v>
      </c>
    </row>
    <row r="10" spans="1:9">
      <c r="B10" s="1409" t="s">
        <v>862</v>
      </c>
      <c r="C10" s="1409" t="s">
        <v>334</v>
      </c>
      <c r="D10" s="1409" t="str">
        <f>D6</f>
        <v>OAG</v>
      </c>
      <c r="E10" s="1409" t="s">
        <v>14607</v>
      </c>
      <c r="F10" s="1409" t="s">
        <v>334</v>
      </c>
      <c r="G10" s="1409" t="s">
        <v>334</v>
      </c>
      <c r="H10" s="1409" t="s">
        <v>334</v>
      </c>
      <c r="I10" s="1409">
        <v>1</v>
      </c>
    </row>
    <row r="11" spans="1:9">
      <c r="B11" s="1409" t="s">
        <v>862</v>
      </c>
      <c r="C11" s="1409" t="s">
        <v>334</v>
      </c>
      <c r="D11" s="1409" t="str">
        <f>D7</f>
        <v>OKE</v>
      </c>
      <c r="E11" s="1409" t="s">
        <v>14607</v>
      </c>
      <c r="F11" s="1409" t="s">
        <v>334</v>
      </c>
      <c r="G11" s="1409" t="s">
        <v>334</v>
      </c>
      <c r="H11" s="1409" t="s">
        <v>334</v>
      </c>
      <c r="I11" s="1409">
        <v>1</v>
      </c>
    </row>
    <row r="12" spans="1:9">
      <c r="B12" s="1409" t="s">
        <v>862</v>
      </c>
      <c r="C12" s="1409" t="s">
        <v>334</v>
      </c>
      <c r="D12" s="1409" t="str">
        <f>D4</f>
        <v>UPSELC</v>
      </c>
      <c r="E12" s="1409" t="s">
        <v>14606</v>
      </c>
      <c r="F12" s="1409" t="s">
        <v>334</v>
      </c>
      <c r="G12" s="1409" t="s">
        <v>334</v>
      </c>
      <c r="H12" s="1409" t="s">
        <v>334</v>
      </c>
      <c r="I12" s="1409">
        <v>1</v>
      </c>
    </row>
    <row r="13" spans="1:9">
      <c r="B13" s="1409" t="s">
        <v>862</v>
      </c>
      <c r="C13" s="1409" t="s">
        <v>334</v>
      </c>
      <c r="D13" s="1409" t="str">
        <f>D5</f>
        <v>HGN</v>
      </c>
      <c r="E13" s="1409" t="s">
        <v>14606</v>
      </c>
      <c r="F13" s="1409" t="s">
        <v>334</v>
      </c>
      <c r="G13" s="1409" t="s">
        <v>334</v>
      </c>
      <c r="H13" s="1409" t="s">
        <v>334</v>
      </c>
      <c r="I13"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59"/>
  <sheetViews>
    <sheetView zoomScale="85" zoomScaleNormal="85" workbookViewId="0">
      <selection activeCell="E21" sqref="C20:E21"/>
    </sheetView>
  </sheetViews>
  <sheetFormatPr defaultRowHeight="15"/>
  <cols>
    <col min="1" max="2" width="16.85546875" style="1409" customWidth="1"/>
    <col min="3" max="3" width="23.85546875" style="1409" customWidth="1"/>
    <col min="4" max="4" width="11" style="1409" bestFit="1"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14566</v>
      </c>
      <c r="B2" s="1685" t="s">
        <v>14564</v>
      </c>
    </row>
    <row r="3" spans="1:13">
      <c r="A3" s="1409" t="s">
        <v>14567</v>
      </c>
      <c r="B3" s="1685" t="s">
        <v>14565</v>
      </c>
    </row>
    <row r="4" spans="1:13">
      <c r="A4" s="1404"/>
      <c r="I4" s="1684" t="s">
        <v>14588</v>
      </c>
      <c r="J4" s="1684"/>
    </row>
    <row r="5" spans="1:13">
      <c r="A5" s="1409" t="s">
        <v>14562</v>
      </c>
      <c r="B5" s="1409" t="s">
        <v>14563</v>
      </c>
      <c r="C5" s="1404"/>
      <c r="F5" s="6">
        <v>2020</v>
      </c>
      <c r="G5" s="6">
        <v>2030</v>
      </c>
      <c r="H5" s="1674">
        <v>2035</v>
      </c>
      <c r="I5" s="1683">
        <v>2040</v>
      </c>
      <c r="J5" s="1683">
        <v>2050</v>
      </c>
    </row>
    <row r="6" spans="1:13">
      <c r="A6" s="435" t="s">
        <v>14581</v>
      </c>
      <c r="B6" s="1409" t="s">
        <v>839</v>
      </c>
      <c r="C6" t="s">
        <v>14086</v>
      </c>
      <c r="F6" s="1448">
        <f t="shared" ref="F6:I7" si="0">F51*$D$20</f>
        <v>622.84426708278443</v>
      </c>
      <c r="G6" s="1448">
        <f>AVERAGE(F6,H6)</f>
        <v>429.54777040192027</v>
      </c>
      <c r="H6" s="1448">
        <f>H51*$D$20</f>
        <v>236.25127372105612</v>
      </c>
      <c r="I6" s="1681">
        <f>I51*$D$20</f>
        <v>198.85358322102883</v>
      </c>
      <c r="J6" s="1681">
        <f t="shared" ref="J6" si="1">J51*$D$20</f>
        <v>161.45589272100153</v>
      </c>
    </row>
    <row r="7" spans="1:13">
      <c r="A7" s="435" t="s">
        <v>14582</v>
      </c>
      <c r="B7" s="1409" t="s">
        <v>839</v>
      </c>
      <c r="C7" s="1409" t="s">
        <v>14086</v>
      </c>
      <c r="F7" s="1448">
        <f t="shared" si="0"/>
        <v>408.07038188182429</v>
      </c>
      <c r="G7" s="1448">
        <f>AVERAGE(F7,H7)</f>
        <v>300.68343928134419</v>
      </c>
      <c r="H7" s="1448">
        <f t="shared" si="0"/>
        <v>193.29649668086412</v>
      </c>
      <c r="I7" s="1681">
        <f t="shared" si="0"/>
        <v>154.0130681056458</v>
      </c>
      <c r="J7" s="1681">
        <f>J52*$D$20</f>
        <v>114.72963953042742</v>
      </c>
    </row>
    <row r="8" spans="1:13">
      <c r="A8" s="435" t="s">
        <v>14581</v>
      </c>
      <c r="B8" s="1409" t="s">
        <v>849</v>
      </c>
      <c r="C8" t="s">
        <v>1656</v>
      </c>
      <c r="D8" s="1719">
        <v>1.4999999999999999E-2</v>
      </c>
      <c r="F8" s="1448">
        <f t="shared" ref="F8:J9" si="2">$D$8*F6</f>
        <v>9.3426640062417654</v>
      </c>
      <c r="G8" s="1448">
        <f t="shared" si="2"/>
        <v>6.4432165560288039</v>
      </c>
      <c r="H8" s="1448">
        <f t="shared" si="2"/>
        <v>3.5437691058158416</v>
      </c>
      <c r="I8" s="1681">
        <f t="shared" si="2"/>
        <v>2.9828037483154324</v>
      </c>
      <c r="J8" s="1681">
        <f>$D$8*J6</f>
        <v>2.4218383908150227</v>
      </c>
    </row>
    <row r="9" spans="1:13">
      <c r="A9" s="435" t="s">
        <v>14582</v>
      </c>
      <c r="B9" s="1409" t="s">
        <v>849</v>
      </c>
      <c r="C9" s="1409" t="s">
        <v>1656</v>
      </c>
      <c r="D9" s="1719">
        <f>D8</f>
        <v>1.4999999999999999E-2</v>
      </c>
      <c r="F9" s="1448">
        <f t="shared" si="2"/>
        <v>6.1210557282273639</v>
      </c>
      <c r="G9" s="1448">
        <f t="shared" si="2"/>
        <v>4.5102515892201627</v>
      </c>
      <c r="H9" s="1448">
        <f t="shared" si="2"/>
        <v>2.8994474502129619</v>
      </c>
      <c r="I9" s="1681">
        <f t="shared" si="2"/>
        <v>2.3101960215846868</v>
      </c>
      <c r="J9" s="1681">
        <f t="shared" si="2"/>
        <v>1.7209445929564113</v>
      </c>
    </row>
    <row r="10" spans="1:13">
      <c r="A10" s="435" t="s">
        <v>14581</v>
      </c>
      <c r="B10" s="1409" t="s">
        <v>861</v>
      </c>
      <c r="C10" t="s">
        <v>14084</v>
      </c>
      <c r="F10" s="1451">
        <f t="shared" ref="F10:H11" si="3">F57/8760</f>
        <v>7.6103500761035017</v>
      </c>
      <c r="G10" s="1451">
        <f t="shared" si="3"/>
        <v>9.512937595129376</v>
      </c>
      <c r="H10" s="1451">
        <f t="shared" si="3"/>
        <v>15.854895991882291</v>
      </c>
      <c r="I10" s="1682">
        <f>H10</f>
        <v>15.854895991882291</v>
      </c>
      <c r="J10" s="1682">
        <f>I10</f>
        <v>15.854895991882291</v>
      </c>
    </row>
    <row r="11" spans="1:13">
      <c r="A11" s="435" t="s">
        <v>14582</v>
      </c>
      <c r="B11" s="1409" t="s">
        <v>861</v>
      </c>
      <c r="C11" s="1409" t="s">
        <v>14084</v>
      </c>
      <c r="F11" s="1451">
        <f t="shared" si="3"/>
        <v>9.512937595129376</v>
      </c>
      <c r="G11" s="1451">
        <f t="shared" si="3"/>
        <v>12.049720953830542</v>
      </c>
      <c r="H11" s="1451">
        <f t="shared" si="3"/>
        <v>15.854895991882291</v>
      </c>
      <c r="I11" s="1682">
        <f t="shared" ref="I11" si="4">I10</f>
        <v>15.854895991882291</v>
      </c>
      <c r="J11" s="1682">
        <f>I11</f>
        <v>15.854895991882291</v>
      </c>
    </row>
    <row r="12" spans="1:13">
      <c r="A12" s="435" t="s">
        <v>14581</v>
      </c>
      <c r="B12" s="1409" t="s">
        <v>602</v>
      </c>
      <c r="C12" t="s">
        <v>14085</v>
      </c>
      <c r="F12" s="1448">
        <v>0.9</v>
      </c>
      <c r="G12" s="1448">
        <v>0.9</v>
      </c>
      <c r="H12" s="1448">
        <v>0.9</v>
      </c>
      <c r="I12" s="1681">
        <f>H12</f>
        <v>0.9</v>
      </c>
      <c r="J12" s="1681">
        <f>I12</f>
        <v>0.9</v>
      </c>
    </row>
    <row r="13" spans="1:13">
      <c r="A13" s="435" t="s">
        <v>14582</v>
      </c>
      <c r="B13" s="1409" t="s">
        <v>602</v>
      </c>
      <c r="C13" s="1409" t="s">
        <v>14085</v>
      </c>
      <c r="F13" s="1448">
        <v>0.9</v>
      </c>
      <c r="G13" s="1448">
        <v>0.9</v>
      </c>
      <c r="H13" s="1448">
        <v>0.9</v>
      </c>
      <c r="I13" s="1681">
        <f>H13</f>
        <v>0.9</v>
      </c>
      <c r="J13" s="1681">
        <f>I13</f>
        <v>0.9</v>
      </c>
    </row>
    <row r="14" spans="1:13">
      <c r="A14" s="435" t="s">
        <v>14581</v>
      </c>
      <c r="B14" s="1409" t="s">
        <v>851</v>
      </c>
      <c r="C14" t="s">
        <v>14083</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14582</v>
      </c>
      <c r="B15" s="1409" t="s">
        <v>851</v>
      </c>
      <c r="C15" s="1409" t="s">
        <v>14083</v>
      </c>
      <c r="F15" s="1448">
        <f>AVERAGE(63, 70)/100</f>
        <v>0.66500000000000004</v>
      </c>
      <c r="G15" s="1448">
        <f>AVERAGE(65,71)/100</f>
        <v>0.68</v>
      </c>
      <c r="H15" s="1448">
        <f>AVERAGE(70,80)/100</f>
        <v>0.75</v>
      </c>
      <c r="I15" s="1681">
        <f>$R$56*I$5 +$S$56</f>
        <v>0.81579999999999941</v>
      </c>
      <c r="J15" s="1681">
        <f>I15</f>
        <v>0.81579999999999941</v>
      </c>
      <c r="M15" s="1409"/>
    </row>
    <row r="16" spans="1:13">
      <c r="A16" s="435" t="s">
        <v>14581</v>
      </c>
      <c r="B16" s="1409" t="s">
        <v>1136</v>
      </c>
      <c r="C16" s="1409" t="s">
        <v>14593</v>
      </c>
      <c r="F16" s="1448">
        <v>-2</v>
      </c>
      <c r="G16" s="1448">
        <f>F16</f>
        <v>-2</v>
      </c>
      <c r="H16" s="1448">
        <f>G16</f>
        <v>-2</v>
      </c>
      <c r="I16" s="1681">
        <f>H16</f>
        <v>-2</v>
      </c>
      <c r="J16" s="1681">
        <f>I16</f>
        <v>-2</v>
      </c>
    </row>
    <row r="17" spans="1:22">
      <c r="A17" s="435" t="s">
        <v>14582</v>
      </c>
      <c r="B17" s="1409" t="s">
        <v>1136</v>
      </c>
      <c r="C17" s="1409" t="s">
        <v>14593</v>
      </c>
      <c r="F17" s="1448">
        <f>F16</f>
        <v>-2</v>
      </c>
      <c r="G17" s="1448">
        <f t="shared" ref="G17:J17" si="5">G16</f>
        <v>-2</v>
      </c>
      <c r="H17" s="1448">
        <f t="shared" si="5"/>
        <v>-2</v>
      </c>
      <c r="I17" s="1681">
        <f t="shared" si="5"/>
        <v>-2</v>
      </c>
      <c r="J17" s="1681">
        <f t="shared" si="5"/>
        <v>-2</v>
      </c>
    </row>
    <row r="20" spans="1:22">
      <c r="C20" s="1686" t="s">
        <v>14589</v>
      </c>
      <c r="D20" s="1687">
        <f>1/1.19</f>
        <v>0.84033613445378152</v>
      </c>
    </row>
    <row r="21" spans="1:22">
      <c r="C21" s="1686" t="s">
        <v>14591</v>
      </c>
      <c r="D21" s="1687">
        <v>15.5</v>
      </c>
      <c r="E21" s="1409" t="s">
        <v>14724</v>
      </c>
    </row>
    <row r="22" spans="1:22">
      <c r="C22" s="1686" t="s">
        <v>14590</v>
      </c>
      <c r="D22" s="1687">
        <f>1/1.56</f>
        <v>0.64102564102564097</v>
      </c>
    </row>
    <row r="23" spans="1:22">
      <c r="C23" s="1687" t="s">
        <v>14738</v>
      </c>
      <c r="D23" s="1687">
        <v>1.04</v>
      </c>
      <c r="E23" s="1409" t="s">
        <v>14739</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14088</v>
      </c>
      <c r="D39" s="1409">
        <v>120.1</v>
      </c>
      <c r="E39" s="1409" t="s">
        <v>1045</v>
      </c>
      <c r="F39" s="1409" t="s">
        <v>14536</v>
      </c>
    </row>
    <row r="40" spans="1:19">
      <c r="F40" s="6">
        <f>F5</f>
        <v>2020</v>
      </c>
      <c r="G40" s="6">
        <f t="shared" ref="G40:J40" si="6">G5</f>
        <v>2030</v>
      </c>
      <c r="H40" s="1674">
        <f t="shared" si="6"/>
        <v>2035</v>
      </c>
      <c r="I40" s="6">
        <f t="shared" si="6"/>
        <v>2040</v>
      </c>
      <c r="J40" s="6">
        <f t="shared" si="6"/>
        <v>2050</v>
      </c>
      <c r="K40" s="1891" t="s">
        <v>14726</v>
      </c>
      <c r="L40" s="573" t="s">
        <v>14740</v>
      </c>
      <c r="R40" s="1409">
        <v>8.2000000000000007E-3</v>
      </c>
      <c r="S40" s="1409">
        <v>-16.015000000000001</v>
      </c>
    </row>
    <row r="41" spans="1:19">
      <c r="C41" s="1409" t="s">
        <v>14583</v>
      </c>
      <c r="D41" t="s">
        <v>1123</v>
      </c>
      <c r="E41" s="1121" t="s">
        <v>14080</v>
      </c>
      <c r="F41" s="1720">
        <f>AVERAGE(1800,1100)* $D$23</f>
        <v>1508</v>
      </c>
      <c r="G41" s="1720">
        <f>AVERAGE(650,1500)*$D$23</f>
        <v>1118</v>
      </c>
      <c r="H41" s="1720">
        <f>AVERAGE(200,900)*$D$23</f>
        <v>572</v>
      </c>
      <c r="I41" s="1721">
        <f>AVERAGE(H41,J41)</f>
        <v>481.4545454545455</v>
      </c>
      <c r="J41" s="1721">
        <f>INDEX(L41:M41,MATCH($J$43,$L$43:$M$43,0))</f>
        <v>390.90909090909093</v>
      </c>
      <c r="K41" s="1891"/>
      <c r="L41" s="610">
        <v>200</v>
      </c>
      <c r="M41" s="1724">
        <f>G41/H41*L41</f>
        <v>390.90909090909093</v>
      </c>
    </row>
    <row r="42" spans="1:19">
      <c r="C42" s="1409" t="s">
        <v>14585</v>
      </c>
      <c r="D42" t="s">
        <v>1123</v>
      </c>
      <c r="E42" s="1121" t="s">
        <v>14080</v>
      </c>
      <c r="F42" s="1720">
        <f>AVERAGE(500,1400)*$D$23</f>
        <v>988</v>
      </c>
      <c r="G42" s="1720">
        <f>AVERAGE(400,850)*$D$23</f>
        <v>650</v>
      </c>
      <c r="H42" s="1720">
        <f>AVERAGE(700,200)*$D$23</f>
        <v>468</v>
      </c>
      <c r="I42" s="1721">
        <f>AVERAGE(H42,J42)</f>
        <v>372.88888888888891</v>
      </c>
      <c r="J42" s="1721">
        <f>INDEX(L42:M42,MATCH($J$43,$L$43:$M$43,0))</f>
        <v>277.77777777777777</v>
      </c>
      <c r="K42" s="1891"/>
      <c r="L42" s="610">
        <v>200</v>
      </c>
      <c r="M42" s="1724">
        <f>G42/H42*L42</f>
        <v>277.77777777777777</v>
      </c>
    </row>
    <row r="43" spans="1:19">
      <c r="F43" s="6"/>
      <c r="G43" s="6"/>
      <c r="H43" s="6"/>
      <c r="I43" s="6"/>
      <c r="J43" s="1727">
        <v>2</v>
      </c>
      <c r="L43" s="610">
        <v>1</v>
      </c>
      <c r="M43" s="610">
        <v>2</v>
      </c>
    </row>
    <row r="44" spans="1:19">
      <c r="F44"/>
      <c r="G44"/>
      <c r="H44"/>
      <c r="I44"/>
      <c r="L44" s="1409" t="s">
        <v>14741</v>
      </c>
      <c r="M44" s="1409" t="s">
        <v>14742</v>
      </c>
    </row>
    <row r="45" spans="1:19">
      <c r="C45" s="1450" t="s">
        <v>14592</v>
      </c>
      <c r="D45" s="1688">
        <f>1000000000</f>
        <v>1000000000</v>
      </c>
      <c r="E45" s="1409" t="s">
        <v>14586</v>
      </c>
    </row>
    <row r="46" spans="1:19">
      <c r="E46" s="1121" t="s">
        <v>14587</v>
      </c>
      <c r="F46" s="6">
        <f>1000*8760*3600</f>
        <v>31536000000</v>
      </c>
      <c r="G46" s="6">
        <f>1000*8760*3600</f>
        <v>31536000000</v>
      </c>
      <c r="H46" s="6">
        <f>1000*8760*3600</f>
        <v>31536000000</v>
      </c>
      <c r="I46" s="6">
        <f t="shared" ref="I46:J46" si="7">1000*8760*3600</f>
        <v>31536000000</v>
      </c>
      <c r="J46" s="6">
        <f t="shared" si="7"/>
        <v>31536000000</v>
      </c>
    </row>
    <row r="47" spans="1:19">
      <c r="C47" s="1409" t="s">
        <v>14583</v>
      </c>
      <c r="D47" s="1409" t="s">
        <v>1123</v>
      </c>
      <c r="E47" s="1121" t="s">
        <v>14079</v>
      </c>
      <c r="F47" s="1722">
        <f t="shared" ref="F47:J48" si="8">F41/F$46</f>
        <v>4.7818366311516996E-8</v>
      </c>
      <c r="G47" s="1722">
        <f t="shared" si="8"/>
        <v>3.545154743784881E-8</v>
      </c>
      <c r="H47" s="1722">
        <f t="shared" si="8"/>
        <v>1.8138001014713343E-8</v>
      </c>
      <c r="I47" s="1722">
        <f t="shared" si="8"/>
        <v>1.5266823486001568E-8</v>
      </c>
      <c r="J47" s="1722">
        <f t="shared" si="8"/>
        <v>1.2395645957289793E-8</v>
      </c>
    </row>
    <row r="48" spans="1:19">
      <c r="C48" s="1409" t="s">
        <v>14584</v>
      </c>
      <c r="D48" s="1409" t="s">
        <v>1123</v>
      </c>
      <c r="E48" s="1121" t="s">
        <v>14079</v>
      </c>
      <c r="F48" s="1722">
        <f t="shared" si="8"/>
        <v>3.1329274479959411E-8</v>
      </c>
      <c r="G48" s="1722">
        <f t="shared" si="8"/>
        <v>2.0611364789446981E-8</v>
      </c>
      <c r="H48" s="1722">
        <f t="shared" si="8"/>
        <v>1.4840182648401826E-8</v>
      </c>
      <c r="I48" s="1722">
        <f t="shared" si="8"/>
        <v>1.1824229099723774E-8</v>
      </c>
      <c r="J48" s="1722">
        <f t="shared" si="8"/>
        <v>8.8082755510457179E-9</v>
      </c>
    </row>
    <row r="49" spans="3:19">
      <c r="C49" s="1409" t="s">
        <v>14583</v>
      </c>
      <c r="D49" s="1409" t="s">
        <v>1123</v>
      </c>
      <c r="E49" s="1121" t="s">
        <v>14078</v>
      </c>
      <c r="F49" s="897">
        <f t="shared" ref="F49:J50" si="9">F47*$D$45</f>
        <v>47.818366311516996</v>
      </c>
      <c r="G49" s="897">
        <f t="shared" si="9"/>
        <v>35.451547437848809</v>
      </c>
      <c r="H49" s="897">
        <f t="shared" si="9"/>
        <v>18.138001014713343</v>
      </c>
      <c r="I49" s="897">
        <f t="shared" si="9"/>
        <v>15.266823486001568</v>
      </c>
      <c r="J49" s="897">
        <f t="shared" si="9"/>
        <v>12.395645957289794</v>
      </c>
    </row>
    <row r="50" spans="3:19">
      <c r="C50" s="1409" t="s">
        <v>14584</v>
      </c>
      <c r="D50" s="1409" t="s">
        <v>1123</v>
      </c>
      <c r="E50" s="1121" t="s">
        <v>14078</v>
      </c>
      <c r="F50" s="897">
        <f t="shared" si="9"/>
        <v>31.329274479959413</v>
      </c>
      <c r="G50" s="897">
        <f t="shared" si="9"/>
        <v>20.611364789446981</v>
      </c>
      <c r="H50" s="897">
        <f t="shared" si="9"/>
        <v>14.840182648401827</v>
      </c>
      <c r="I50" s="897">
        <f t="shared" si="9"/>
        <v>11.824229099723773</v>
      </c>
      <c r="J50" s="897">
        <f t="shared" si="9"/>
        <v>8.8082755510457176</v>
      </c>
    </row>
    <row r="51" spans="3:19">
      <c r="C51" s="1409" t="s">
        <v>14583</v>
      </c>
      <c r="D51" s="1409" t="s">
        <v>1123</v>
      </c>
      <c r="E51" s="1302" t="s">
        <v>14725</v>
      </c>
      <c r="F51" s="1447">
        <f t="shared" ref="F51:H52" si="10">F49*$D$21</f>
        <v>741.18467782851349</v>
      </c>
      <c r="G51" s="1447">
        <f>G49*$D$21</f>
        <v>549.49898528665653</v>
      </c>
      <c r="H51" s="1447">
        <f>H49*$D$21</f>
        <v>281.13901572805679</v>
      </c>
      <c r="I51" s="1447">
        <f t="shared" ref="I51:J51" si="11">I49*$D$21</f>
        <v>236.63576403302432</v>
      </c>
      <c r="J51" s="1447">
        <f t="shared" si="11"/>
        <v>192.13251233799181</v>
      </c>
    </row>
    <row r="52" spans="3:19">
      <c r="C52" s="1409" t="s">
        <v>14584</v>
      </c>
      <c r="D52" s="1409" t="s">
        <v>1123</v>
      </c>
      <c r="E52" s="1302" t="s">
        <v>14725</v>
      </c>
      <c r="F52" s="1447">
        <f t="shared" si="10"/>
        <v>485.6037544393709</v>
      </c>
      <c r="G52" s="1447">
        <f t="shared" si="10"/>
        <v>319.47615423642821</v>
      </c>
      <c r="H52" s="1447">
        <f t="shared" si="10"/>
        <v>230.02283105022832</v>
      </c>
      <c r="I52" s="1447">
        <f t="shared" ref="I52:J52" si="12">I50*$D$21</f>
        <v>183.27555104571849</v>
      </c>
      <c r="J52" s="1447">
        <f t="shared" si="12"/>
        <v>136.52827104120863</v>
      </c>
    </row>
    <row r="53" spans="3:19">
      <c r="E53" s="1302"/>
      <c r="F53" s="1447"/>
      <c r="G53" s="1447"/>
      <c r="H53" s="1447"/>
      <c r="I53" s="6"/>
      <c r="J53" s="6"/>
    </row>
    <row r="54" spans="3:19">
      <c r="C54" s="1409" t="s">
        <v>14737</v>
      </c>
      <c r="F54" s="6">
        <f>F40</f>
        <v>2020</v>
      </c>
      <c r="G54" s="6">
        <f t="shared" ref="G54:H54" si="13">G40</f>
        <v>2030</v>
      </c>
      <c r="H54" s="6">
        <f t="shared" si="13"/>
        <v>2035</v>
      </c>
      <c r="I54" s="6"/>
      <c r="J54" s="6"/>
    </row>
    <row r="55" spans="3:19">
      <c r="C55" s="1409" t="s">
        <v>14583</v>
      </c>
      <c r="E55" s="1409" t="s">
        <v>14081</v>
      </c>
      <c r="F55" s="1723">
        <f>AVERAGE(30000,90000)</f>
        <v>60000</v>
      </c>
      <c r="G55" s="1723">
        <f>AVERAGE(60000,90000)</f>
        <v>75000</v>
      </c>
      <c r="H55" s="1723">
        <f>AVERAGE(100000,150000)</f>
        <v>125000</v>
      </c>
      <c r="I55" s="6"/>
      <c r="J55" s="6"/>
    </row>
    <row r="56" spans="3:19">
      <c r="C56" s="1409" t="s">
        <v>14584</v>
      </c>
      <c r="E56" s="1409" t="s">
        <v>14081</v>
      </c>
      <c r="F56" s="1723">
        <f>AVERAGE(60000,90000)</f>
        <v>75000</v>
      </c>
      <c r="G56" s="1723">
        <f>AVERAGE(90000,100000)</f>
        <v>95000</v>
      </c>
      <c r="H56" s="1723">
        <f>AVERAGE(100000,150000)</f>
        <v>125000</v>
      </c>
      <c r="I56" s="6"/>
      <c r="J56" s="6"/>
      <c r="M56" s="1680"/>
      <c r="R56" s="1409">
        <v>5.1000000000000004E-3</v>
      </c>
      <c r="S56" s="1409">
        <v>-9.5882000000000005</v>
      </c>
    </row>
    <row r="57" spans="3:19">
      <c r="C57" s="1409" t="s">
        <v>14583</v>
      </c>
      <c r="E57" s="1409" t="s">
        <v>14082</v>
      </c>
      <c r="F57" s="1022">
        <f t="shared" ref="F57:H58" si="14">F55/F12</f>
        <v>66666.666666666672</v>
      </c>
      <c r="G57" s="1022">
        <f t="shared" si="14"/>
        <v>83333.333333333328</v>
      </c>
      <c r="H57" s="1022">
        <f t="shared" si="14"/>
        <v>138888.88888888888</v>
      </c>
      <c r="I57" s="6"/>
      <c r="J57" s="6"/>
    </row>
    <row r="58" spans="3:19">
      <c r="C58" s="1409" t="s">
        <v>14584</v>
      </c>
      <c r="E58" s="1409" t="s">
        <v>14082</v>
      </c>
      <c r="F58" s="1022">
        <f t="shared" si="14"/>
        <v>83333.333333333328</v>
      </c>
      <c r="G58" s="1022">
        <f t="shared" si="14"/>
        <v>105555.55555555555</v>
      </c>
      <c r="H58" s="1022">
        <f t="shared" si="14"/>
        <v>138888.88888888888</v>
      </c>
      <c r="I58" s="6"/>
      <c r="J58" s="6"/>
    </row>
    <row r="59" spans="3:19">
      <c r="I59" s="6"/>
      <c r="J59" s="6"/>
    </row>
  </sheetData>
  <mergeCells count="1">
    <mergeCell ref="K40:K42"/>
  </mergeCells>
  <pageMargins left="0.7" right="0.7" top="0.75" bottom="0.75" header="0.3" footer="0.3"/>
  <drawing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zoomScale="85" zoomScaleNormal="85" workbookViewId="0">
      <selection activeCell="E32" sqref="E32"/>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9.140625" style="1409"/>
    <col min="6" max="6" width="12.140625" style="1409" customWidth="1"/>
    <col min="7" max="7" width="16.140625" style="1409" bestFit="1" customWidth="1"/>
    <col min="8"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14408</v>
      </c>
    </row>
    <row r="2" spans="1:10" ht="21">
      <c r="A2" s="1409" t="s">
        <v>14562</v>
      </c>
      <c r="B2" s="1409" t="s">
        <v>14563</v>
      </c>
      <c r="C2" s="1654" t="s">
        <v>14409</v>
      </c>
      <c r="F2" s="6">
        <v>2020</v>
      </c>
      <c r="G2" s="6">
        <v>2030</v>
      </c>
      <c r="H2" s="6">
        <v>2035</v>
      </c>
      <c r="I2" s="6">
        <v>2040</v>
      </c>
      <c r="J2" s="6">
        <v>2050</v>
      </c>
    </row>
    <row r="3" spans="1:10">
      <c r="A3" s="1409" t="s">
        <v>14550</v>
      </c>
      <c r="B3" s="1449" t="s">
        <v>839</v>
      </c>
      <c r="C3" s="1409" t="s">
        <v>14410</v>
      </c>
      <c r="F3" s="1451">
        <f>D29</f>
        <v>46896.125174280474</v>
      </c>
      <c r="G3" s="1448">
        <f>AVERAGE(H3,F3)*1.1</f>
        <v>43674.479600333063</v>
      </c>
      <c r="H3" s="1448">
        <f>E29</f>
        <v>32512.019553597809</v>
      </c>
      <c r="I3" s="1451">
        <f>F29</f>
        <v>28141.935483870966</v>
      </c>
      <c r="J3" s="1448">
        <f>F29</f>
        <v>28141.935483870966</v>
      </c>
    </row>
    <row r="4" spans="1:10">
      <c r="A4" s="1409" t="s">
        <v>14550</v>
      </c>
      <c r="B4" s="1449" t="s">
        <v>849</v>
      </c>
      <c r="C4" s="1409" t="s">
        <v>14411</v>
      </c>
      <c r="D4" s="1402">
        <v>0.03</v>
      </c>
      <c r="E4" s="1409" t="s">
        <v>14412</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14550</v>
      </c>
      <c r="B5" s="1449" t="s">
        <v>861</v>
      </c>
      <c r="C5" s="1409" t="s">
        <v>14413</v>
      </c>
      <c r="E5" s="1409" t="s">
        <v>14412</v>
      </c>
      <c r="F5" s="1451">
        <v>10</v>
      </c>
      <c r="G5" s="1451">
        <v>10</v>
      </c>
      <c r="H5" s="1451">
        <v>10</v>
      </c>
      <c r="I5" s="1451">
        <v>15</v>
      </c>
      <c r="J5" s="1451">
        <v>15</v>
      </c>
    </row>
    <row r="6" spans="1:10">
      <c r="A6" s="1409" t="s">
        <v>14550</v>
      </c>
      <c r="B6" s="1449" t="s">
        <v>602</v>
      </c>
      <c r="C6" s="1409" t="s">
        <v>296</v>
      </c>
      <c r="E6" s="1409" t="s">
        <v>14412</v>
      </c>
      <c r="F6" s="1448">
        <v>0.9</v>
      </c>
      <c r="G6" s="1448">
        <v>0.9</v>
      </c>
      <c r="H6" s="1448">
        <v>0.9</v>
      </c>
      <c r="I6" s="1448">
        <v>0.9</v>
      </c>
      <c r="J6" s="1448">
        <v>0.9</v>
      </c>
    </row>
    <row r="7" spans="1:10">
      <c r="A7" s="1409" t="s">
        <v>14550</v>
      </c>
      <c r="B7" s="1449" t="s">
        <v>14560</v>
      </c>
      <c r="C7" s="1409" t="s">
        <v>296</v>
      </c>
      <c r="D7" s="1409" t="s">
        <v>14434</v>
      </c>
      <c r="E7" s="1409" t="s">
        <v>14412</v>
      </c>
      <c r="F7" s="1448">
        <v>0.98</v>
      </c>
      <c r="G7" s="1448">
        <v>0.98</v>
      </c>
      <c r="H7" s="1448">
        <v>0.98</v>
      </c>
      <c r="I7" s="1448">
        <v>0.98</v>
      </c>
      <c r="J7" s="1448">
        <v>0.98</v>
      </c>
    </row>
    <row r="8" spans="1:10">
      <c r="A8" s="1409" t="s">
        <v>14550</v>
      </c>
      <c r="B8" s="1449"/>
      <c r="F8" s="1448"/>
      <c r="G8" s="1448"/>
      <c r="H8" s="1448"/>
      <c r="I8" s="1448"/>
      <c r="J8" s="1448"/>
    </row>
    <row r="9" spans="1:10">
      <c r="A9" s="1409" t="s">
        <v>14550</v>
      </c>
      <c r="B9" s="1674" t="s">
        <v>1167</v>
      </c>
      <c r="F9" s="1675">
        <v>2025</v>
      </c>
    </row>
    <row r="10" spans="1:10" ht="21">
      <c r="A10" s="1654" t="s">
        <v>14538</v>
      </c>
      <c r="C10" s="1654"/>
      <c r="F10" s="6"/>
      <c r="G10" s="6"/>
      <c r="H10" s="6"/>
      <c r="I10" s="6"/>
      <c r="J10" s="6"/>
    </row>
    <row r="11" spans="1:10">
      <c r="A11" s="1409" t="s">
        <v>1977</v>
      </c>
      <c r="B11" t="s">
        <v>14414</v>
      </c>
      <c r="C11" s="1409" t="s">
        <v>14539</v>
      </c>
      <c r="D11" s="1409" t="str">
        <f>E44</f>
        <v>turbine</v>
      </c>
      <c r="E11" s="1409" t="s">
        <v>277</v>
      </c>
      <c r="F11" s="1402">
        <f>C43</f>
        <v>0.52</v>
      </c>
      <c r="G11" s="1402">
        <f>F11</f>
        <v>0.52</v>
      </c>
      <c r="H11" s="1402">
        <f t="shared" ref="H11:J11" si="1">G11</f>
        <v>0.52</v>
      </c>
      <c r="I11" s="1402">
        <f t="shared" si="1"/>
        <v>0.52</v>
      </c>
      <c r="J11" s="1402">
        <f t="shared" si="1"/>
        <v>0.52</v>
      </c>
    </row>
    <row r="12" spans="1:10">
      <c r="A12" s="1409" t="s">
        <v>1977</v>
      </c>
      <c r="B12" s="1409" t="s">
        <v>14414</v>
      </c>
      <c r="C12" s="1409" t="s">
        <v>14539</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1977</v>
      </c>
      <c r="B13" s="1409" t="s">
        <v>14414</v>
      </c>
      <c r="C13" s="1409" t="s">
        <v>14539</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14553</v>
      </c>
      <c r="B14" s="1409" t="s">
        <v>13541</v>
      </c>
      <c r="C14" s="1409" t="s">
        <v>14539</v>
      </c>
      <c r="D14" s="1409" t="str">
        <f>D11</f>
        <v>turbine</v>
      </c>
      <c r="E14" s="1409" t="s">
        <v>14544</v>
      </c>
      <c r="F14" s="1409">
        <f>(C44*3.6)/H2.LHV.MJ_kg</f>
        <v>2.5358867610324732E-2</v>
      </c>
      <c r="G14" s="1409">
        <f>F14</f>
        <v>2.5358867610324732E-2</v>
      </c>
      <c r="H14" s="1409">
        <f t="shared" ref="H14:J14" si="7">G14</f>
        <v>2.5358867610324732E-2</v>
      </c>
      <c r="I14" s="1409">
        <f t="shared" si="7"/>
        <v>2.5358867610324732E-2</v>
      </c>
      <c r="J14" s="1409">
        <f t="shared" si="7"/>
        <v>2.5358867610324732E-2</v>
      </c>
    </row>
    <row r="15" spans="1:10">
      <c r="A15" s="1409" t="s">
        <v>1977</v>
      </c>
      <c r="B15" s="1409" t="s">
        <v>13541</v>
      </c>
      <c r="C15" s="1409" t="s">
        <v>14539</v>
      </c>
      <c r="D15" s="1409" t="str">
        <f>D12</f>
        <v>pipeline</v>
      </c>
      <c r="E15" s="1409" t="s">
        <v>14545</v>
      </c>
      <c r="F15" s="1409">
        <f>(C45*3.6)/H2.LHV.MJ_kg</f>
        <v>7.7485428809325584E-3</v>
      </c>
      <c r="G15" s="1409">
        <f t="shared" ref="G15:J16" si="8">F15</f>
        <v>7.7485428809325584E-3</v>
      </c>
      <c r="H15" s="1409">
        <f t="shared" si="8"/>
        <v>7.7485428809325584E-3</v>
      </c>
      <c r="I15" s="1409">
        <f t="shared" si="8"/>
        <v>7.7485428809325584E-3</v>
      </c>
      <c r="J15" s="1409">
        <f t="shared" si="8"/>
        <v>7.7485428809325584E-3</v>
      </c>
    </row>
    <row r="16" spans="1:10">
      <c r="A16" s="1409" t="s">
        <v>14568</v>
      </c>
      <c r="B16" s="1409" t="s">
        <v>13541</v>
      </c>
      <c r="C16" s="1409" t="s">
        <v>14539</v>
      </c>
      <c r="D16" s="1409" t="str">
        <f>D13</f>
        <v>vehicle</v>
      </c>
      <c r="E16" s="1409" t="s">
        <v>14543</v>
      </c>
      <c r="F16" s="1409">
        <f>((C46-C44)*3.6)/H2.LHV.MJ_kg</f>
        <v>7.0441298917568701E-2</v>
      </c>
      <c r="G16" s="1409">
        <f>F16</f>
        <v>7.0441298917568701E-2</v>
      </c>
      <c r="H16" s="1409">
        <f t="shared" si="8"/>
        <v>7.0441298917568701E-2</v>
      </c>
      <c r="I16" s="1409">
        <f t="shared" si="8"/>
        <v>7.0441298917568701E-2</v>
      </c>
      <c r="J16" s="1409">
        <f t="shared" si="8"/>
        <v>7.0441298917568701E-2</v>
      </c>
    </row>
    <row r="23" spans="2:10">
      <c r="C23" s="1409" t="s">
        <v>14540</v>
      </c>
      <c r="D23" s="6" t="s">
        <v>1914</v>
      </c>
      <c r="E23" s="6" t="s">
        <v>248</v>
      </c>
    </row>
    <row r="24" spans="2:10" ht="17.25">
      <c r="B24" s="1409">
        <f>E24-D24</f>
        <v>9</v>
      </c>
      <c r="C24" s="6" t="s">
        <v>14541</v>
      </c>
      <c r="D24" s="6">
        <v>6</v>
      </c>
      <c r="E24" s="6">
        <v>15</v>
      </c>
    </row>
    <row r="25" spans="2:10" ht="17.25">
      <c r="B25" s="1409">
        <f>B24-6</f>
        <v>3</v>
      </c>
      <c r="C25" s="6" t="s">
        <v>14541</v>
      </c>
      <c r="D25" s="6" t="s">
        <v>14077</v>
      </c>
      <c r="E25" s="6" t="s">
        <v>774</v>
      </c>
    </row>
    <row r="26" spans="2:10" ht="16.5" customHeight="1">
      <c r="D26" s="1409">
        <v>2020</v>
      </c>
      <c r="E26" s="1409" t="s">
        <v>14415</v>
      </c>
      <c r="F26" s="1409" t="s">
        <v>14416</v>
      </c>
      <c r="J26" s="1397"/>
    </row>
    <row r="27" spans="2:10" ht="16.5" customHeight="1">
      <c r="B27" s="6" t="s">
        <v>1123</v>
      </c>
      <c r="C27" s="1409" t="s">
        <v>14417</v>
      </c>
      <c r="D27" s="1728">
        <f>C50/D50</f>
        <v>480.32727272727271</v>
      </c>
      <c r="E27" s="1728">
        <v>333</v>
      </c>
      <c r="F27" s="1728">
        <f>($C$39*8) / 3.6 *H2.LHV.MJ_kg</f>
        <v>288.23999999999995</v>
      </c>
    </row>
    <row r="28" spans="2:10" ht="16.5" customHeight="1">
      <c r="C28" s="1409" t="s">
        <v>14418</v>
      </c>
      <c r="D28" s="1409">
        <f>D27*$C$37*$C$38</f>
        <v>5632.2246334310848</v>
      </c>
      <c r="E28" s="1409">
        <f>E27*$C$37*$C$38</f>
        <v>3904.6935483870971</v>
      </c>
      <c r="F28" s="1409">
        <f>F27*$C$37*$C$38</f>
        <v>3379.8464516129029</v>
      </c>
    </row>
    <row r="29" spans="2:10" ht="16.5" customHeight="1">
      <c r="B29" s="1409">
        <f>E29/F29</f>
        <v>1.1552872606161533</v>
      </c>
      <c r="C29" s="1409" t="s">
        <v>14410</v>
      </c>
      <c r="D29" s="1633">
        <f>D28/H2.LHV.MJ_kg *1000</f>
        <v>46896.125174280474</v>
      </c>
      <c r="E29" s="1633">
        <f>E28/H2.LHV.MJ_kg *1000</f>
        <v>32512.019553597809</v>
      </c>
      <c r="F29" s="1633">
        <f>F28/H2.LHV.MJ_kg *1000</f>
        <v>28141.935483870966</v>
      </c>
    </row>
    <row r="30" spans="2:10" ht="16.5" customHeight="1">
      <c r="E30" s="1409">
        <f>E29/D29</f>
        <v>0.69327731092436973</v>
      </c>
      <c r="F30" s="1409">
        <f>F29/D29</f>
        <v>0.60009084714967065</v>
      </c>
    </row>
    <row r="31" spans="2:10" ht="16.5" customHeight="1"/>
    <row r="35" spans="2:6" ht="21">
      <c r="B35" s="1654" t="s">
        <v>14419</v>
      </c>
    </row>
    <row r="36" spans="2:6">
      <c r="B36" s="904">
        <v>44294.597152662034</v>
      </c>
    </row>
    <row r="37" spans="2:6">
      <c r="B37" s="1409" t="s">
        <v>14420</v>
      </c>
      <c r="C37" s="1409">
        <v>14.54</v>
      </c>
      <c r="D37" s="1409" t="s">
        <v>14421</v>
      </c>
    </row>
    <row r="38" spans="2:6">
      <c r="B38" s="1409" t="s">
        <v>14422</v>
      </c>
      <c r="C38" s="1409">
        <f>1/1.24</f>
        <v>0.80645161290322587</v>
      </c>
      <c r="D38" s="1409" t="s">
        <v>14423</v>
      </c>
    </row>
    <row r="39" spans="2:6">
      <c r="B39" s="1409" t="s">
        <v>14749</v>
      </c>
      <c r="C39" s="1409">
        <v>1.08</v>
      </c>
      <c r="D39" s="1409" t="s">
        <v>14750</v>
      </c>
    </row>
    <row r="41" spans="2:6" ht="21">
      <c r="B41" s="1654" t="s">
        <v>14424</v>
      </c>
      <c r="C41" s="1654" t="s">
        <v>14409</v>
      </c>
      <c r="D41" s="1409" t="s">
        <v>14425</v>
      </c>
      <c r="E41" s="1409" t="s">
        <v>14426</v>
      </c>
      <c r="F41" s="1409" t="s">
        <v>14427</v>
      </c>
    </row>
    <row r="42" spans="2:6">
      <c r="B42" s="1409" t="s">
        <v>14428</v>
      </c>
      <c r="C42" s="1409">
        <f>$I$54*($D42)+$J$54</f>
        <v>9.4E-2</v>
      </c>
      <c r="D42" s="775">
        <v>20</v>
      </c>
    </row>
    <row r="43" spans="2:6">
      <c r="B43" s="1409" t="s">
        <v>14429</v>
      </c>
      <c r="C43" s="1402">
        <v>0.52</v>
      </c>
    </row>
    <row r="44" spans="2:6">
      <c r="B44" s="1409" t="s">
        <v>14430</v>
      </c>
      <c r="C44" s="1689">
        <f>$I$54*($D44)+$J$54 -$C$42</f>
        <v>0.84600000000000009</v>
      </c>
      <c r="D44" s="1409">
        <v>200</v>
      </c>
      <c r="E44" s="1409" t="s">
        <v>14431</v>
      </c>
      <c r="F44" s="1409" t="s">
        <v>14432</v>
      </c>
    </row>
    <row r="45" spans="2:6">
      <c r="C45" s="1689">
        <f>$I$54*($D45)+$J$54 -$C$42</f>
        <v>0.25850000000000006</v>
      </c>
      <c r="D45" s="1409">
        <v>75</v>
      </c>
      <c r="E45" s="1409" t="s">
        <v>14433</v>
      </c>
      <c r="F45" s="1409" t="s">
        <v>14434</v>
      </c>
    </row>
    <row r="46" spans="2:6">
      <c r="C46" s="1689">
        <f>$I$54*($D46)+$J$54 -$C$42</f>
        <v>3.1960000000000002</v>
      </c>
      <c r="D46" s="1409">
        <v>700</v>
      </c>
      <c r="E46" s="1409" t="s">
        <v>14435</v>
      </c>
      <c r="F46" s="1409" t="s">
        <v>14434</v>
      </c>
    </row>
    <row r="48" spans="2:6" ht="21">
      <c r="B48" s="1654" t="s">
        <v>14408</v>
      </c>
      <c r="C48" s="1409" t="s">
        <v>14436</v>
      </c>
      <c r="D48" s="1409" t="s">
        <v>733</v>
      </c>
      <c r="E48" s="1409" t="s">
        <v>14437</v>
      </c>
    </row>
    <row r="49" spans="2:10">
      <c r="B49" s="1409" t="s">
        <v>1903</v>
      </c>
      <c r="C49" s="1409" t="s">
        <v>14438</v>
      </c>
      <c r="D49" s="1409" t="s">
        <v>1146</v>
      </c>
      <c r="E49" s="1409" t="s">
        <v>14439</v>
      </c>
    </row>
    <row r="50" spans="2:10">
      <c r="B50" s="1409" t="s">
        <v>14440</v>
      </c>
      <c r="C50" s="1409">
        <f>Z117</f>
        <v>422688</v>
      </c>
      <c r="D50" s="1409">
        <v>880</v>
      </c>
      <c r="E50" s="1409" t="s">
        <v>14441</v>
      </c>
    </row>
    <row r="53" spans="2:10">
      <c r="I53" s="1409" t="s">
        <v>14743</v>
      </c>
      <c r="J53" s="1409" t="s">
        <v>14744</v>
      </c>
    </row>
    <row r="54" spans="2:10">
      <c r="G54" s="1409" t="s">
        <v>14442</v>
      </c>
      <c r="H54" s="1409" t="s">
        <v>14745</v>
      </c>
      <c r="I54" s="1409">
        <v>4.7000000000000002E-3</v>
      </c>
      <c r="J54" s="1409">
        <v>0</v>
      </c>
    </row>
    <row r="72" spans="2:12">
      <c r="B72" s="1409" t="s">
        <v>14443</v>
      </c>
      <c r="L72" s="1409" t="s">
        <v>14444</v>
      </c>
    </row>
    <row r="86" spans="2:28">
      <c r="B86" s="184" t="s">
        <v>14445</v>
      </c>
      <c r="E86" s="1409" t="s">
        <v>14446</v>
      </c>
    </row>
    <row r="87" spans="2:28">
      <c r="W87" s="1409" t="s">
        <v>14443</v>
      </c>
      <c r="AB87" s="1409" t="s">
        <v>14447</v>
      </c>
    </row>
    <row r="88" spans="2:28">
      <c r="B88" s="184" t="s">
        <v>14448</v>
      </c>
    </row>
    <row r="89" spans="2:28">
      <c r="B89" s="1409" t="s">
        <v>14449</v>
      </c>
    </row>
    <row r="90" spans="2:28">
      <c r="B90" s="1409" t="s">
        <v>14450</v>
      </c>
      <c r="W90" s="1655" t="s">
        <v>14451</v>
      </c>
      <c r="X90" s="1655" t="s">
        <v>14452</v>
      </c>
      <c r="Y90" s="1655" t="s">
        <v>14453</v>
      </c>
      <c r="Z90" s="1655" t="s">
        <v>14454</v>
      </c>
    </row>
    <row r="91" spans="2:28">
      <c r="B91" s="1409" t="s">
        <v>14455</v>
      </c>
      <c r="W91" s="1656" t="s">
        <v>14456</v>
      </c>
      <c r="X91" s="1657" t="s">
        <v>14457</v>
      </c>
      <c r="Y91" s="1656" t="s">
        <v>14458</v>
      </c>
      <c r="Z91" s="1656" t="s">
        <v>14459</v>
      </c>
    </row>
    <row r="92" spans="2:28" ht="25.5">
      <c r="B92" s="1409" t="s">
        <v>14460</v>
      </c>
      <c r="W92" s="1658" t="s">
        <v>14461</v>
      </c>
      <c r="X92" s="1659">
        <v>1000</v>
      </c>
      <c r="Y92" s="1660">
        <v>1000</v>
      </c>
      <c r="Z92" s="1661" t="s">
        <v>14459</v>
      </c>
    </row>
    <row r="93" spans="2:28">
      <c r="B93" s="1409" t="s">
        <v>14462</v>
      </c>
      <c r="W93" s="1662" t="s">
        <v>14463</v>
      </c>
      <c r="X93" s="1663">
        <v>4</v>
      </c>
      <c r="Y93" s="1664">
        <v>4</v>
      </c>
      <c r="Z93" s="1662" t="s">
        <v>14464</v>
      </c>
    </row>
    <row r="94" spans="2:28" ht="21" customHeight="1">
      <c r="B94" s="1409" t="s">
        <v>14465</v>
      </c>
      <c r="W94" s="1658" t="s">
        <v>14466</v>
      </c>
      <c r="X94" s="1665">
        <v>250</v>
      </c>
      <c r="Y94" s="1666">
        <v>250</v>
      </c>
      <c r="Z94" s="1661" t="s">
        <v>14467</v>
      </c>
    </row>
    <row r="95" spans="2:28" ht="21" customHeight="1">
      <c r="B95" s="1409" t="s">
        <v>14468</v>
      </c>
      <c r="W95" s="1662" t="s">
        <v>14469</v>
      </c>
      <c r="X95" s="1663">
        <v>700</v>
      </c>
      <c r="Y95" s="1664">
        <v>700</v>
      </c>
      <c r="Z95" s="1662" t="s">
        <v>14470</v>
      </c>
    </row>
    <row r="96" spans="2:28" ht="21" customHeight="1">
      <c r="W96" s="1658" t="s">
        <v>14471</v>
      </c>
      <c r="X96" s="1665">
        <v>5</v>
      </c>
      <c r="Y96" s="1666">
        <v>5</v>
      </c>
      <c r="Z96" s="1661" t="s">
        <v>14472</v>
      </c>
    </row>
    <row r="97" spans="23:26" ht="21" customHeight="1">
      <c r="W97" s="1662" t="s">
        <v>14473</v>
      </c>
      <c r="X97" s="1667" t="s">
        <v>14474</v>
      </c>
      <c r="Y97" s="1662" t="s">
        <v>14474</v>
      </c>
      <c r="Z97" s="1662" t="s">
        <v>14475</v>
      </c>
    </row>
    <row r="98" spans="23:26" ht="21" customHeight="1">
      <c r="W98" s="1658" t="s">
        <v>14476</v>
      </c>
      <c r="X98" s="1668" t="s">
        <v>14441</v>
      </c>
      <c r="Y98" s="1658" t="s">
        <v>14441</v>
      </c>
      <c r="Z98" s="1661" t="s">
        <v>14472</v>
      </c>
    </row>
    <row r="99" spans="23:26" ht="21" customHeight="1">
      <c r="W99" s="1662" t="s">
        <v>14477</v>
      </c>
      <c r="X99" s="1667" t="s">
        <v>14478</v>
      </c>
      <c r="Y99" s="1662" t="s">
        <v>14478</v>
      </c>
      <c r="Z99" s="1662" t="s">
        <v>14479</v>
      </c>
    </row>
    <row r="100" spans="23:26" ht="21" customHeight="1">
      <c r="W100" s="1658" t="s">
        <v>14480</v>
      </c>
      <c r="X100" s="1665">
        <v>885</v>
      </c>
      <c r="Y100" s="1658" t="s">
        <v>1963</v>
      </c>
      <c r="Z100" s="1661" t="s">
        <v>14479</v>
      </c>
    </row>
    <row r="101" spans="23:26" ht="21" customHeight="1">
      <c r="W101" s="1662" t="s">
        <v>14481</v>
      </c>
      <c r="X101" s="1663">
        <v>250</v>
      </c>
      <c r="Y101" s="1662" t="s">
        <v>1963</v>
      </c>
      <c r="Z101" s="1662" t="s">
        <v>14479</v>
      </c>
    </row>
    <row r="102" spans="23:26" ht="21" customHeight="1">
      <c r="W102" s="1658" t="s">
        <v>14482</v>
      </c>
      <c r="X102" s="1669" t="s">
        <v>14483</v>
      </c>
      <c r="Y102" s="1670" t="s">
        <v>14483</v>
      </c>
      <c r="Z102" s="1658" t="s">
        <v>14484</v>
      </c>
    </row>
    <row r="103" spans="23:26" ht="21" customHeight="1">
      <c r="W103" s="1671" t="s">
        <v>14485</v>
      </c>
      <c r="X103" s="1672">
        <v>0.65</v>
      </c>
      <c r="Y103" s="1673">
        <v>0.65</v>
      </c>
      <c r="Z103" s="1671" t="s">
        <v>14486</v>
      </c>
    </row>
    <row r="104" spans="23:26" ht="21" customHeight="1"/>
    <row r="105" spans="23:26" ht="21" customHeight="1">
      <c r="W105" s="1409" t="s">
        <v>616</v>
      </c>
      <c r="X105" s="1409" t="s">
        <v>14487</v>
      </c>
      <c r="Y105" s="1409" t="s">
        <v>14488</v>
      </c>
      <c r="Z105" s="1409" t="s">
        <v>14489</v>
      </c>
    </row>
    <row r="106" spans="23:26" ht="21" customHeight="1">
      <c r="W106" s="1409" t="s">
        <v>14490</v>
      </c>
      <c r="X106" s="1409">
        <v>4</v>
      </c>
      <c r="Y106" s="1409" t="s">
        <v>14491</v>
      </c>
      <c r="Z106" s="1409">
        <v>307403</v>
      </c>
    </row>
    <row r="107" spans="23:26" ht="21" customHeight="1">
      <c r="W107" s="1409" t="s">
        <v>14492</v>
      </c>
      <c r="X107" s="1409">
        <v>1</v>
      </c>
      <c r="Y107" s="1409" t="s">
        <v>14493</v>
      </c>
      <c r="Z107" s="1409">
        <v>40000</v>
      </c>
    </row>
    <row r="108" spans="23:26">
      <c r="W108" s="1409" t="s">
        <v>14494</v>
      </c>
      <c r="X108" s="1409">
        <v>1</v>
      </c>
      <c r="Y108" s="1409" t="s">
        <v>14495</v>
      </c>
      <c r="Z108" s="1409">
        <v>50000</v>
      </c>
    </row>
    <row r="109" spans="23:26">
      <c r="W109" s="1409" t="s">
        <v>14496</v>
      </c>
    </row>
    <row r="110" spans="23:26">
      <c r="W110" s="1409" t="s">
        <v>14497</v>
      </c>
      <c r="X110" s="1409">
        <v>4</v>
      </c>
      <c r="Y110" s="1409" t="s">
        <v>14498</v>
      </c>
      <c r="Z110" s="1409">
        <v>12000</v>
      </c>
    </row>
    <row r="111" spans="23:26">
      <c r="W111" s="1409" t="s">
        <v>14499</v>
      </c>
      <c r="X111" s="1409">
        <v>9</v>
      </c>
      <c r="Y111" s="1409" t="s">
        <v>14500</v>
      </c>
      <c r="Z111" s="1409">
        <v>2430</v>
      </c>
    </row>
    <row r="112" spans="23:26">
      <c r="W112" s="1409" t="s">
        <v>14501</v>
      </c>
      <c r="X112" s="1409">
        <v>1</v>
      </c>
      <c r="Y112" s="1409" t="s">
        <v>14502</v>
      </c>
      <c r="Z112" s="1409">
        <v>300</v>
      </c>
    </row>
    <row r="113" spans="2:26">
      <c r="W113" s="1409" t="s">
        <v>14503</v>
      </c>
      <c r="X113" s="1409">
        <v>1</v>
      </c>
      <c r="Y113" s="1409" t="s">
        <v>14504</v>
      </c>
      <c r="Z113" s="1409">
        <v>1250</v>
      </c>
    </row>
    <row r="114" spans="2:26">
      <c r="W114" s="1409" t="s">
        <v>14505</v>
      </c>
      <c r="X114" s="1409">
        <v>5</v>
      </c>
      <c r="Y114" s="1409" t="s">
        <v>14506</v>
      </c>
      <c r="Z114" s="1409">
        <v>780</v>
      </c>
    </row>
    <row r="115" spans="2:26">
      <c r="W115" s="1409" t="s">
        <v>14507</v>
      </c>
      <c r="X115" s="1409" t="s">
        <v>14508</v>
      </c>
      <c r="Y115" s="1409" t="s">
        <v>14509</v>
      </c>
      <c r="Z115" s="1409">
        <v>525</v>
      </c>
    </row>
    <row r="116" spans="2:26">
      <c r="W116" s="1409" t="s">
        <v>14510</v>
      </c>
      <c r="X116" s="1409">
        <v>1</v>
      </c>
      <c r="Y116" s="1409">
        <v>8000</v>
      </c>
      <c r="Z116" s="1409">
        <v>8000</v>
      </c>
    </row>
    <row r="117" spans="2:26">
      <c r="B117" s="1409" t="s">
        <v>14748</v>
      </c>
      <c r="W117" s="1409" t="s">
        <v>14511</v>
      </c>
      <c r="Z117" s="1409">
        <v>422688</v>
      </c>
    </row>
    <row r="118" spans="2:26">
      <c r="B118" s="1409" t="s">
        <v>14746</v>
      </c>
      <c r="C118" s="1409">
        <v>20</v>
      </c>
      <c r="D118" s="1409">
        <v>350</v>
      </c>
      <c r="E118" s="1409">
        <v>350</v>
      </c>
      <c r="F118" s="1409">
        <v>700</v>
      </c>
      <c r="G118" s="1409">
        <v>700</v>
      </c>
    </row>
    <row r="119" spans="2:26">
      <c r="B119" s="1409" t="s">
        <v>14747</v>
      </c>
      <c r="C119" s="1409">
        <v>0</v>
      </c>
      <c r="D119" s="1409">
        <v>2</v>
      </c>
      <c r="E119" s="1409">
        <v>2.2000000000000002</v>
      </c>
      <c r="F119" s="1409">
        <v>2.9</v>
      </c>
      <c r="G119" s="1409">
        <v>3.2</v>
      </c>
    </row>
    <row r="121" spans="2:26">
      <c r="B121" s="1409" t="s">
        <v>14512</v>
      </c>
    </row>
    <row r="122" spans="2:26">
      <c r="B122" s="1409" t="s">
        <v>14513</v>
      </c>
    </row>
    <row r="123" spans="2:26">
      <c r="B123" s="1409" t="s">
        <v>14514</v>
      </c>
    </row>
    <row r="124" spans="2:26">
      <c r="B124" s="1409" t="s">
        <v>14515</v>
      </c>
    </row>
    <row r="125" spans="2:26">
      <c r="B125" s="1409" t="s">
        <v>14516</v>
      </c>
    </row>
    <row r="126" spans="2:26">
      <c r="B126" s="1409" t="s">
        <v>14517</v>
      </c>
    </row>
    <row r="127" spans="2:26">
      <c r="B127" s="1409" t="s">
        <v>14518</v>
      </c>
    </row>
    <row r="128" spans="2:26">
      <c r="B128" s="1409" t="s">
        <v>14519</v>
      </c>
    </row>
    <row r="129" spans="2:2">
      <c r="B129" s="1409" t="s">
        <v>14520</v>
      </c>
    </row>
    <row r="130" spans="2:2">
      <c r="B130" s="1409" t="s">
        <v>14521</v>
      </c>
    </row>
    <row r="131" spans="2:2">
      <c r="B131" s="1409" t="s">
        <v>14522</v>
      </c>
    </row>
    <row r="132" spans="2:2">
      <c r="B132" s="1409" t="s">
        <v>14523</v>
      </c>
    </row>
    <row r="133" spans="2:2">
      <c r="B133" s="1409" t="s">
        <v>14524</v>
      </c>
    </row>
    <row r="134" spans="2:2">
      <c r="B134" s="1409" t="s">
        <v>14525</v>
      </c>
    </row>
    <row r="135" spans="2:2">
      <c r="B135" s="1409" t="s">
        <v>14526</v>
      </c>
    </row>
    <row r="136" spans="2:2">
      <c r="B136" s="1409" t="s">
        <v>14527</v>
      </c>
    </row>
    <row r="137" spans="2:2">
      <c r="B137" s="1409" t="s">
        <v>14528</v>
      </c>
    </row>
    <row r="138" spans="2:2">
      <c r="B138" s="1409" t="s">
        <v>14529</v>
      </c>
    </row>
    <row r="139" spans="2:2">
      <c r="B139" s="1409" t="s">
        <v>14530</v>
      </c>
    </row>
    <row r="140" spans="2:2">
      <c r="B140" s="1409" t="s">
        <v>14531</v>
      </c>
    </row>
    <row r="141" spans="2:2">
      <c r="B141" s="1409" t="s">
        <v>14532</v>
      </c>
    </row>
    <row r="142" spans="2:2">
      <c r="B142" s="1409" t="s">
        <v>14533</v>
      </c>
    </row>
    <row r="143" spans="2:2">
      <c r="B143" s="1409" t="s">
        <v>14534</v>
      </c>
    </row>
    <row r="147" spans="2:2">
      <c r="B147" s="1409" t="s">
        <v>14535</v>
      </c>
    </row>
    <row r="148" spans="2:2">
      <c r="B148" s="1409" t="s">
        <v>14443</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election activeCell="C3" sqref="C3:C4"/>
    </sheetView>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14546</v>
      </c>
      <c r="B1" s="1409" t="s">
        <v>308</v>
      </c>
    </row>
    <row r="2" spans="1:6">
      <c r="B2" s="1409" t="s">
        <v>352</v>
      </c>
      <c r="C2" s="1409" t="s">
        <v>14548</v>
      </c>
      <c r="D2" s="1409" t="s">
        <v>14549</v>
      </c>
      <c r="E2" s="1409" t="s">
        <v>248</v>
      </c>
      <c r="F2" s="1409" t="s">
        <v>14547</v>
      </c>
    </row>
    <row r="3" spans="1:6">
      <c r="B3" s="1409" t="s">
        <v>1869</v>
      </c>
      <c r="C3" s="1409" t="s">
        <v>14550</v>
      </c>
      <c r="D3" s="1409" t="s">
        <v>14551</v>
      </c>
      <c r="E3" s="1409" t="s">
        <v>318</v>
      </c>
      <c r="F3" s="1409" t="s">
        <v>14552</v>
      </c>
    </row>
    <row r="4" spans="1:6">
      <c r="B4" s="1409" t="s">
        <v>1869</v>
      </c>
      <c r="C4" s="1409" t="s">
        <v>14553</v>
      </c>
      <c r="D4" s="1409" t="s">
        <v>14554</v>
      </c>
      <c r="E4" s="1409" t="s">
        <v>318</v>
      </c>
      <c r="F4" s="1409" t="s">
        <v>1028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R9" sqref="R9"/>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14555</v>
      </c>
      <c r="B1" s="1409" t="s">
        <v>308</v>
      </c>
    </row>
    <row r="2" spans="1:42">
      <c r="A2" s="1409" t="s">
        <v>310</v>
      </c>
      <c r="B2" s="1409" t="s">
        <v>323</v>
      </c>
      <c r="C2" s="1409" t="s">
        <v>333</v>
      </c>
      <c r="D2" s="1409" t="s">
        <v>14599</v>
      </c>
      <c r="E2" s="1409" t="s">
        <v>14600</v>
      </c>
      <c r="F2" s="1409" t="s">
        <v>14595</v>
      </c>
      <c r="G2" s="1409" t="s">
        <v>14596</v>
      </c>
      <c r="H2" s="1409" t="s">
        <v>14597</v>
      </c>
      <c r="I2" s="1409" t="s">
        <v>14598</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14556</v>
      </c>
      <c r="C3" s="1409" t="s">
        <v>14553</v>
      </c>
      <c r="D3" s="1409" t="s">
        <v>14548</v>
      </c>
      <c r="E3" s="1409" t="s">
        <v>1199</v>
      </c>
      <c r="F3" s="1409" t="s">
        <v>334</v>
      </c>
      <c r="G3" s="1409" t="s">
        <v>337</v>
      </c>
      <c r="H3" s="1409" t="s">
        <v>334</v>
      </c>
      <c r="I3" s="1409">
        <v>0</v>
      </c>
      <c r="J3" s="1409" t="s">
        <v>13536</v>
      </c>
      <c r="K3" s="1409" t="s">
        <v>13536</v>
      </c>
      <c r="L3" s="1409" t="s">
        <v>13536</v>
      </c>
      <c r="M3" s="1409" t="s">
        <v>13536</v>
      </c>
      <c r="N3" s="1409" t="s">
        <v>13536</v>
      </c>
      <c r="O3" s="1409" t="s">
        <v>13536</v>
      </c>
      <c r="P3" s="1409" t="s">
        <v>13536</v>
      </c>
      <c r="Q3" s="1409" t="s">
        <v>13536</v>
      </c>
      <c r="R3" s="1409">
        <v>0.99990000000000001</v>
      </c>
      <c r="S3" s="1409" t="s">
        <v>13536</v>
      </c>
      <c r="T3" s="1409" t="s">
        <v>13536</v>
      </c>
      <c r="U3" s="1409" t="s">
        <v>13536</v>
      </c>
      <c r="V3" s="1409" t="s">
        <v>13536</v>
      </c>
      <c r="W3" s="1409" t="s">
        <v>13536</v>
      </c>
      <c r="X3" s="1409" t="s">
        <v>13536</v>
      </c>
      <c r="Y3" s="1409" t="s">
        <v>13536</v>
      </c>
      <c r="Z3" s="1409" t="s">
        <v>13536</v>
      </c>
      <c r="AA3" s="1409" t="s">
        <v>13536</v>
      </c>
      <c r="AB3" s="1409" t="s">
        <v>13536</v>
      </c>
      <c r="AC3" s="1409" t="s">
        <v>13536</v>
      </c>
      <c r="AD3" s="1409" t="s">
        <v>13536</v>
      </c>
      <c r="AE3" s="1409" t="s">
        <v>13536</v>
      </c>
      <c r="AF3" s="1409" t="s">
        <v>13536</v>
      </c>
      <c r="AG3" s="1409" t="s">
        <v>13536</v>
      </c>
      <c r="AH3" s="1409" t="s">
        <v>13536</v>
      </c>
      <c r="AI3" s="1409" t="s">
        <v>13536</v>
      </c>
      <c r="AJ3" s="1409" t="s">
        <v>13536</v>
      </c>
      <c r="AK3" s="1409" t="s">
        <v>13536</v>
      </c>
      <c r="AL3" s="1409" t="s">
        <v>13536</v>
      </c>
      <c r="AM3" s="1409" t="s">
        <v>13536</v>
      </c>
      <c r="AN3" s="1409" t="s">
        <v>13536</v>
      </c>
      <c r="AO3" s="1400" t="str">
        <f t="shared" ref="AO3:AP3" si="1">AN3</f>
        <v>null</v>
      </c>
      <c r="AP3" s="1400" t="str">
        <f t="shared" si="1"/>
        <v>null</v>
      </c>
    </row>
    <row r="4" spans="1:42">
      <c r="B4" s="1409" t="s">
        <v>14557</v>
      </c>
      <c r="C4" s="1409" t="s">
        <v>14550</v>
      </c>
      <c r="D4" s="1409" t="s">
        <v>334</v>
      </c>
      <c r="E4" s="1409" t="s">
        <v>334</v>
      </c>
      <c r="F4" s="1409" t="s">
        <v>334</v>
      </c>
      <c r="G4" s="1409" t="s">
        <v>337</v>
      </c>
      <c r="H4" s="1409" t="s">
        <v>338</v>
      </c>
      <c r="I4" s="1409">
        <v>0</v>
      </c>
      <c r="J4" s="1409" t="s">
        <v>13536</v>
      </c>
      <c r="K4" s="1409" t="s">
        <v>13536</v>
      </c>
      <c r="L4" s="1409" t="s">
        <v>13536</v>
      </c>
      <c r="M4" s="1409" t="s">
        <v>13536</v>
      </c>
      <c r="N4" s="1409" t="s">
        <v>13536</v>
      </c>
      <c r="O4" s="1409" t="s">
        <v>13536</v>
      </c>
      <c r="P4" s="1409" t="s">
        <v>13536</v>
      </c>
      <c r="Q4" s="1409" t="s">
        <v>13536</v>
      </c>
      <c r="R4" s="1409">
        <v>1</v>
      </c>
      <c r="S4" s="1409" t="s">
        <v>13536</v>
      </c>
      <c r="T4" s="1409" t="s">
        <v>13536</v>
      </c>
      <c r="U4" s="1409" t="s">
        <v>13536</v>
      </c>
      <c r="V4" s="1409" t="s">
        <v>13536</v>
      </c>
      <c r="W4" s="1409" t="s">
        <v>13536</v>
      </c>
      <c r="X4" s="1409" t="s">
        <v>13536</v>
      </c>
      <c r="Y4" s="1409" t="s">
        <v>13536</v>
      </c>
      <c r="Z4" s="1409" t="s">
        <v>13536</v>
      </c>
      <c r="AA4" s="1409" t="s">
        <v>13536</v>
      </c>
      <c r="AB4" s="1409" t="s">
        <v>13536</v>
      </c>
      <c r="AC4" s="1409" t="s">
        <v>13536</v>
      </c>
      <c r="AD4" s="1409" t="s">
        <v>13536</v>
      </c>
      <c r="AE4" s="1409" t="s">
        <v>13536</v>
      </c>
      <c r="AF4" s="1409" t="s">
        <v>13536</v>
      </c>
      <c r="AG4" s="1409" t="s">
        <v>13536</v>
      </c>
      <c r="AH4" s="1409" t="s">
        <v>13536</v>
      </c>
      <c r="AI4" s="1409" t="s">
        <v>13536</v>
      </c>
      <c r="AJ4" s="1409" t="s">
        <v>13536</v>
      </c>
      <c r="AK4" s="1409" t="s">
        <v>13536</v>
      </c>
      <c r="AL4" s="1409" t="s">
        <v>13536</v>
      </c>
      <c r="AM4" s="1409" t="s">
        <v>13536</v>
      </c>
      <c r="AN4" s="1409" t="s">
        <v>13536</v>
      </c>
      <c r="AO4" s="1400" t="str">
        <f t="shared" ref="AO4:AP4" si="2">AN4</f>
        <v>null</v>
      </c>
      <c r="AP4" s="1400" t="str">
        <f t="shared" si="2"/>
        <v>null</v>
      </c>
    </row>
    <row r="5" spans="1:42">
      <c r="B5" s="1409" t="s">
        <v>602</v>
      </c>
      <c r="C5" s="1409" t="s">
        <v>14550</v>
      </c>
      <c r="D5" s="1409" t="s">
        <v>334</v>
      </c>
      <c r="E5" s="1409" t="s">
        <v>334</v>
      </c>
      <c r="F5" s="1409" t="s">
        <v>334</v>
      </c>
      <c r="G5" s="1409" t="s">
        <v>334</v>
      </c>
      <c r="H5" s="1409" t="s">
        <v>338</v>
      </c>
      <c r="I5" s="1409">
        <v>0</v>
      </c>
      <c r="J5" s="1409" t="s">
        <v>13536</v>
      </c>
      <c r="K5" s="1409" t="s">
        <v>13536</v>
      </c>
      <c r="L5" s="1409" t="s">
        <v>13536</v>
      </c>
      <c r="M5" s="1409" t="s">
        <v>13536</v>
      </c>
      <c r="N5" s="1409" t="s">
        <v>13536</v>
      </c>
      <c r="O5" s="1409" t="s">
        <v>13536</v>
      </c>
      <c r="P5" s="1409" t="s">
        <v>13536</v>
      </c>
      <c r="Q5" s="1409" t="s">
        <v>13536</v>
      </c>
      <c r="R5" s="1409">
        <v>0.9</v>
      </c>
      <c r="S5" s="1409" t="s">
        <v>13536</v>
      </c>
      <c r="T5" s="1409" t="s">
        <v>13536</v>
      </c>
      <c r="U5" s="1409" t="s">
        <v>13536</v>
      </c>
      <c r="V5" s="1409" t="s">
        <v>13536</v>
      </c>
      <c r="W5" s="1409" t="s">
        <v>13536</v>
      </c>
      <c r="X5" s="1409" t="s">
        <v>13536</v>
      </c>
      <c r="Y5" s="1409" t="s">
        <v>13536</v>
      </c>
      <c r="Z5" s="1409" t="s">
        <v>13536</v>
      </c>
      <c r="AA5" s="1409" t="s">
        <v>13536</v>
      </c>
      <c r="AB5" s="1409" t="s">
        <v>13536</v>
      </c>
      <c r="AC5" s="1409" t="s">
        <v>13536</v>
      </c>
      <c r="AD5" s="1409" t="s">
        <v>13536</v>
      </c>
      <c r="AE5" s="1409" t="s">
        <v>13536</v>
      </c>
      <c r="AF5" s="1409" t="s">
        <v>13536</v>
      </c>
      <c r="AG5" s="1409" t="s">
        <v>13536</v>
      </c>
      <c r="AH5" s="1409" t="s">
        <v>13536</v>
      </c>
      <c r="AI5" s="1409" t="s">
        <v>13536</v>
      </c>
      <c r="AJ5" s="1409" t="s">
        <v>13536</v>
      </c>
      <c r="AK5" s="1409" t="s">
        <v>13536</v>
      </c>
      <c r="AL5" s="1409" t="s">
        <v>13536</v>
      </c>
      <c r="AM5" s="1409" t="s">
        <v>13536</v>
      </c>
      <c r="AN5" s="1409" t="s">
        <v>13536</v>
      </c>
      <c r="AO5" s="1400" t="str">
        <f t="shared" ref="AO5:AP5" si="3">AN5</f>
        <v>null</v>
      </c>
      <c r="AP5" s="1400" t="str">
        <f t="shared" si="3"/>
        <v>null</v>
      </c>
    </row>
    <row r="6" spans="1:42">
      <c r="B6" s="1409" t="s">
        <v>14558</v>
      </c>
      <c r="C6" s="1409" t="s">
        <v>14550</v>
      </c>
      <c r="D6" s="1409" t="s">
        <v>334</v>
      </c>
      <c r="E6" s="1409" t="s">
        <v>360</v>
      </c>
      <c r="F6" s="1409" t="s">
        <v>334</v>
      </c>
      <c r="G6" s="1409" t="s">
        <v>14559</v>
      </c>
      <c r="H6" s="1409" t="s">
        <v>334</v>
      </c>
      <c r="I6" s="1409">
        <v>0</v>
      </c>
      <c r="J6" s="1409" t="s">
        <v>13536</v>
      </c>
      <c r="K6" s="1409" t="s">
        <v>13536</v>
      </c>
      <c r="L6" s="1409" t="s">
        <v>13536</v>
      </c>
      <c r="M6" s="1409" t="s">
        <v>13536</v>
      </c>
      <c r="N6" s="1409" t="s">
        <v>13536</v>
      </c>
      <c r="O6" s="1409" t="s">
        <v>13536</v>
      </c>
      <c r="P6" s="1409" t="s">
        <v>13536</v>
      </c>
      <c r="Q6" s="1409" t="s">
        <v>13536</v>
      </c>
      <c r="R6" s="1409">
        <v>1</v>
      </c>
      <c r="S6" s="1409" t="s">
        <v>13536</v>
      </c>
      <c r="T6" s="1409" t="s">
        <v>13536</v>
      </c>
      <c r="U6" s="1409" t="s">
        <v>13536</v>
      </c>
      <c r="V6" s="1409" t="s">
        <v>13536</v>
      </c>
      <c r="W6" s="1409" t="s">
        <v>13536</v>
      </c>
      <c r="X6" s="1409" t="s">
        <v>13536</v>
      </c>
      <c r="Y6" s="1409" t="s">
        <v>13536</v>
      </c>
      <c r="Z6" s="1409" t="s">
        <v>13536</v>
      </c>
      <c r="AA6" s="1409" t="s">
        <v>13536</v>
      </c>
      <c r="AB6" s="1409" t="s">
        <v>13536</v>
      </c>
      <c r="AC6" s="1409" t="s">
        <v>13536</v>
      </c>
      <c r="AD6" s="1409" t="s">
        <v>13536</v>
      </c>
      <c r="AE6" s="1409" t="s">
        <v>13536</v>
      </c>
      <c r="AF6" s="1409" t="s">
        <v>13536</v>
      </c>
      <c r="AG6" s="1409" t="s">
        <v>13536</v>
      </c>
      <c r="AH6" s="1409" t="s">
        <v>13536</v>
      </c>
      <c r="AI6" s="1409" t="s">
        <v>13536</v>
      </c>
      <c r="AJ6" s="1409" t="s">
        <v>13536</v>
      </c>
      <c r="AK6" s="1409" t="s">
        <v>13536</v>
      </c>
      <c r="AL6" s="1409" t="s">
        <v>13536</v>
      </c>
      <c r="AM6" s="1409" t="s">
        <v>13536</v>
      </c>
      <c r="AN6" s="1409" t="s">
        <v>13536</v>
      </c>
      <c r="AO6" s="1400" t="str">
        <f t="shared" ref="AO6:AP6" si="4">AN6</f>
        <v>null</v>
      </c>
      <c r="AP6" s="1400" t="str">
        <f t="shared" si="4"/>
        <v>null</v>
      </c>
    </row>
    <row r="7" spans="1:42">
      <c r="B7" s="1409" t="s">
        <v>850</v>
      </c>
      <c r="C7" s="1409" t="s">
        <v>14550</v>
      </c>
      <c r="D7" s="1409" t="s">
        <v>334</v>
      </c>
      <c r="E7" s="1409" t="s">
        <v>334</v>
      </c>
      <c r="F7" s="1409" t="s">
        <v>334</v>
      </c>
      <c r="G7" s="1409" t="s">
        <v>334</v>
      </c>
      <c r="H7" s="1409" t="s">
        <v>338</v>
      </c>
      <c r="I7" s="1409">
        <v>3</v>
      </c>
      <c r="J7" s="1409" t="s">
        <v>13536</v>
      </c>
      <c r="K7" s="1409" t="s">
        <v>13536</v>
      </c>
      <c r="L7" s="1409" t="s">
        <v>13536</v>
      </c>
      <c r="M7" s="1409" t="s">
        <v>13536</v>
      </c>
      <c r="N7" s="1409" t="s">
        <v>13536</v>
      </c>
      <c r="O7" s="1409" t="s">
        <v>13536</v>
      </c>
      <c r="P7" s="1409" t="s">
        <v>13536</v>
      </c>
      <c r="Q7" s="1409" t="s">
        <v>13536</v>
      </c>
      <c r="R7" s="1409" t="s">
        <v>13536</v>
      </c>
      <c r="S7" s="1409" t="s">
        <v>13536</v>
      </c>
      <c r="T7" s="1409" t="s">
        <v>13536</v>
      </c>
      <c r="U7" s="1409" t="s">
        <v>13536</v>
      </c>
      <c r="V7" s="1409" t="s">
        <v>13536</v>
      </c>
      <c r="W7" s="1409" t="s">
        <v>13536</v>
      </c>
      <c r="X7" s="1409" t="s">
        <v>13536</v>
      </c>
      <c r="Y7" s="1409" t="s">
        <v>13536</v>
      </c>
      <c r="Z7" s="1409" t="s">
        <v>13536</v>
      </c>
      <c r="AA7" s="1409" t="s">
        <v>13536</v>
      </c>
      <c r="AB7" s="1409" t="s">
        <v>13536</v>
      </c>
      <c r="AC7" s="1409" t="s">
        <v>13536</v>
      </c>
      <c r="AD7" s="1409" t="s">
        <v>13536</v>
      </c>
      <c r="AE7" s="1409" t="s">
        <v>13536</v>
      </c>
      <c r="AF7" s="1409" t="s">
        <v>13536</v>
      </c>
      <c r="AG7" s="1409" t="s">
        <v>13536</v>
      </c>
      <c r="AH7" s="1409" t="s">
        <v>13536</v>
      </c>
      <c r="AI7" s="1409" t="s">
        <v>13536</v>
      </c>
      <c r="AJ7" s="1409" t="s">
        <v>13536</v>
      </c>
      <c r="AK7" s="1409" t="s">
        <v>13536</v>
      </c>
      <c r="AL7" s="1409" t="s">
        <v>13536</v>
      </c>
      <c r="AM7" s="1409" t="s">
        <v>13536</v>
      </c>
      <c r="AN7" s="1409" t="s">
        <v>13536</v>
      </c>
      <c r="AO7" s="1400" t="str">
        <f t="shared" ref="AO7:AP7" si="5">AN7</f>
        <v>null</v>
      </c>
      <c r="AP7" s="1400" t="str">
        <f t="shared" si="5"/>
        <v>null</v>
      </c>
    </row>
    <row r="8" spans="1:42">
      <c r="B8" s="1409" t="s">
        <v>839</v>
      </c>
      <c r="C8" s="1409" t="s">
        <v>14550</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14550</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14550</v>
      </c>
      <c r="D10" s="1409" t="s">
        <v>334</v>
      </c>
      <c r="E10" s="1409" t="s">
        <v>334</v>
      </c>
      <c r="F10" s="1409" t="s">
        <v>334</v>
      </c>
      <c r="G10" s="1409" t="s">
        <v>334</v>
      </c>
      <c r="H10" s="1409" t="s">
        <v>334</v>
      </c>
      <c r="I10" s="1409">
        <v>0</v>
      </c>
      <c r="J10" s="1409" t="s">
        <v>13536</v>
      </c>
      <c r="K10" s="1409" t="s">
        <v>13536</v>
      </c>
      <c r="L10" s="1409" t="s">
        <v>13536</v>
      </c>
      <c r="M10" s="1409" t="s">
        <v>13536</v>
      </c>
      <c r="N10" s="1409" t="s">
        <v>13536</v>
      </c>
      <c r="O10" s="1409" t="s">
        <v>13536</v>
      </c>
      <c r="P10" s="1409" t="s">
        <v>13536</v>
      </c>
      <c r="Q10" s="1409" t="s">
        <v>13536</v>
      </c>
      <c r="R10" s="1409">
        <v>-1</v>
      </c>
      <c r="S10" s="1409" t="s">
        <v>13536</v>
      </c>
      <c r="T10" s="1409" t="s">
        <v>13536</v>
      </c>
      <c r="U10" s="1409" t="s">
        <v>13536</v>
      </c>
      <c r="V10" s="1409" t="s">
        <v>13536</v>
      </c>
      <c r="W10" s="1409" t="s">
        <v>13536</v>
      </c>
      <c r="X10" s="1409" t="s">
        <v>13536</v>
      </c>
      <c r="Y10" s="1409" t="s">
        <v>13536</v>
      </c>
      <c r="Z10" s="1409" t="s">
        <v>13536</v>
      </c>
      <c r="AA10" s="1409" t="s">
        <v>13536</v>
      </c>
      <c r="AB10" s="1409" t="s">
        <v>13536</v>
      </c>
      <c r="AC10" s="1409" t="s">
        <v>13536</v>
      </c>
      <c r="AD10" s="1409" t="s">
        <v>13536</v>
      </c>
      <c r="AE10" s="1409" t="s">
        <v>13536</v>
      </c>
      <c r="AF10" s="1409" t="s">
        <v>13536</v>
      </c>
      <c r="AG10" s="1409" t="s">
        <v>13536</v>
      </c>
      <c r="AH10" s="1409" t="s">
        <v>13536</v>
      </c>
      <c r="AI10" s="1409" t="s">
        <v>13536</v>
      </c>
      <c r="AJ10" s="1409" t="s">
        <v>13536</v>
      </c>
      <c r="AK10" s="1409" t="s">
        <v>13536</v>
      </c>
      <c r="AL10" s="1409" t="s">
        <v>13536</v>
      </c>
      <c r="AM10" s="1409" t="s">
        <v>13536</v>
      </c>
      <c r="AN10" s="1409" t="s">
        <v>13536</v>
      </c>
      <c r="AO10" s="1401" t="str">
        <f t="shared" ref="AO10:AP10" si="7">AN10</f>
        <v>null</v>
      </c>
      <c r="AP10" s="1401" t="str">
        <f t="shared" si="7"/>
        <v>null</v>
      </c>
    </row>
    <row r="11" spans="1:42">
      <c r="B11" s="1409" t="s">
        <v>1029</v>
      </c>
      <c r="C11" s="1409" t="s">
        <v>14550</v>
      </c>
      <c r="D11" s="1409" t="s">
        <v>334</v>
      </c>
      <c r="E11" s="1409" t="s">
        <v>334</v>
      </c>
      <c r="F11" s="1409" t="s">
        <v>334</v>
      </c>
      <c r="G11" s="1409" t="s">
        <v>337</v>
      </c>
      <c r="H11" s="1409" t="s">
        <v>334</v>
      </c>
      <c r="I11" s="1409">
        <v>0</v>
      </c>
      <c r="J11" s="1409" t="s">
        <v>13536</v>
      </c>
      <c r="K11" s="1409" t="s">
        <v>13536</v>
      </c>
      <c r="L11" s="1409" t="s">
        <v>13536</v>
      </c>
      <c r="M11" s="1409" t="s">
        <v>13536</v>
      </c>
      <c r="N11" s="1409" t="s">
        <v>13536</v>
      </c>
      <c r="O11" s="1409" t="s">
        <v>13536</v>
      </c>
      <c r="P11" s="1409" t="s">
        <v>13536</v>
      </c>
      <c r="Q11" s="1409" t="s">
        <v>13536</v>
      </c>
      <c r="R11" s="1409">
        <v>1</v>
      </c>
      <c r="S11" s="1409" t="s">
        <v>13536</v>
      </c>
      <c r="T11" s="1409" t="s">
        <v>13536</v>
      </c>
      <c r="U11" s="1409" t="s">
        <v>13536</v>
      </c>
      <c r="V11" s="1409" t="s">
        <v>13536</v>
      </c>
      <c r="W11" s="1409" t="s">
        <v>13536</v>
      </c>
      <c r="X11" s="1409" t="s">
        <v>13536</v>
      </c>
      <c r="Y11" s="1409" t="s">
        <v>13536</v>
      </c>
      <c r="Z11" s="1409" t="s">
        <v>13536</v>
      </c>
      <c r="AA11" s="1409" t="s">
        <v>13536</v>
      </c>
      <c r="AB11" s="1409" t="s">
        <v>13536</v>
      </c>
      <c r="AC11" s="1409" t="s">
        <v>13536</v>
      </c>
      <c r="AD11" s="1409" t="s">
        <v>13536</v>
      </c>
      <c r="AE11" s="1409" t="s">
        <v>13536</v>
      </c>
      <c r="AF11" s="1409" t="s">
        <v>13536</v>
      </c>
      <c r="AG11" s="1409" t="s">
        <v>13536</v>
      </c>
      <c r="AH11" s="1409" t="s">
        <v>13536</v>
      </c>
      <c r="AI11" s="1409" t="s">
        <v>13536</v>
      </c>
      <c r="AJ11" s="1409" t="s">
        <v>13536</v>
      </c>
      <c r="AK11" s="1409" t="s">
        <v>13536</v>
      </c>
      <c r="AL11" s="1409" t="s">
        <v>13536</v>
      </c>
      <c r="AM11" s="1409" t="s">
        <v>13536</v>
      </c>
      <c r="AN11" s="1409" t="s">
        <v>13536</v>
      </c>
      <c r="AO11" s="1401" t="str">
        <f t="shared" ref="AO11:AP11" si="8">AN11</f>
        <v>null</v>
      </c>
      <c r="AP11" s="1401" t="str">
        <f t="shared" si="8"/>
        <v>null</v>
      </c>
    </row>
    <row r="12" spans="1:42">
      <c r="B12" s="1409" t="s">
        <v>861</v>
      </c>
      <c r="C12" s="1409" t="s">
        <v>14550</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13541</v>
      </c>
      <c r="C13" s="1409" t="s">
        <v>14553</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2.5358867610324732E-2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2.5358867610324732E-2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2.5358867610324732E-2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2.5358867610324732E-2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2.5358867610324732E-2</v>
      </c>
      <c r="AO13" s="1401">
        <f t="shared" ref="AO13:AP13" si="10">AN13</f>
        <v>2.5358867610324732E-2</v>
      </c>
      <c r="AP13" s="1401">
        <f t="shared" si="10"/>
        <v>2.5358867610324732E-2</v>
      </c>
    </row>
    <row r="14" spans="1:42">
      <c r="B14" s="1409" t="s">
        <v>14560</v>
      </c>
      <c r="C14" s="1409" t="s">
        <v>14550</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election activeCell="A11" sqref="A11:XFD11"/>
    </sheetView>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14561</v>
      </c>
      <c r="B1" s="1409" t="s">
        <v>308</v>
      </c>
    </row>
    <row r="2" spans="1:9">
      <c r="A2" s="1409" t="s">
        <v>310</v>
      </c>
      <c r="B2" s="1409" t="s">
        <v>323</v>
      </c>
      <c r="C2" s="1409" t="s">
        <v>333</v>
      </c>
      <c r="D2" s="1409" t="s">
        <v>345</v>
      </c>
      <c r="E2" s="1409" t="s">
        <v>14601</v>
      </c>
      <c r="F2" s="1409" t="s">
        <v>14595</v>
      </c>
      <c r="G2" s="1409" t="s">
        <v>14596</v>
      </c>
      <c r="H2" s="1409" t="s">
        <v>14597</v>
      </c>
      <c r="I2" s="1409" t="s">
        <v>339</v>
      </c>
    </row>
    <row r="3" spans="1:9">
      <c r="B3" s="1409" t="s">
        <v>13417</v>
      </c>
      <c r="C3" s="1409" t="s">
        <v>14550</v>
      </c>
      <c r="D3" s="1409" t="s">
        <v>334</v>
      </c>
      <c r="E3" s="1409" t="s">
        <v>334</v>
      </c>
      <c r="F3" s="1409" t="s">
        <v>334</v>
      </c>
      <c r="G3" s="1409" t="s">
        <v>334</v>
      </c>
      <c r="H3" s="1409" t="s">
        <v>334</v>
      </c>
      <c r="I3" s="1400">
        <f>H2Storage!$F$9</f>
        <v>2025</v>
      </c>
    </row>
    <row r="4" spans="1:9">
      <c r="B4" s="1409" t="s">
        <v>13417</v>
      </c>
      <c r="C4" s="1409" t="s">
        <v>14553</v>
      </c>
      <c r="D4" s="1409" t="s">
        <v>334</v>
      </c>
      <c r="E4" s="1409" t="s">
        <v>334</v>
      </c>
      <c r="F4" s="1409" t="s">
        <v>334</v>
      </c>
      <c r="G4" s="1409" t="s">
        <v>334</v>
      </c>
      <c r="H4" s="1409" t="s">
        <v>334</v>
      </c>
      <c r="I4" s="1400">
        <f>H2Storage!$F$9</f>
        <v>2025</v>
      </c>
    </row>
    <row r="5" spans="1:9">
      <c r="B5" s="1409" t="s">
        <v>340</v>
      </c>
      <c r="C5" s="1409" t="s">
        <v>14550</v>
      </c>
      <c r="D5" s="1409" t="s">
        <v>334</v>
      </c>
      <c r="E5" s="1409" t="s">
        <v>1199</v>
      </c>
      <c r="F5" s="1409" t="s">
        <v>334</v>
      </c>
      <c r="G5" s="1409" t="s">
        <v>334</v>
      </c>
      <c r="H5" s="1409" t="s">
        <v>334</v>
      </c>
      <c r="I5" s="1409">
        <v>1</v>
      </c>
    </row>
    <row r="6" spans="1:9">
      <c r="B6" s="1409" t="s">
        <v>340</v>
      </c>
      <c r="C6" s="1409" t="s">
        <v>14553</v>
      </c>
      <c r="D6" s="1409" t="s">
        <v>334</v>
      </c>
      <c r="E6" s="1409" t="s">
        <v>1199</v>
      </c>
      <c r="F6" s="1409" t="s">
        <v>334</v>
      </c>
      <c r="G6" s="1409" t="s">
        <v>334</v>
      </c>
      <c r="H6" s="1409" t="s">
        <v>334</v>
      </c>
      <c r="I6" s="1409">
        <v>1</v>
      </c>
    </row>
    <row r="7" spans="1:9">
      <c r="B7" s="1409" t="s">
        <v>342</v>
      </c>
      <c r="C7" s="1409" t="s">
        <v>14550</v>
      </c>
      <c r="D7" s="1409" t="s">
        <v>334</v>
      </c>
      <c r="E7" s="1409" t="s">
        <v>334</v>
      </c>
      <c r="F7" s="1409" t="s">
        <v>334</v>
      </c>
      <c r="G7" s="1409" t="s">
        <v>334</v>
      </c>
      <c r="H7" s="1409" t="s">
        <v>334</v>
      </c>
      <c r="I7" s="1409">
        <v>1</v>
      </c>
    </row>
    <row r="8" spans="1:9">
      <c r="B8" s="1409" t="s">
        <v>342</v>
      </c>
      <c r="C8" s="1409" t="s">
        <v>14553</v>
      </c>
      <c r="D8" s="1409" t="s">
        <v>334</v>
      </c>
      <c r="E8" s="1409" t="s">
        <v>334</v>
      </c>
      <c r="F8" s="1409" t="s">
        <v>334</v>
      </c>
      <c r="G8" s="1409" t="s">
        <v>334</v>
      </c>
      <c r="H8" s="1409" t="s">
        <v>334</v>
      </c>
      <c r="I8" s="1409">
        <v>1</v>
      </c>
    </row>
    <row r="9" spans="1:9">
      <c r="B9" s="1409" t="s">
        <v>361</v>
      </c>
      <c r="C9" s="1409" t="s">
        <v>14550</v>
      </c>
      <c r="D9" s="1409" t="s">
        <v>1199</v>
      </c>
      <c r="E9" s="1409" t="s">
        <v>334</v>
      </c>
      <c r="F9" s="1409" t="s">
        <v>334</v>
      </c>
      <c r="G9" s="1409" t="s">
        <v>334</v>
      </c>
      <c r="H9" s="1409" t="s">
        <v>334</v>
      </c>
      <c r="I9" s="1409">
        <v>1</v>
      </c>
    </row>
    <row r="10" spans="1:9">
      <c r="B10" s="1409" t="s">
        <v>361</v>
      </c>
      <c r="C10" s="1409" t="s">
        <v>14553</v>
      </c>
      <c r="D10" s="1409" t="s">
        <v>277</v>
      </c>
      <c r="E10" s="1409" t="s">
        <v>334</v>
      </c>
      <c r="F10" s="1409" t="s">
        <v>334</v>
      </c>
      <c r="G10" s="1409" t="s">
        <v>334</v>
      </c>
      <c r="H10" s="1409" t="s">
        <v>334</v>
      </c>
      <c r="I10" s="1409">
        <v>1</v>
      </c>
    </row>
    <row r="11" spans="1:9">
      <c r="B11" s="1409" t="s">
        <v>361</v>
      </c>
      <c r="C11" s="1409" t="s">
        <v>14553</v>
      </c>
      <c r="D11" s="1409" t="s">
        <v>14548</v>
      </c>
      <c r="E11" s="1409" t="s">
        <v>334</v>
      </c>
      <c r="F11" s="1409" t="s">
        <v>334</v>
      </c>
      <c r="G11" s="1409" t="s">
        <v>334</v>
      </c>
      <c r="H11" s="1409" t="s">
        <v>334</v>
      </c>
      <c r="I11" s="1409">
        <v>1</v>
      </c>
    </row>
    <row r="12" spans="1:9">
      <c r="B12" s="1409" t="s">
        <v>344</v>
      </c>
      <c r="C12" s="1409" t="s">
        <v>14550</v>
      </c>
      <c r="D12" s="1409" t="s">
        <v>1199</v>
      </c>
      <c r="E12" s="1409" t="s">
        <v>334</v>
      </c>
      <c r="F12" s="1409" t="s">
        <v>334</v>
      </c>
      <c r="G12" s="1409" t="s">
        <v>334</v>
      </c>
      <c r="H12" s="1409" t="s">
        <v>334</v>
      </c>
      <c r="I12" s="1409">
        <v>1</v>
      </c>
    </row>
    <row r="13" spans="1:9">
      <c r="B13" s="1409" t="s">
        <v>344</v>
      </c>
      <c r="C13" s="1409" t="s">
        <v>14553</v>
      </c>
      <c r="D13" s="1409" t="s">
        <v>1199</v>
      </c>
      <c r="E13" s="1409" t="s">
        <v>334</v>
      </c>
      <c r="F13" s="1409" t="s">
        <v>334</v>
      </c>
      <c r="G13" s="1409" t="s">
        <v>334</v>
      </c>
      <c r="H13" s="1409" t="s">
        <v>334</v>
      </c>
      <c r="I13" s="1409">
        <v>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B149"/>
  <sheetViews>
    <sheetView workbookViewId="0"/>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S1" s="776" t="s">
        <v>1400</v>
      </c>
      <c r="T1" s="775"/>
      <c r="U1" s="775"/>
      <c r="V1" s="775"/>
      <c r="W1" s="812"/>
      <c r="X1" s="776" t="s">
        <v>1368</v>
      </c>
      <c r="Y1" s="775"/>
      <c r="Z1" s="775"/>
      <c r="AA1" s="775"/>
      <c r="AB1" s="775"/>
    </row>
    <row r="2" spans="1:28" s="430" customFormat="1">
      <c r="H2" s="805"/>
      <c r="I2" s="1452" t="s">
        <v>14047</v>
      </c>
      <c r="J2" s="779"/>
      <c r="K2" s="779"/>
      <c r="L2" s="779"/>
      <c r="M2" s="184" t="s">
        <v>14087</v>
      </c>
      <c r="N2" s="779"/>
      <c r="O2" s="779"/>
      <c r="P2" s="779"/>
      <c r="Q2" s="779"/>
      <c r="R2" s="779"/>
      <c r="W2" s="812"/>
    </row>
    <row r="3" spans="1:28" s="430" customFormat="1">
      <c r="A3" s="184" t="s">
        <v>1255</v>
      </c>
      <c r="H3" s="805"/>
      <c r="I3" s="780" t="s">
        <v>1263</v>
      </c>
      <c r="J3" s="780"/>
      <c r="K3" s="780"/>
      <c r="L3" s="780"/>
      <c r="M3" s="780"/>
      <c r="N3" s="780"/>
      <c r="O3" s="780"/>
      <c r="P3" s="780"/>
      <c r="Q3" s="780"/>
      <c r="R3" s="779"/>
      <c r="S3" s="430" t="s">
        <v>1396</v>
      </c>
      <c r="T3" s="430">
        <f>(Y13*2+Y14)/(2*Y13)</f>
        <v>8.9367992856434171</v>
      </c>
      <c r="U3" s="430" t="s">
        <v>1397</v>
      </c>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T4" s="430">
        <f>T3/Y9</f>
        <v>6.2935206236925473E-2</v>
      </c>
      <c r="U4" s="430" t="s">
        <v>1398</v>
      </c>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T5" s="430">
        <f>T3/Y10</f>
        <v>7.4473327380361803E-2</v>
      </c>
      <c r="U5" s="430" t="s">
        <v>1399</v>
      </c>
      <c r="W5" s="812"/>
      <c r="X5" s="610" t="s">
        <v>1371</v>
      </c>
      <c r="Y5" s="581">
        <v>2.016</v>
      </c>
      <c r="Z5" s="610" t="s">
        <v>1372</v>
      </c>
    </row>
    <row r="6" spans="1:28" s="430" customFormat="1">
      <c r="A6" s="184" t="str">
        <f>A70</f>
        <v>Water Electrolysis</v>
      </c>
      <c r="H6" s="805"/>
      <c r="I6" s="781" t="s">
        <v>1311</v>
      </c>
      <c r="J6" s="782" t="s">
        <v>1310</v>
      </c>
      <c r="K6" s="782" t="s">
        <v>1312</v>
      </c>
      <c r="L6" s="1892" t="s">
        <v>1313</v>
      </c>
      <c r="M6" s="1893"/>
      <c r="N6" s="1894"/>
      <c r="O6" s="1892" t="s">
        <v>1290</v>
      </c>
      <c r="P6" s="1893"/>
      <c r="Q6" s="1894"/>
      <c r="R6" s="779"/>
      <c r="W6" s="812"/>
      <c r="X6" s="610" t="s">
        <v>1373</v>
      </c>
      <c r="Y6" s="581">
        <v>-252.8</v>
      </c>
      <c r="Z6" s="610" t="s">
        <v>1374</v>
      </c>
    </row>
    <row r="7" spans="1:28" s="430" customFormat="1" ht="30">
      <c r="H7" s="805"/>
      <c r="I7" s="1900"/>
      <c r="J7" s="1900"/>
      <c r="K7" s="1900"/>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01" t="s">
        <v>1256</v>
      </c>
      <c r="B9" s="1901"/>
      <c r="C9" s="1901"/>
      <c r="D9" s="1901"/>
      <c r="E9" s="1901"/>
      <c r="F9" s="1901"/>
      <c r="G9" s="1901"/>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c r="A13" s="430" t="s">
        <v>1260</v>
      </c>
      <c r="H13" s="805"/>
      <c r="I13" s="784" t="s">
        <v>1277</v>
      </c>
      <c r="J13" s="784" t="s">
        <v>1267</v>
      </c>
      <c r="K13" s="785">
        <v>2020</v>
      </c>
      <c r="L13" s="786">
        <v>15</v>
      </c>
      <c r="M13" s="786">
        <v>15</v>
      </c>
      <c r="N13" s="786">
        <v>15</v>
      </c>
      <c r="O13" s="787" t="s">
        <v>1278</v>
      </c>
      <c r="P13" s="787" t="s">
        <v>1278</v>
      </c>
      <c r="Q13" s="787" t="s">
        <v>1278</v>
      </c>
      <c r="R13" s="779"/>
      <c r="W13" s="812"/>
      <c r="X13" s="392" t="s">
        <v>1395</v>
      </c>
      <c r="Y13" s="430">
        <v>1.0079</v>
      </c>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392" t="s">
        <v>1394</v>
      </c>
      <c r="Y14" s="430">
        <v>15.999000000000001</v>
      </c>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row>
    <row r="16" spans="1:28" s="430" customFormat="1">
      <c r="H16" s="805"/>
      <c r="I16" s="784" t="s">
        <v>1279</v>
      </c>
      <c r="J16" s="784" t="s">
        <v>1274</v>
      </c>
      <c r="K16" s="785">
        <v>2020</v>
      </c>
      <c r="L16" s="786">
        <v>30</v>
      </c>
      <c r="M16" s="786">
        <v>20</v>
      </c>
      <c r="N16" s="786">
        <v>20</v>
      </c>
      <c r="O16" s="787" t="s">
        <v>1278</v>
      </c>
      <c r="P16" s="787" t="s">
        <v>1278</v>
      </c>
      <c r="Q16" s="787" t="s">
        <v>1278</v>
      </c>
      <c r="R16" s="779"/>
      <c r="W16" s="812"/>
    </row>
    <row r="17" spans="1:23"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row>
    <row r="18" spans="1:23">
      <c r="I18" s="784" t="s">
        <v>1281</v>
      </c>
      <c r="J18" s="784" t="s">
        <v>1267</v>
      </c>
      <c r="K18" s="785">
        <v>2030</v>
      </c>
      <c r="L18" s="787"/>
      <c r="M18" s="786">
        <v>40</v>
      </c>
      <c r="N18" s="786">
        <v>40</v>
      </c>
      <c r="O18" s="787"/>
      <c r="P18" s="787" t="s">
        <v>1275</v>
      </c>
      <c r="Q18" s="787" t="s">
        <v>1275</v>
      </c>
      <c r="S18" s="430"/>
      <c r="T18" s="430"/>
      <c r="U18" s="430"/>
      <c r="V18" s="430"/>
    </row>
    <row r="19" spans="1:23">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row>
    <row r="20" spans="1:23">
      <c r="A20" t="s">
        <v>1253</v>
      </c>
      <c r="I20" s="784" t="s">
        <v>1282</v>
      </c>
      <c r="J20" s="784" t="s">
        <v>1276</v>
      </c>
      <c r="K20" s="785">
        <v>2000</v>
      </c>
      <c r="L20" s="786">
        <v>65</v>
      </c>
      <c r="M20" s="786">
        <v>16</v>
      </c>
      <c r="N20" s="786">
        <v>10</v>
      </c>
      <c r="O20" s="787" t="s">
        <v>1275</v>
      </c>
      <c r="P20" s="787" t="s">
        <v>1273</v>
      </c>
      <c r="Q20" s="787" t="s">
        <v>1283</v>
      </c>
      <c r="S20" s="430"/>
      <c r="T20" s="430"/>
      <c r="U20" s="430"/>
      <c r="V20" s="430"/>
    </row>
    <row r="21" spans="1:23">
      <c r="A21" t="s">
        <v>1207</v>
      </c>
      <c r="S21" s="430"/>
      <c r="T21" s="430"/>
      <c r="U21" s="430"/>
      <c r="V21" s="430"/>
    </row>
    <row r="22" spans="1:23">
      <c r="A22" t="s">
        <v>1208</v>
      </c>
      <c r="I22" s="788" t="s">
        <v>1284</v>
      </c>
      <c r="J22" s="780"/>
      <c r="K22" s="780"/>
      <c r="L22" s="780"/>
      <c r="M22" s="780"/>
      <c r="N22" s="780"/>
      <c r="O22" s="780"/>
      <c r="P22" s="780"/>
      <c r="Q22" s="780"/>
      <c r="S22" s="430"/>
      <c r="T22" s="430"/>
      <c r="U22" s="430"/>
      <c r="V22" s="430"/>
    </row>
    <row r="23" spans="1:23">
      <c r="A23" t="s">
        <v>1209</v>
      </c>
      <c r="I23" s="780" t="s">
        <v>1285</v>
      </c>
      <c r="J23" s="780"/>
      <c r="K23" s="780"/>
      <c r="L23" s="780"/>
      <c r="M23" s="780"/>
      <c r="N23" s="780"/>
      <c r="O23" s="780"/>
      <c r="P23" s="780"/>
      <c r="Q23" s="780"/>
      <c r="S23" s="430"/>
      <c r="T23" s="430"/>
      <c r="U23" s="430"/>
      <c r="V23" s="430"/>
    </row>
    <row r="24" spans="1:23">
      <c r="A24" t="s">
        <v>1210</v>
      </c>
      <c r="I24" s="789" t="s">
        <v>1286</v>
      </c>
      <c r="J24" s="780"/>
      <c r="K24" s="780"/>
      <c r="L24" s="780"/>
      <c r="M24" s="780"/>
      <c r="N24" s="780"/>
      <c r="O24" s="780"/>
      <c r="P24" s="780"/>
      <c r="Q24" s="780"/>
      <c r="S24" s="430"/>
      <c r="T24" s="430"/>
      <c r="U24" s="430"/>
      <c r="V24" s="430"/>
    </row>
    <row r="25" spans="1:23">
      <c r="A25" t="s">
        <v>1211</v>
      </c>
      <c r="I25" s="780"/>
      <c r="J25" s="780"/>
      <c r="K25" s="780"/>
      <c r="L25" s="780"/>
      <c r="M25" s="780"/>
      <c r="N25" s="780"/>
      <c r="O25" s="780"/>
      <c r="P25" s="780"/>
      <c r="Q25" s="780"/>
    </row>
    <row r="26" spans="1:23">
      <c r="A26" t="s">
        <v>1212</v>
      </c>
      <c r="I26" s="790" t="s">
        <v>1287</v>
      </c>
      <c r="J26" s="791" t="s">
        <v>1288</v>
      </c>
      <c r="K26" s="791" t="s">
        <v>1289</v>
      </c>
      <c r="L26" s="1899" t="s">
        <v>1355</v>
      </c>
      <c r="M26" s="1899"/>
      <c r="N26" s="1899"/>
      <c r="O26" s="1899" t="s">
        <v>1290</v>
      </c>
      <c r="P26" s="1899"/>
      <c r="Q26" s="1899"/>
      <c r="R26" s="1899" t="s">
        <v>1356</v>
      </c>
      <c r="S26" s="1899"/>
      <c r="T26" s="1899"/>
      <c r="U26" s="1908" t="s">
        <v>1361</v>
      </c>
      <c r="V26" s="1908"/>
    </row>
    <row r="27" spans="1:23" s="430" customFormat="1">
      <c r="F27" s="430" t="s">
        <v>1254</v>
      </c>
      <c r="H27" s="805"/>
      <c r="I27" s="1905"/>
      <c r="J27" s="1905"/>
      <c r="K27" s="1905"/>
      <c r="L27" s="792">
        <v>2000</v>
      </c>
      <c r="M27" s="792">
        <v>2025</v>
      </c>
      <c r="N27" s="792">
        <v>2050</v>
      </c>
      <c r="O27" s="797">
        <v>2000</v>
      </c>
      <c r="P27" s="797">
        <v>2025</v>
      </c>
      <c r="Q27" s="797">
        <v>2050</v>
      </c>
      <c r="R27" s="792">
        <v>2000</v>
      </c>
      <c r="S27" s="792">
        <v>2025</v>
      </c>
      <c r="T27" s="792">
        <v>2050</v>
      </c>
      <c r="U27" s="760" t="s">
        <v>1362</v>
      </c>
      <c r="V27" s="760" t="s">
        <v>1363</v>
      </c>
      <c r="W27" s="812"/>
    </row>
    <row r="28" spans="1:23"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23"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0">(R29/S29)^(1/25)-1</f>
        <v>0</v>
      </c>
      <c r="V29" s="810">
        <f t="shared" ref="V29:V40" si="1">(S29/T29)^(1/25)-1</f>
        <v>0</v>
      </c>
      <c r="W29" s="812"/>
    </row>
    <row r="30" spans="1:23" s="430" customFormat="1">
      <c r="H30" s="805"/>
      <c r="I30" s="793" t="s">
        <v>1297</v>
      </c>
      <c r="J30" s="793" t="s">
        <v>1292</v>
      </c>
      <c r="K30" s="794">
        <v>2000</v>
      </c>
      <c r="L30" s="795">
        <v>9</v>
      </c>
      <c r="M30" s="795">
        <v>7</v>
      </c>
      <c r="N30" s="795">
        <v>5</v>
      </c>
      <c r="O30" s="798" t="s">
        <v>1298</v>
      </c>
      <c r="P30" s="798" t="s">
        <v>1299</v>
      </c>
      <c r="Q30" s="798" t="s">
        <v>1299</v>
      </c>
      <c r="R30" s="795">
        <f>L30*$R$47*Deflator!$F$33</f>
        <v>128.68199999999999</v>
      </c>
      <c r="S30" s="795">
        <f>M30*$R$47*Deflator!$F$33</f>
        <v>100.086</v>
      </c>
      <c r="T30" s="795">
        <f>N30*$R$47*Deflator!$F$33</f>
        <v>71.489999999999995</v>
      </c>
      <c r="U30" s="810">
        <f t="shared" si="0"/>
        <v>1.010327402045097E-2</v>
      </c>
      <c r="V30" s="810">
        <f t="shared" si="1"/>
        <v>1.354986801622915E-2</v>
      </c>
      <c r="W30" s="812"/>
    </row>
    <row r="31" spans="1:23" s="430" customFormat="1">
      <c r="A31" s="760" t="s">
        <v>3</v>
      </c>
      <c r="B31" s="760" t="s">
        <v>1227</v>
      </c>
      <c r="C31" s="760" t="s">
        <v>1228</v>
      </c>
      <c r="D31" s="1906" t="s">
        <v>1232</v>
      </c>
      <c r="E31" s="1906"/>
      <c r="F31" s="1906"/>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0"/>
        <v>8.4881858291023793E-3</v>
      </c>
      <c r="V31" s="810">
        <f t="shared" si="1"/>
        <v>7.796476045282219E-3</v>
      </c>
      <c r="W31" s="812"/>
    </row>
    <row r="32" spans="1:23" s="430" customFormat="1">
      <c r="A32" s="766">
        <v>0.89</v>
      </c>
      <c r="B32" s="767">
        <v>1500000</v>
      </c>
      <c r="C32" s="768" t="s">
        <v>1229</v>
      </c>
      <c r="D32" s="1821" t="s">
        <v>1235</v>
      </c>
      <c r="E32" s="1821"/>
      <c r="F32" s="1821"/>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0"/>
        <v>6.2286524074936622E-2</v>
      </c>
      <c r="V32" s="810">
        <f t="shared" si="1"/>
        <v>7.796476045282219E-3</v>
      </c>
      <c r="W32" s="812"/>
    </row>
    <row r="33" spans="1:23" s="430" customFormat="1">
      <c r="A33" s="766">
        <v>0.79200000000000004</v>
      </c>
      <c r="B33" s="767">
        <v>1500000</v>
      </c>
      <c r="C33" s="768" t="s">
        <v>1229</v>
      </c>
      <c r="D33" s="1907" t="s">
        <v>1233</v>
      </c>
      <c r="E33" s="1907"/>
      <c r="F33" s="1907"/>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0"/>
        <v>0</v>
      </c>
      <c r="V33" s="810">
        <f t="shared" si="1"/>
        <v>0</v>
      </c>
      <c r="W33" s="812"/>
    </row>
    <row r="34" spans="1:23" s="430" customFormat="1">
      <c r="A34" s="766">
        <v>0.69099999999999995</v>
      </c>
      <c r="B34" s="767">
        <v>1500000</v>
      </c>
      <c r="C34" s="768" t="s">
        <v>1229</v>
      </c>
      <c r="D34" s="1907" t="s">
        <v>1234</v>
      </c>
      <c r="E34" s="1907"/>
      <c r="F34" s="1907"/>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0"/>
        <v>1.7140569987868837E-2</v>
      </c>
      <c r="V34" s="810">
        <f t="shared" si="1"/>
        <v>0</v>
      </c>
      <c r="W34" s="812"/>
    </row>
    <row r="35" spans="1:23"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0"/>
        <v>2.3577877113833301E-2</v>
      </c>
      <c r="V35" s="810">
        <f t="shared" si="1"/>
        <v>0</v>
      </c>
      <c r="W35" s="812"/>
    </row>
    <row r="36" spans="1:23"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0"/>
        <v>1.7140569987868837E-2</v>
      </c>
      <c r="V36" s="810">
        <f t="shared" si="1"/>
        <v>0</v>
      </c>
      <c r="W36" s="812"/>
    </row>
    <row r="37" spans="1:23" s="430" customFormat="1">
      <c r="A37" s="814" t="s">
        <v>1239</v>
      </c>
      <c r="B37" s="815"/>
      <c r="C37" s="815"/>
      <c r="D37" s="815"/>
      <c r="E37" s="823" t="s">
        <v>1385</v>
      </c>
      <c r="F37" s="824">
        <f>B39/Y10</f>
        <v>0.11416666666666667</v>
      </c>
      <c r="G37" s="825" t="s">
        <v>1411</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0"/>
        <v>1.7140569987868837E-2</v>
      </c>
      <c r="V37" s="810">
        <f t="shared" si="1"/>
        <v>0</v>
      </c>
      <c r="W37" s="812"/>
    </row>
    <row r="38" spans="1:23"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1"/>
        <v>0</v>
      </c>
      <c r="W38" s="812"/>
    </row>
    <row r="39" spans="1:23"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0"/>
        <v>2.4322024691141753E-2</v>
      </c>
      <c r="V39" s="810">
        <f t="shared" si="1"/>
        <v>0</v>
      </c>
      <c r="W39" s="812"/>
    </row>
    <row r="40" spans="1:23"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0"/>
        <v>5.8556809757487338E-2</v>
      </c>
      <c r="V40" s="810">
        <f t="shared" si="1"/>
        <v>1.8677218316921262E-2</v>
      </c>
      <c r="W40" s="812"/>
    </row>
    <row r="41" spans="1:23"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23" s="430" customFormat="1">
      <c r="E42" s="823" t="s">
        <v>254</v>
      </c>
      <c r="F42" s="832">
        <f>F39*$A$65</f>
        <v>66.444999999999993</v>
      </c>
      <c r="G42" s="825" t="s">
        <v>1387</v>
      </c>
      <c r="H42" s="805"/>
      <c r="I42" s="779"/>
      <c r="J42" s="779"/>
      <c r="K42" s="779"/>
      <c r="L42" s="779"/>
      <c r="M42" s="779"/>
      <c r="N42" s="779"/>
      <c r="O42" s="779"/>
      <c r="P42" s="779"/>
      <c r="Q42" s="779"/>
      <c r="R42" s="779"/>
      <c r="W42" s="812"/>
    </row>
    <row r="43" spans="1:23">
      <c r="E43" s="826" t="s">
        <v>256</v>
      </c>
      <c r="F43" s="827">
        <f>F40*$A$65</f>
        <v>19.179999999999996</v>
      </c>
      <c r="G43" s="820" t="s">
        <v>1387</v>
      </c>
      <c r="I43" s="796" t="s">
        <v>1314</v>
      </c>
      <c r="J43" s="796"/>
      <c r="K43" s="796"/>
      <c r="L43" s="796"/>
      <c r="M43" s="796"/>
      <c r="N43" s="796"/>
    </row>
    <row r="44" spans="1:23" ht="15.75" thickBot="1">
      <c r="E44" s="828" t="s">
        <v>256</v>
      </c>
      <c r="F44" s="822">
        <f>F41*$A$65</f>
        <v>0.91333333333333311</v>
      </c>
      <c r="G44" s="829" t="s">
        <v>1388</v>
      </c>
      <c r="I44" s="796" t="s">
        <v>1315</v>
      </c>
      <c r="J44" s="796"/>
      <c r="K44" s="796"/>
      <c r="L44" s="796"/>
      <c r="M44" s="796"/>
      <c r="N44" s="796"/>
    </row>
    <row r="45" spans="1:23">
      <c r="I45" s="796"/>
      <c r="J45" s="796"/>
      <c r="K45" s="796"/>
      <c r="L45" s="796"/>
      <c r="M45" s="796"/>
      <c r="N45" s="796"/>
    </row>
    <row r="46" spans="1:23" ht="39" customHeight="1">
      <c r="I46" s="1895" t="s">
        <v>1316</v>
      </c>
      <c r="J46" s="1895" t="s">
        <v>1310</v>
      </c>
      <c r="K46" s="1897" t="s">
        <v>1317</v>
      </c>
      <c r="L46" s="1902" t="s">
        <v>1318</v>
      </c>
      <c r="M46" s="1903"/>
      <c r="N46" s="1904"/>
      <c r="Q46" s="1399"/>
      <c r="R46" s="779" t="s">
        <v>14011</v>
      </c>
    </row>
    <row r="47" spans="1:23">
      <c r="A47" s="758" t="s">
        <v>1214</v>
      </c>
      <c r="I47" s="1896"/>
      <c r="J47" s="1896"/>
      <c r="K47" s="1898"/>
      <c r="L47" s="797">
        <v>2000</v>
      </c>
      <c r="M47" s="797">
        <v>2025</v>
      </c>
      <c r="N47" s="797">
        <v>2050</v>
      </c>
      <c r="R47" s="779">
        <v>1.2</v>
      </c>
    </row>
    <row r="48" spans="1:23">
      <c r="I48" s="793" t="s">
        <v>1291</v>
      </c>
      <c r="J48" s="793" t="s">
        <v>1292</v>
      </c>
      <c r="K48" s="798" t="s">
        <v>1319</v>
      </c>
      <c r="L48" s="799">
        <v>0.9</v>
      </c>
      <c r="M48" s="799">
        <v>0.8</v>
      </c>
      <c r="N48" s="799">
        <v>0.7</v>
      </c>
    </row>
    <row r="49" spans="1:23">
      <c r="A49" s="1901" t="s">
        <v>1215</v>
      </c>
      <c r="B49" s="1901"/>
      <c r="C49" s="1901"/>
      <c r="D49" s="1901"/>
      <c r="E49" s="1901"/>
      <c r="F49" s="1901"/>
      <c r="G49" s="1901"/>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09" t="s">
        <v>1316</v>
      </c>
      <c r="J67" s="1909" t="s">
        <v>1310</v>
      </c>
      <c r="K67" s="1910" t="s">
        <v>1317</v>
      </c>
      <c r="L67" s="1911" t="s">
        <v>1359</v>
      </c>
      <c r="M67" s="1899"/>
      <c r="N67" s="1899"/>
      <c r="O67" s="1911" t="s">
        <v>1360</v>
      </c>
      <c r="P67" s="1899"/>
      <c r="Q67" s="1899"/>
      <c r="R67" s="1908" t="s">
        <v>1361</v>
      </c>
      <c r="S67" s="1908"/>
    </row>
    <row r="68" spans="1:19">
      <c r="I68" s="1909"/>
      <c r="J68" s="1909"/>
      <c r="K68" s="1910"/>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2">(O70/P70)^(1/25)-1</f>
        <v>0</v>
      </c>
      <c r="S70" s="810">
        <f t="shared" ref="S70:S81" si="3">(P70/Q70)^(1/25)-1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2"/>
        <v>0</v>
      </c>
      <c r="S71" s="810">
        <f t="shared" si="3"/>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2"/>
        <v>5.3555456419747127E-3</v>
      </c>
      <c r="S72" s="810">
        <f t="shared" si="3"/>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2"/>
        <v>6.1330258552347861E-2</v>
      </c>
      <c r="S73" s="810">
        <f t="shared" si="3"/>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2"/>
        <v>0</v>
      </c>
      <c r="S74" s="810">
        <f t="shared" si="3"/>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2"/>
        <v>1.6350839811869022E-2</v>
      </c>
      <c r="S75" s="810">
        <f t="shared" si="3"/>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2"/>
        <v>2.3790040066189233E-2</v>
      </c>
      <c r="S76" s="810">
        <f t="shared" si="3"/>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2"/>
        <v>1.6350839811869022E-2</v>
      </c>
      <c r="S77" s="810">
        <f t="shared" si="3"/>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2"/>
        <v>1.6350839811869022E-2</v>
      </c>
      <c r="S78" s="810">
        <f t="shared" si="3"/>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3"/>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3"/>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3"/>
        <v>1.7830407146320004E-2</v>
      </c>
    </row>
    <row r="82" spans="1:19">
      <c r="L82" s="808"/>
      <c r="M82" s="430" t="s">
        <v>1358</v>
      </c>
      <c r="O82" s="808"/>
      <c r="P82" s="430" t="s">
        <v>1357</v>
      </c>
    </row>
    <row r="84" spans="1:19" ht="18.75">
      <c r="A84" s="774" t="s">
        <v>1401</v>
      </c>
      <c r="B84" s="775"/>
      <c r="C84" s="775"/>
      <c r="D84" s="775"/>
      <c r="E84" s="775"/>
      <c r="F84" s="775"/>
      <c r="G84" s="775"/>
      <c r="I84" s="796" t="s">
        <v>1327</v>
      </c>
      <c r="J84" s="796"/>
      <c r="K84" s="796"/>
      <c r="L84" s="796"/>
      <c r="M84" s="796"/>
    </row>
    <row r="85" spans="1:19">
      <c r="I85" s="796" t="s">
        <v>1328</v>
      </c>
      <c r="J85" s="796"/>
      <c r="K85" s="796"/>
      <c r="L85" s="796"/>
      <c r="M85" s="796"/>
    </row>
    <row r="86" spans="1:19">
      <c r="A86" t="s">
        <v>1402</v>
      </c>
      <c r="B86" s="430" t="s">
        <v>1412</v>
      </c>
      <c r="I86" s="796" t="s">
        <v>1329</v>
      </c>
      <c r="J86" s="796"/>
      <c r="K86" s="796"/>
      <c r="L86" s="796"/>
      <c r="M86" s="796"/>
    </row>
    <row r="87" spans="1:19">
      <c r="I87" s="777" t="s">
        <v>1330</v>
      </c>
      <c r="J87" s="1916" t="s">
        <v>1331</v>
      </c>
      <c r="K87" s="1916"/>
      <c r="L87" s="1916" t="s">
        <v>1332</v>
      </c>
      <c r="M87" s="1916"/>
    </row>
    <row r="88" spans="1:19">
      <c r="A88" t="s">
        <v>3</v>
      </c>
      <c r="B88" s="382">
        <v>0.64</v>
      </c>
      <c r="C88" s="430" t="s">
        <v>1404</v>
      </c>
      <c r="E88" t="s">
        <v>1410</v>
      </c>
      <c r="I88" s="777"/>
      <c r="J88" s="777" t="s">
        <v>1333</v>
      </c>
      <c r="K88" s="777" t="s">
        <v>1334</v>
      </c>
      <c r="L88" s="777" t="s">
        <v>1335</v>
      </c>
      <c r="M88" s="777" t="s">
        <v>1334</v>
      </c>
    </row>
    <row r="89" spans="1:19">
      <c r="A89" t="s">
        <v>1403</v>
      </c>
      <c r="B89" s="430">
        <v>21.7</v>
      </c>
      <c r="C89" s="430" t="s">
        <v>1405</v>
      </c>
      <c r="E89" s="430" t="s">
        <v>1410</v>
      </c>
      <c r="I89" s="777" t="s">
        <v>1336</v>
      </c>
      <c r="J89" s="778" t="s">
        <v>1337</v>
      </c>
      <c r="K89" s="778" t="s">
        <v>1338</v>
      </c>
      <c r="L89" s="778" t="s">
        <v>1337</v>
      </c>
      <c r="M89" s="778" t="s">
        <v>1338</v>
      </c>
    </row>
    <row r="90" spans="1:19" ht="25.5">
      <c r="B90" s="458">
        <f>B89/Y9</f>
        <v>0.15281690140845069</v>
      </c>
      <c r="C90" t="s">
        <v>1406</v>
      </c>
      <c r="I90" s="777" t="s">
        <v>1339</v>
      </c>
      <c r="J90" s="778" t="s">
        <v>1337</v>
      </c>
      <c r="K90" s="778" t="s">
        <v>1338</v>
      </c>
      <c r="L90" s="778" t="s">
        <v>1338</v>
      </c>
      <c r="M90" s="778" t="s">
        <v>1337</v>
      </c>
    </row>
    <row r="91" spans="1:19">
      <c r="B91" s="458">
        <f>B89/Y10</f>
        <v>0.18083333333333332</v>
      </c>
      <c r="C91" s="430" t="s">
        <v>1407</v>
      </c>
      <c r="I91" s="777" t="s">
        <v>1340</v>
      </c>
      <c r="J91" s="778" t="s">
        <v>1337</v>
      </c>
      <c r="K91" s="778" t="s">
        <v>1338</v>
      </c>
      <c r="L91" s="778" t="s">
        <v>1337</v>
      </c>
      <c r="M91" s="778" t="s">
        <v>1338</v>
      </c>
    </row>
    <row r="92" spans="1:19">
      <c r="B92" s="433">
        <f>B90*1000</f>
        <v>152.81690140845069</v>
      </c>
      <c r="C92" s="430" t="s">
        <v>1408</v>
      </c>
      <c r="I92" s="777" t="s">
        <v>1341</v>
      </c>
      <c r="J92" s="778" t="s">
        <v>1342</v>
      </c>
      <c r="K92" s="778" t="s">
        <v>1343</v>
      </c>
      <c r="L92" s="778" t="s">
        <v>1337</v>
      </c>
      <c r="M92" s="778" t="s">
        <v>1338</v>
      </c>
    </row>
    <row r="93" spans="1:19">
      <c r="B93" s="433">
        <f>B91*1000</f>
        <v>180.83333333333331</v>
      </c>
      <c r="C93" s="430" t="s">
        <v>1409</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1419</v>
      </c>
      <c r="J97" s="848"/>
      <c r="K97" s="848"/>
      <c r="L97" s="848"/>
      <c r="M97" s="848"/>
      <c r="N97" s="848"/>
      <c r="O97" s="848"/>
      <c r="P97" s="848"/>
      <c r="Q97" s="848"/>
    </row>
    <row r="98" spans="9:17">
      <c r="I98" s="848"/>
      <c r="J98" s="848"/>
      <c r="K98" s="848"/>
      <c r="L98" s="848"/>
      <c r="M98" s="848"/>
      <c r="N98" s="848"/>
      <c r="O98" s="848"/>
      <c r="P98" s="848"/>
      <c r="Q98" s="848"/>
    </row>
    <row r="99" spans="9:17">
      <c r="I99" s="848" t="s">
        <v>1420</v>
      </c>
      <c r="J99" s="848"/>
      <c r="K99" s="848"/>
      <c r="L99" s="848"/>
      <c r="M99" s="848"/>
      <c r="N99" s="848"/>
      <c r="O99" s="848"/>
      <c r="P99" s="848"/>
      <c r="Q99" s="848"/>
    </row>
    <row r="100" spans="9:17">
      <c r="I100" s="848" t="s">
        <v>1421</v>
      </c>
      <c r="J100" s="848"/>
      <c r="K100" s="848"/>
      <c r="L100" s="848"/>
      <c r="M100" s="848"/>
      <c r="N100" s="848"/>
      <c r="O100" s="848"/>
      <c r="P100" s="848"/>
      <c r="Q100" s="848"/>
    </row>
    <row r="101" spans="9:17">
      <c r="I101" s="848" t="s">
        <v>1422</v>
      </c>
      <c r="J101" s="848"/>
      <c r="K101" s="848"/>
      <c r="L101" s="848"/>
      <c r="M101" s="848"/>
      <c r="N101" s="848"/>
      <c r="O101" s="848"/>
      <c r="P101" s="848"/>
      <c r="Q101" s="848"/>
    </row>
    <row r="102" spans="9:17">
      <c r="I102" s="849" t="s">
        <v>1423</v>
      </c>
      <c r="J102" s="860" t="s">
        <v>1424</v>
      </c>
      <c r="K102" s="860" t="s">
        <v>1425</v>
      </c>
      <c r="L102" s="861" t="s">
        <v>1426</v>
      </c>
      <c r="M102" s="862"/>
      <c r="N102" s="863"/>
      <c r="O102" s="861" t="s">
        <v>1427</v>
      </c>
      <c r="P102" s="862"/>
      <c r="Q102" s="863"/>
    </row>
    <row r="103" spans="9:17">
      <c r="I103" s="849"/>
      <c r="J103" s="860"/>
      <c r="K103" s="861"/>
      <c r="L103" s="858">
        <v>2000</v>
      </c>
      <c r="M103" s="858">
        <v>2025</v>
      </c>
      <c r="N103" s="858">
        <v>2050</v>
      </c>
      <c r="O103" s="858">
        <v>2000</v>
      </c>
      <c r="P103" s="858">
        <v>2025</v>
      </c>
      <c r="Q103" s="858">
        <v>2050</v>
      </c>
    </row>
    <row r="104" spans="9:17">
      <c r="I104" s="849" t="s">
        <v>1428</v>
      </c>
      <c r="J104" s="860" t="s">
        <v>1429</v>
      </c>
      <c r="K104" s="864">
        <v>2000</v>
      </c>
      <c r="L104" s="857">
        <v>15</v>
      </c>
      <c r="M104" s="857">
        <v>6</v>
      </c>
      <c r="N104" s="857">
        <v>6</v>
      </c>
      <c r="O104" s="859">
        <v>0.82</v>
      </c>
      <c r="P104" s="859">
        <v>0.85</v>
      </c>
      <c r="Q104" s="859">
        <v>0.85</v>
      </c>
    </row>
    <row r="105" spans="9:17">
      <c r="I105" s="849" t="s">
        <v>1428</v>
      </c>
      <c r="J105" s="860" t="s">
        <v>1430</v>
      </c>
      <c r="K105" s="864">
        <v>2020</v>
      </c>
      <c r="L105" s="857">
        <v>15</v>
      </c>
      <c r="M105" s="857">
        <v>10</v>
      </c>
      <c r="N105" s="857">
        <v>10</v>
      </c>
      <c r="O105" s="859">
        <v>0.75</v>
      </c>
      <c r="P105" s="859">
        <v>0.8</v>
      </c>
      <c r="Q105" s="859">
        <v>0.8</v>
      </c>
    </row>
    <row r="106" spans="9:17">
      <c r="I106" s="849" t="s">
        <v>1431</v>
      </c>
      <c r="J106" s="860" t="s">
        <v>1429</v>
      </c>
      <c r="K106" s="864">
        <v>2020</v>
      </c>
      <c r="L106" s="857">
        <v>8</v>
      </c>
      <c r="M106" s="857">
        <v>4</v>
      </c>
      <c r="N106" s="857">
        <v>3</v>
      </c>
      <c r="O106" s="859">
        <v>0.95</v>
      </c>
      <c r="P106" s="859">
        <v>0.95</v>
      </c>
      <c r="Q106" s="859">
        <v>0.95</v>
      </c>
    </row>
    <row r="107" spans="9:17">
      <c r="I107" s="849" t="s">
        <v>1432</v>
      </c>
      <c r="J107" s="860" t="s">
        <v>1433</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1434</v>
      </c>
      <c r="J109" s="848"/>
      <c r="K109" s="848"/>
      <c r="L109" s="848"/>
      <c r="M109" s="848"/>
      <c r="N109" s="848"/>
      <c r="O109" s="848"/>
      <c r="P109" s="848"/>
      <c r="Q109" s="848"/>
    </row>
    <row r="110" spans="9:17">
      <c r="I110" s="848" t="s">
        <v>1435</v>
      </c>
      <c r="J110" s="848"/>
      <c r="K110" s="848"/>
      <c r="L110" s="848"/>
      <c r="M110" s="848"/>
      <c r="N110" s="848"/>
      <c r="O110" s="848"/>
      <c r="P110" s="848"/>
      <c r="Q110" s="848"/>
    </row>
    <row r="111" spans="9:17">
      <c r="I111" s="848" t="s">
        <v>1436</v>
      </c>
      <c r="J111" s="848"/>
      <c r="K111" s="848"/>
      <c r="L111" s="848"/>
      <c r="M111" s="848"/>
      <c r="N111" s="848"/>
      <c r="O111" s="848"/>
      <c r="P111" s="848"/>
      <c r="Q111" s="848"/>
    </row>
    <row r="112" spans="9:17">
      <c r="I112" s="848" t="s">
        <v>1437</v>
      </c>
      <c r="J112" s="848"/>
      <c r="K112" s="848"/>
      <c r="L112" s="848"/>
      <c r="M112" s="848"/>
      <c r="N112" s="848"/>
      <c r="O112" s="848"/>
      <c r="P112" s="848"/>
      <c r="Q112" s="848"/>
    </row>
    <row r="113" spans="9:17">
      <c r="I113" s="849" t="s">
        <v>1423</v>
      </c>
      <c r="J113" s="860" t="s">
        <v>1424</v>
      </c>
      <c r="K113" s="860" t="s">
        <v>1425</v>
      </c>
      <c r="L113" s="861" t="s">
        <v>1426</v>
      </c>
      <c r="M113" s="862"/>
      <c r="N113" s="863"/>
      <c r="O113" s="861" t="s">
        <v>1427</v>
      </c>
      <c r="P113" s="862"/>
      <c r="Q113" s="863"/>
    </row>
    <row r="114" spans="9:17">
      <c r="I114" s="849"/>
      <c r="J114" s="860"/>
      <c r="K114" s="860"/>
      <c r="L114" s="865">
        <v>2000</v>
      </c>
      <c r="M114" s="865">
        <v>2025</v>
      </c>
      <c r="N114" s="865">
        <v>2050</v>
      </c>
      <c r="O114" s="858">
        <v>2000</v>
      </c>
      <c r="P114" s="858">
        <v>2025</v>
      </c>
      <c r="Q114" s="858">
        <v>2050</v>
      </c>
    </row>
    <row r="115" spans="9:17">
      <c r="I115" s="849" t="s">
        <v>1428</v>
      </c>
      <c r="J115" s="860" t="s">
        <v>1429</v>
      </c>
      <c r="K115" s="866">
        <v>2000</v>
      </c>
      <c r="L115" s="864">
        <v>31</v>
      </c>
      <c r="M115" s="864">
        <v>12</v>
      </c>
      <c r="N115" s="864">
        <v>12</v>
      </c>
      <c r="O115" s="859">
        <v>0.82</v>
      </c>
      <c r="P115" s="859">
        <v>0.85</v>
      </c>
      <c r="Q115" s="859">
        <v>0.85</v>
      </c>
    </row>
    <row r="116" spans="9:17">
      <c r="I116" s="849" t="s">
        <v>1428</v>
      </c>
      <c r="J116" s="860" t="s">
        <v>1430</v>
      </c>
      <c r="K116" s="866">
        <v>2020</v>
      </c>
      <c r="L116" s="864">
        <v>31</v>
      </c>
      <c r="M116" s="864">
        <v>21</v>
      </c>
      <c r="N116" s="864">
        <v>21</v>
      </c>
      <c r="O116" s="859">
        <v>0.75</v>
      </c>
      <c r="P116" s="859">
        <v>0.8</v>
      </c>
      <c r="Q116" s="859">
        <v>0.8</v>
      </c>
    </row>
    <row r="117" spans="9:17">
      <c r="I117" s="849" t="s">
        <v>1431</v>
      </c>
      <c r="J117" s="860" t="s">
        <v>1429</v>
      </c>
      <c r="K117" s="866">
        <v>2020</v>
      </c>
      <c r="L117" s="864">
        <v>16</v>
      </c>
      <c r="M117" s="864">
        <v>8</v>
      </c>
      <c r="N117" s="864">
        <v>6</v>
      </c>
      <c r="O117" s="859">
        <v>0.95</v>
      </c>
      <c r="P117" s="859">
        <v>0.95</v>
      </c>
      <c r="Q117" s="859">
        <v>0.95</v>
      </c>
    </row>
    <row r="118" spans="9:17">
      <c r="I118" s="849" t="s">
        <v>1432</v>
      </c>
      <c r="J118" s="860" t="s">
        <v>1433</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1438</v>
      </c>
      <c r="J120" s="848"/>
      <c r="K120" s="848"/>
      <c r="L120" s="848"/>
      <c r="M120" s="848"/>
      <c r="N120" s="848"/>
      <c r="O120" s="848"/>
      <c r="P120" s="848"/>
      <c r="Q120" s="848"/>
    </row>
    <row r="121" spans="9:17">
      <c r="I121" s="848" t="s">
        <v>1439</v>
      </c>
      <c r="J121" s="848"/>
      <c r="K121" s="848"/>
      <c r="L121" s="848"/>
      <c r="M121" s="848"/>
      <c r="N121" s="848"/>
      <c r="O121" s="848"/>
      <c r="P121" s="848"/>
      <c r="Q121" s="848"/>
    </row>
    <row r="122" spans="9:17">
      <c r="I122" s="848" t="s">
        <v>1440</v>
      </c>
      <c r="J122" s="848"/>
      <c r="K122" s="848"/>
      <c r="L122" s="848"/>
      <c r="M122" s="848"/>
      <c r="N122" s="848"/>
      <c r="O122" s="848"/>
      <c r="P122" s="848"/>
      <c r="Q122" s="848"/>
    </row>
    <row r="123" spans="9:17">
      <c r="I123" s="867" t="s">
        <v>1423</v>
      </c>
      <c r="J123" s="855" t="s">
        <v>1441</v>
      </c>
      <c r="K123" s="1912" t="s">
        <v>1426</v>
      </c>
      <c r="L123" s="1913"/>
      <c r="M123" s="1914"/>
      <c r="N123" s="1912" t="s">
        <v>1427</v>
      </c>
      <c r="O123" s="1913"/>
      <c r="P123" s="1914"/>
      <c r="Q123" s="848"/>
    </row>
    <row r="124" spans="9:17">
      <c r="I124" s="867"/>
      <c r="J124" s="855" t="s">
        <v>1442</v>
      </c>
      <c r="K124" s="858">
        <v>2000</v>
      </c>
      <c r="L124" s="858">
        <v>2025</v>
      </c>
      <c r="M124" s="858">
        <v>2050</v>
      </c>
      <c r="N124" s="858">
        <v>2000</v>
      </c>
      <c r="O124" s="858">
        <v>2025</v>
      </c>
      <c r="P124" s="858">
        <v>2050</v>
      </c>
      <c r="Q124" s="848"/>
    </row>
    <row r="125" spans="9:17" ht="30">
      <c r="I125" s="867" t="s">
        <v>1443</v>
      </c>
      <c r="J125" s="857">
        <v>2000</v>
      </c>
      <c r="K125" s="857">
        <v>16</v>
      </c>
      <c r="L125" s="857">
        <v>10</v>
      </c>
      <c r="M125" s="857">
        <v>6</v>
      </c>
      <c r="N125" s="859">
        <v>0.95</v>
      </c>
      <c r="O125" s="859">
        <v>0.95</v>
      </c>
      <c r="P125" s="859">
        <v>0.95</v>
      </c>
      <c r="Q125" s="848"/>
    </row>
    <row r="126" spans="9:17" ht="30">
      <c r="I126" s="867" t="s">
        <v>1444</v>
      </c>
      <c r="J126" s="857">
        <v>2000</v>
      </c>
      <c r="K126" s="857">
        <v>33</v>
      </c>
      <c r="L126" s="857">
        <v>20</v>
      </c>
      <c r="M126" s="857">
        <v>12</v>
      </c>
      <c r="N126" s="859">
        <v>0.95</v>
      </c>
      <c r="O126" s="859">
        <v>0.95</v>
      </c>
      <c r="P126" s="859">
        <v>0.95</v>
      </c>
      <c r="Q126" s="848"/>
    </row>
    <row r="128" spans="9:17">
      <c r="I128" s="1915" t="s">
        <v>1445</v>
      </c>
      <c r="J128" s="1915"/>
      <c r="K128" s="1915"/>
      <c r="L128" s="1915"/>
      <c r="M128" s="1915"/>
      <c r="N128" s="1915"/>
      <c r="O128" s="1915"/>
      <c r="P128" s="1915"/>
      <c r="Q128" s="1915"/>
    </row>
    <row r="129" spans="9:17">
      <c r="I129" s="1915"/>
      <c r="J129" s="1915"/>
      <c r="K129" s="1915"/>
      <c r="L129" s="1915"/>
      <c r="M129" s="1915"/>
      <c r="N129" s="1915"/>
      <c r="O129" s="1915"/>
      <c r="P129" s="1915"/>
      <c r="Q129" s="1915"/>
    </row>
    <row r="130" spans="9:17">
      <c r="I130" s="1915"/>
      <c r="J130" s="1915"/>
      <c r="K130" s="1915"/>
      <c r="L130" s="1915"/>
      <c r="M130" s="1915"/>
      <c r="N130" s="1915"/>
      <c r="O130" s="1915"/>
      <c r="P130" s="1915"/>
      <c r="Q130" s="1915"/>
    </row>
    <row r="131" spans="9:17">
      <c r="I131" s="1915"/>
      <c r="J131" s="1915"/>
      <c r="K131" s="1915"/>
      <c r="L131" s="1915"/>
      <c r="M131" s="1915"/>
      <c r="N131" s="1915"/>
      <c r="O131" s="1915"/>
      <c r="P131" s="1915"/>
      <c r="Q131" s="1915"/>
    </row>
    <row r="132" spans="9:17">
      <c r="I132" s="1915"/>
      <c r="J132" s="1915"/>
      <c r="K132" s="1915"/>
      <c r="L132" s="1915"/>
      <c r="M132" s="1915"/>
      <c r="N132" s="1915"/>
      <c r="O132" s="1915"/>
      <c r="P132" s="1915"/>
      <c r="Q132" s="1915"/>
    </row>
    <row r="134" spans="9:17">
      <c r="I134" s="848" t="s">
        <v>1446</v>
      </c>
      <c r="J134" s="848"/>
      <c r="K134" s="848"/>
      <c r="L134" s="848"/>
      <c r="M134" s="848"/>
      <c r="N134" s="848"/>
    </row>
    <row r="135" spans="9:17" ht="30">
      <c r="I135" s="849" t="s">
        <v>1447</v>
      </c>
      <c r="J135" s="849" t="s">
        <v>1448</v>
      </c>
      <c r="K135" s="849" t="s">
        <v>1449</v>
      </c>
      <c r="L135" s="855" t="s">
        <v>1450</v>
      </c>
      <c r="M135" s="855" t="s">
        <v>1451</v>
      </c>
      <c r="N135" s="849" t="s">
        <v>1452</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1453</v>
      </c>
      <c r="J142" s="848"/>
      <c r="K142" s="848"/>
      <c r="L142" s="848"/>
      <c r="M142" s="848"/>
      <c r="N142" s="848"/>
    </row>
    <row r="143" spans="9:17" ht="30">
      <c r="I143" s="849" t="s">
        <v>1447</v>
      </c>
      <c r="J143" s="849" t="s">
        <v>1448</v>
      </c>
      <c r="K143" s="849" t="s">
        <v>1449</v>
      </c>
      <c r="L143" s="855" t="s">
        <v>1450</v>
      </c>
      <c r="M143" s="855" t="s">
        <v>1451</v>
      </c>
      <c r="N143" s="849" t="s">
        <v>1452</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s>
  <pageMargins left="0.7" right="0.7" top="0.75" bottom="0.75" header="0.3" footer="0.3"/>
  <pageSetup paperSize="9" orientation="portrait" r:id="rId3"/>
  <drawing r:id="rId4"/>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02" zoomScale="85" zoomScaleNormal="85" workbookViewId="0">
      <selection activeCell="E129" sqref="E129"/>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24" t="s">
        <v>240</v>
      </c>
      <c r="C1" s="1824"/>
      <c r="D1" s="1824"/>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14564</v>
      </c>
      <c r="B28" s="619" t="s">
        <v>14566</v>
      </c>
      <c r="C28" s="116"/>
      <c r="D28" s="116"/>
      <c r="E28" s="116"/>
      <c r="F28" s="116"/>
      <c r="G28" s="116"/>
      <c r="H28" s="1460"/>
      <c r="I28" s="116"/>
      <c r="K28" s="116"/>
      <c r="L28" s="116"/>
      <c r="M28" s="1267"/>
      <c r="N28" s="91"/>
      <c r="O28" s="97"/>
      <c r="P28" s="97"/>
      <c r="Q28" s="97"/>
      <c r="R28" s="97"/>
      <c r="S28" s="1266"/>
      <c r="T28" s="1266"/>
    </row>
    <row r="29" spans="1:23">
      <c r="A29" s="641" t="s">
        <v>14565</v>
      </c>
      <c r="B29" s="619" t="s">
        <v>14567</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1798</v>
      </c>
      <c r="C31" s="116"/>
      <c r="D31" s="116"/>
      <c r="E31" s="116"/>
      <c r="F31" s="116"/>
      <c r="G31" s="116"/>
      <c r="H31" s="1460"/>
      <c r="I31" s="116"/>
      <c r="K31" s="116"/>
      <c r="L31" s="116"/>
      <c r="M31" s="1267"/>
      <c r="N31" s="91"/>
      <c r="O31" s="97"/>
      <c r="P31" s="97"/>
      <c r="Q31" s="97"/>
      <c r="R31" s="97"/>
      <c r="S31" s="1266"/>
      <c r="T31" s="1266"/>
    </row>
    <row r="32" spans="1:23">
      <c r="A32" s="103" t="s">
        <v>1201</v>
      </c>
      <c r="B32" s="1117" t="s">
        <v>1799</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14092</v>
      </c>
      <c r="I34" s="123" t="s">
        <v>13415</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13416</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644">
        <v>0.5</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1461</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1460</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1455</v>
      </c>
      <c r="X144" s="874">
        <v>2.1</v>
      </c>
      <c r="Y144" s="145" t="s">
        <v>1456</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1459</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1794</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zar.2015*Hydrogen2012!R30</f>
        <v>128.68199999999999</v>
      </c>
      <c r="N147" s="143"/>
      <c r="O147" s="143">
        <f>zar.2010*Hydrogen2012!O71</f>
        <v>5.6165845756230484</v>
      </c>
      <c r="P147" s="143"/>
      <c r="Q147" s="494">
        <v>-4</v>
      </c>
      <c r="R147" s="143" t="str">
        <f>""</f>
        <v/>
      </c>
      <c r="S147" s="1275">
        <f>Hydrogen2012!F39</f>
        <v>88.593333333333334</v>
      </c>
      <c r="T147" s="1275">
        <f>Hydrogen2012!F41</f>
        <v>1.2177777777777774</v>
      </c>
      <c r="U147" s="751"/>
      <c r="W147" s="752" t="s">
        <v>1454</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1457</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1458</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1795</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1454</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1457</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1458</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zar.2015*Hydrogen2012!R28</f>
        <v>443.23799999999994</v>
      </c>
      <c r="N159" s="143"/>
      <c r="O159" s="143">
        <f>zar.2010*Hydrogen2012!O69</f>
        <v>28.082922878115237</v>
      </c>
      <c r="P159" s="143"/>
      <c r="Q159" s="494">
        <v>-4</v>
      </c>
      <c r="R159" s="143" t="str">
        <f>""</f>
        <v/>
      </c>
      <c r="S159" s="1275">
        <f>Hydrogen2012!B93</f>
        <v>180.83333333333331</v>
      </c>
      <c r="T159" s="1275">
        <v>0</v>
      </c>
      <c r="U159" s="751"/>
      <c r="V159" s="752"/>
      <c r="W159" s="752" t="s">
        <v>1454</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1457</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1458</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HydrogenELT2019!F10</f>
        <v>7.6103500761035017</v>
      </c>
      <c r="G165" s="143">
        <f>HydrogenELT2019!F14</f>
        <v>0.57999999999999996</v>
      </c>
      <c r="H165" s="1466">
        <f>HydrogenELT2019!F12</f>
        <v>0.9</v>
      </c>
      <c r="I165" s="143" t="str">
        <f>""</f>
        <v/>
      </c>
      <c r="J165" s="143">
        <v>1</v>
      </c>
      <c r="K165" s="570"/>
      <c r="L165" s="494">
        <v>2020</v>
      </c>
      <c r="M165" s="1275">
        <f>zar.2015*HydrogenELT2019!F6</f>
        <v>622.84426708278443</v>
      </c>
      <c r="N165" s="143"/>
      <c r="O165" s="143">
        <f>zar.2015*HydrogenELT2019!F8</f>
        <v>9.3426640062417654</v>
      </c>
      <c r="P165" s="143"/>
      <c r="Q165" s="494">
        <f>HydrogenELT2019!F16</f>
        <v>-2</v>
      </c>
      <c r="R165" s="143" t="str">
        <f>""</f>
        <v/>
      </c>
      <c r="S165" s="1275">
        <v>0</v>
      </c>
      <c r="T165" s="1275">
        <v>0</v>
      </c>
      <c r="U165" s="751"/>
      <c r="V165" s="752"/>
      <c r="W165" s="752" t="s">
        <v>1454</v>
      </c>
      <c r="X165" s="752">
        <f>-PMT(8%,F165,M165*(1+$X$145),0,1)/H165</f>
        <v>140.69758835730477</v>
      </c>
      <c r="Y165" s="752">
        <f>X165</f>
        <v>140.69758835730477</v>
      </c>
      <c r="Z165" s="752">
        <f>Y165</f>
        <v>140.69758835730477</v>
      </c>
      <c r="AA165" s="752">
        <f>Z165</f>
        <v>140.69758835730477</v>
      </c>
      <c r="AB165" s="752">
        <f>AA165</f>
        <v>140.69758835730477</v>
      </c>
      <c r="AC165" s="752">
        <f>AB165</f>
        <v>140.69758835730477</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HydrogenELT2019!F11</f>
        <v>9.512937595129376</v>
      </c>
      <c r="G168" s="143">
        <f>HydrogenELT2019!F15</f>
        <v>0.66500000000000004</v>
      </c>
      <c r="H168" s="1466">
        <f>HydrogenELT2019!F13</f>
        <v>0.9</v>
      </c>
      <c r="I168" s="143" t="str">
        <f>""</f>
        <v/>
      </c>
      <c r="J168" s="143">
        <v>1</v>
      </c>
      <c r="K168" s="570"/>
      <c r="L168" s="494">
        <v>2020</v>
      </c>
      <c r="M168" s="1275">
        <f>zar.2015*HydrogenELT2019!F7</f>
        <v>408.07038188182429</v>
      </c>
      <c r="N168" s="143"/>
      <c r="O168" s="143">
        <f>zar.2015*HydrogenELT2019!F9</f>
        <v>6.1210557282273639</v>
      </c>
      <c r="P168" s="143"/>
      <c r="Q168" s="494">
        <f>HydrogenELT2019!F17</f>
        <v>-2</v>
      </c>
      <c r="R168" s="143" t="str">
        <f>""</f>
        <v/>
      </c>
      <c r="S168" s="1275">
        <v>0</v>
      </c>
      <c r="T168" s="1275">
        <v>0</v>
      </c>
      <c r="U168" s="751"/>
      <c r="V168" s="752"/>
      <c r="W168" s="752" t="s">
        <v>1454</v>
      </c>
      <c r="X168" s="752">
        <f>-PMT(8%,F168,M168*(1+$X$145),0,1)/H168</f>
        <v>78.715740347603159</v>
      </c>
      <c r="Y168" s="752">
        <f>X168</f>
        <v>78.715740347603159</v>
      </c>
      <c r="Z168" s="752">
        <f>Y168</f>
        <v>78.715740347603159</v>
      </c>
      <c r="AA168" s="752">
        <f>Z168</f>
        <v>78.715740347603159</v>
      </c>
      <c r="AB168" s="752">
        <f>AA168</f>
        <v>78.715740347603159</v>
      </c>
      <c r="AC168" s="752">
        <f>AB168</f>
        <v>78.715740347603159</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1457</v>
      </c>
      <c r="X172" s="752">
        <f>O165</f>
        <v>9.3426640062417654</v>
      </c>
      <c r="Y172" s="755">
        <f t="shared" si="37"/>
        <v>9.3426640062417654</v>
      </c>
      <c r="Z172" s="755">
        <f t="shared" si="37"/>
        <v>9.3426640062417654</v>
      </c>
      <c r="AA172" s="755">
        <f t="shared" si="37"/>
        <v>9.3426640062417654</v>
      </c>
      <c r="AB172" s="755">
        <f t="shared" si="37"/>
        <v>9.3426640062417654</v>
      </c>
      <c r="AC172" s="755">
        <f t="shared" si="37"/>
        <v>9.3426640062417654</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1458</v>
      </c>
      <c r="X173" s="752">
        <f t="shared" ref="X173:AC173" si="38">SUM(X165:X172)</f>
        <v>575.81917886411838</v>
      </c>
      <c r="Y173" s="752">
        <f t="shared" si="38"/>
        <v>575.78129278893039</v>
      </c>
      <c r="Z173" s="752">
        <f t="shared" si="38"/>
        <v>575.74621308968221</v>
      </c>
      <c r="AA173" s="752">
        <f t="shared" si="38"/>
        <v>575.71373188667474</v>
      </c>
      <c r="AB173" s="752">
        <f t="shared" si="38"/>
        <v>575.30771684908075</v>
      </c>
      <c r="AC173" s="752">
        <f t="shared" si="38"/>
        <v>577.13726608216348</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1615</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286.31060079856286</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F34" sqref="F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election activeCell="A28" sqref="A28:XFD29"/>
    </sheetView>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29"/>
  <sheetViews>
    <sheetView topLeftCell="A265" workbookViewId="0">
      <selection activeCell="F306" sqref="F306"/>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13432</v>
      </c>
      <c r="B10" s="438" t="s">
        <v>332</v>
      </c>
      <c r="C10" s="438" t="s">
        <v>333</v>
      </c>
      <c r="D10" s="438" t="s">
        <v>334</v>
      </c>
      <c r="E10" s="438" t="s">
        <v>334</v>
      </c>
      <c r="F10" s="438" t="s">
        <v>334</v>
      </c>
      <c r="G10" s="438" t="s">
        <v>334</v>
      </c>
      <c r="H10" s="837" t="s">
        <v>334</v>
      </c>
      <c r="I10" s="439">
        <v>0</v>
      </c>
      <c r="AT10" s="42">
        <f>UPS!$P$37</f>
        <v>13</v>
      </c>
    </row>
    <row r="11" spans="1:48">
      <c r="A11" s="42" t="s">
        <v>13433</v>
      </c>
      <c r="B11" s="438" t="s">
        <v>602</v>
      </c>
      <c r="C11" s="438" t="s">
        <v>333</v>
      </c>
      <c r="D11" s="438" t="s">
        <v>334</v>
      </c>
      <c r="E11" s="438" t="s">
        <v>334</v>
      </c>
      <c r="F11" s="438" t="s">
        <v>334</v>
      </c>
      <c r="G11" s="438" t="s">
        <v>337</v>
      </c>
      <c r="H11" s="837" t="s">
        <v>338</v>
      </c>
      <c r="I11" s="439">
        <v>3</v>
      </c>
      <c r="AT11" s="42">
        <f>UPS!$H$37</f>
        <v>5</v>
      </c>
    </row>
    <row r="12" spans="1:48">
      <c r="A12" s="42" t="s">
        <v>13434</v>
      </c>
      <c r="B12" s="438" t="s">
        <v>602</v>
      </c>
      <c r="C12" s="438" t="s">
        <v>333</v>
      </c>
      <c r="D12" s="438" t="s">
        <v>334</v>
      </c>
      <c r="E12" s="438" t="s">
        <v>334</v>
      </c>
      <c r="F12" s="438" t="s">
        <v>334</v>
      </c>
      <c r="G12" s="438" t="s">
        <v>337</v>
      </c>
      <c r="H12" s="837" t="s">
        <v>1194</v>
      </c>
      <c r="I12" s="439">
        <v>3</v>
      </c>
      <c r="AT12" s="42">
        <f>UPS!$I$37</f>
        <v>6</v>
      </c>
    </row>
    <row r="13" spans="1:48">
      <c r="A13" s="42" t="s">
        <v>13435</v>
      </c>
      <c r="B13" s="438" t="s">
        <v>849</v>
      </c>
      <c r="C13" s="438" t="s">
        <v>333</v>
      </c>
      <c r="D13" s="438" t="s">
        <v>334</v>
      </c>
      <c r="E13" s="438" t="s">
        <v>334</v>
      </c>
      <c r="F13" s="438" t="s">
        <v>334</v>
      </c>
      <c r="G13" s="438" t="s">
        <v>334</v>
      </c>
      <c r="H13" s="837" t="s">
        <v>334</v>
      </c>
      <c r="I13" s="439">
        <v>0</v>
      </c>
      <c r="AT13" s="42">
        <f>UPS!$O$37</f>
        <v>12</v>
      </c>
    </row>
    <row r="14" spans="1:48">
      <c r="A14" s="42" t="s">
        <v>13436</v>
      </c>
      <c r="B14" s="438" t="s">
        <v>850</v>
      </c>
      <c r="C14" s="438" t="s">
        <v>333</v>
      </c>
      <c r="D14" s="438" t="s">
        <v>334</v>
      </c>
      <c r="E14" s="438" t="s">
        <v>334</v>
      </c>
      <c r="F14" s="438" t="s">
        <v>334</v>
      </c>
      <c r="G14" s="438" t="s">
        <v>334</v>
      </c>
      <c r="H14" s="837" t="s">
        <v>338</v>
      </c>
      <c r="I14" s="439">
        <v>3</v>
      </c>
      <c r="AT14" s="42">
        <f>UPS!R37</f>
        <v>15</v>
      </c>
    </row>
    <row r="15" spans="1:48">
      <c r="A15" s="42" t="s">
        <v>13437</v>
      </c>
      <c r="B15" s="438" t="s">
        <v>851</v>
      </c>
      <c r="C15" s="438" t="s">
        <v>333</v>
      </c>
      <c r="D15" s="438" t="s">
        <v>334</v>
      </c>
      <c r="E15" s="438" t="s">
        <v>852</v>
      </c>
      <c r="F15" s="438" t="s">
        <v>853</v>
      </c>
      <c r="G15" s="438" t="s">
        <v>337</v>
      </c>
      <c r="H15" s="837" t="s">
        <v>334</v>
      </c>
      <c r="I15" s="439">
        <v>0</v>
      </c>
      <c r="AT15" s="42">
        <f>UPS!$G$37</f>
        <v>4</v>
      </c>
    </row>
    <row r="16" spans="1:48">
      <c r="A16" s="42" t="s">
        <v>13438</v>
      </c>
      <c r="B16" s="438" t="s">
        <v>855</v>
      </c>
      <c r="C16" s="438" t="s">
        <v>333</v>
      </c>
      <c r="D16" s="438" t="s">
        <v>345</v>
      </c>
      <c r="E16" s="438" t="s">
        <v>852</v>
      </c>
      <c r="F16" s="438" t="s">
        <v>334</v>
      </c>
      <c r="G16" s="438" t="s">
        <v>337</v>
      </c>
      <c r="H16" s="837" t="s">
        <v>856</v>
      </c>
      <c r="I16" s="439">
        <v>3</v>
      </c>
      <c r="AT16" s="42">
        <f>UPS!$D$37</f>
        <v>1</v>
      </c>
      <c r="AV16" s="42">
        <f>UPS!$J$37</f>
        <v>7</v>
      </c>
    </row>
    <row r="17" spans="1:48">
      <c r="A17" s="42" t="s">
        <v>13439</v>
      </c>
      <c r="B17" s="438" t="s">
        <v>855</v>
      </c>
      <c r="C17" s="438" t="s">
        <v>333</v>
      </c>
      <c r="D17" s="438" t="s">
        <v>345</v>
      </c>
      <c r="E17" s="438" t="s">
        <v>853</v>
      </c>
      <c r="F17" s="438" t="s">
        <v>334</v>
      </c>
      <c r="G17" s="438" t="s">
        <v>337</v>
      </c>
      <c r="H17" s="837" t="s">
        <v>338</v>
      </c>
      <c r="I17" s="439">
        <v>3</v>
      </c>
      <c r="AT17" s="42">
        <f>UPS!$E$37</f>
        <v>2</v>
      </c>
      <c r="AV17" s="42">
        <f>UPS!$K$37</f>
        <v>8</v>
      </c>
    </row>
    <row r="18" spans="1:48">
      <c r="A18" s="42" t="s">
        <v>13440</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13441</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13442</v>
      </c>
      <c r="B20" s="438" t="s">
        <v>860</v>
      </c>
      <c r="C20" s="438" t="s">
        <v>333</v>
      </c>
      <c r="D20" s="438" t="s">
        <v>334</v>
      </c>
      <c r="E20" s="438" t="s">
        <v>334</v>
      </c>
      <c r="F20" s="438" t="s">
        <v>334</v>
      </c>
      <c r="G20" s="438" t="s">
        <v>334</v>
      </c>
      <c r="H20" s="837" t="s">
        <v>334</v>
      </c>
      <c r="I20" s="439">
        <v>0</v>
      </c>
      <c r="AT20" s="42">
        <f>UPS!U37</f>
        <v>18</v>
      </c>
    </row>
    <row r="21" spans="1:48">
      <c r="A21" s="42" t="s">
        <v>13443</v>
      </c>
      <c r="B21" s="438" t="s">
        <v>839</v>
      </c>
      <c r="C21" s="438" t="s">
        <v>333</v>
      </c>
      <c r="D21" s="438" t="s">
        <v>334</v>
      </c>
      <c r="E21" s="438" t="s">
        <v>334</v>
      </c>
      <c r="F21" s="438" t="s">
        <v>334</v>
      </c>
      <c r="G21" s="438" t="s">
        <v>334</v>
      </c>
      <c r="H21" s="837" t="s">
        <v>334</v>
      </c>
      <c r="I21" s="439">
        <v>0</v>
      </c>
      <c r="AT21" s="42">
        <f>UPS!$M$37</f>
        <v>10</v>
      </c>
    </row>
    <row r="22" spans="1:48">
      <c r="A22" s="42" t="s">
        <v>13444</v>
      </c>
      <c r="B22" s="438" t="s">
        <v>861</v>
      </c>
      <c r="C22" s="438" t="s">
        <v>333</v>
      </c>
      <c r="D22" s="438" t="s">
        <v>334</v>
      </c>
      <c r="E22" s="438" t="s">
        <v>334</v>
      </c>
      <c r="F22" s="438" t="s">
        <v>334</v>
      </c>
      <c r="G22" s="438" t="s">
        <v>334</v>
      </c>
      <c r="H22" s="837" t="s">
        <v>334</v>
      </c>
      <c r="I22" s="439">
        <v>0</v>
      </c>
      <c r="AT22" s="42">
        <f>UPS!$F$37</f>
        <v>3</v>
      </c>
    </row>
    <row r="23" spans="1:48">
      <c r="A23" s="42" t="s">
        <v>13445</v>
      </c>
      <c r="B23" s="438" t="s">
        <v>1136</v>
      </c>
      <c r="C23" s="438" t="s">
        <v>333</v>
      </c>
      <c r="D23" s="438" t="s">
        <v>334</v>
      </c>
      <c r="E23" s="438" t="s">
        <v>334</v>
      </c>
      <c r="F23" s="438" t="s">
        <v>334</v>
      </c>
      <c r="G23" s="438" t="s">
        <v>334</v>
      </c>
      <c r="H23" s="837" t="s">
        <v>334</v>
      </c>
      <c r="I23" s="439">
        <v>0</v>
      </c>
      <c r="AT23" s="42">
        <f>UPS!$Q$37</f>
        <v>14</v>
      </c>
    </row>
    <row r="24" spans="1:48">
      <c r="A24" s="42" t="s">
        <v>13446</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4" ca="1" si="13">IF(A26="*","",VLOOKUP("*#"&amp;AS26,$A$9:$B$24,2,FALSE))</f>
        <v>ACT_COST</v>
      </c>
      <c r="C26" s="440" t="str">
        <f ca="1">IF($A26="*","",OFFSET(ITEMS_UPS!$C$8,AR26,0))</f>
        <v>UREFOCRCO-E</v>
      </c>
      <c r="D26" s="440" t="str">
        <f ca="1">IF($A26="*","",IF(VLOOKUP("*#"&amp;$AS26,$A$10:$I$24,D$9+1,FALSE)="-","-",OFFSET(UPS!$C$37,AU26+AV26,SUMIF($A$10:$A$20,"*#"&amp;AS26,$AT$10:$AT$20))))</f>
        <v>-</v>
      </c>
      <c r="E26" s="440" t="str">
        <f t="shared" ref="E26:E44" ca="1" si="14">IF($A26="*","",IF(VLOOKUP("*#"&amp;$AS26,$A$10:$I$24,E$9+1,FALSE)="-","-",C26&amp;"-"&amp;RIGHT(VLOOKUP("*#"&amp;$AS26,$A$10:$I$24,E$9+1,FALSE),1)))</f>
        <v>-</v>
      </c>
      <c r="F26" s="440" t="str">
        <f t="shared" ref="F26:F44" ca="1" si="15">IF($A26="*","",IF(VLOOKUP("*#"&amp;$AS26,$A$10:$I$24,F$9+1,FALSE)="-","-",C26&amp;"-"&amp;RIGHT(VLOOKUP("*#"&amp;$AS26,$A$10:$I$24,F$9+1,FALSE),1)))</f>
        <v>-</v>
      </c>
      <c r="G26" s="440" t="str">
        <f t="shared" ref="G26:G44" ca="1" si="16">IF($A26="*","",VLOOKUP("*#"&amp;$AS26,$A$10:$I$20,G$9+1,FALSE))</f>
        <v>-</v>
      </c>
      <c r="H26" s="441" t="str">
        <f t="shared" ref="H26:H44" ca="1" si="17">IF($A26="*","",VLOOKUP("*#"&amp;$AS26,$A$10:$I$24,H$9+1,FALSE))</f>
        <v>-</v>
      </c>
      <c r="I26" s="441">
        <f t="shared" ref="I26:I44"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441" t="str">
        <f t="shared" ca="1" si="17"/>
        <v>UP</v>
      </c>
      <c r="I30" s="441">
        <f t="shared" ca="1" si="18"/>
        <v>3</v>
      </c>
      <c r="J30" s="163">
        <f ca="1">IF($A30="*","",OFFSET(UPS!$C$37,AU30,SUMIF($A$10:$A$20,"*#"&amp;AS30,$AT$10:$AT$20)))</f>
        <v>0</v>
      </c>
      <c r="K30" s="163"/>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c r="B44" s="440" t="str">
        <f t="shared" si="13"/>
        <v>PRC_RESID</v>
      </c>
      <c r="C44" s="440" t="str">
        <f ca="1">IF($A44="*","",OFFSET(ITEMS_UPS!$C$8,AR44,0))</f>
        <v>UREFOCRCO-E</v>
      </c>
      <c r="D44" s="440" t="str">
        <f ca="1">IF($A44="*","",IF(VLOOKUP("*#"&amp;$AS44,$A$10:$I$24,D$9+1,FALSE)="-","-",OFFSET(UPS!$C$37,AU44+AV44,SUMIF($A$10:$A$20,"*#"&amp;AS44,$AT$10:$AT$20))))</f>
        <v>-</v>
      </c>
      <c r="E44" s="440" t="str">
        <f t="shared" si="14"/>
        <v>-</v>
      </c>
      <c r="F44" s="440" t="str">
        <f t="shared" si="15"/>
        <v>-</v>
      </c>
      <c r="G44" s="440" t="str">
        <f t="shared" si="16"/>
        <v>-</v>
      </c>
      <c r="H44" s="441" t="str">
        <f t="shared" si="17"/>
        <v>-</v>
      </c>
      <c r="I44" s="441">
        <f t="shared" si="18"/>
        <v>0</v>
      </c>
      <c r="J44" s="163">
        <f ca="1">IF($A44="*","",OFFSET(UPS!$C$37,$AU44,SUMIF($A$10:$A$20,"*#"&amp;$AS44,$AT$10:$AT$20)+J$8))</f>
        <v>787.96154470864383</v>
      </c>
      <c r="K44" s="163">
        <f ca="1">IF($A44="*","",OFFSET(UPS!$C$37,$AU44,SUMIF($A$10:$A$20,"*#"&amp;$AS44,$AT$10:$AT$20)+K$8))</f>
        <v>787.96154470864383</v>
      </c>
      <c r="L44" s="163">
        <f ca="1">IF($A44="*","",OFFSET(UPS!$C$37,$AU44,SUMIF($A$10:$A$20,"*#"&amp;$AS44,$AT$10:$AT$20)+L$8))</f>
        <v>787.96154470864383</v>
      </c>
      <c r="M44" s="163">
        <f ca="1">IF($A44="*","",OFFSET(UPS!$C$37,$AU44,SUMIF($A$10:$A$20,"*#"&amp;$AS44,$AT$10:$AT$20)+M$8))</f>
        <v>787.96154470864383</v>
      </c>
      <c r="N44" s="163">
        <f ca="1">IF($A44="*","",OFFSET(UPS!$C$37,$AU44,SUMIF($A$10:$A$20,"*#"&amp;$AS44,$AT$10:$AT$20)+N$8))</f>
        <v>787.96154470864383</v>
      </c>
      <c r="O44" s="163">
        <f ca="1">IF($A44="*","",OFFSET(UPS!$C$37,$AU44,SUMIF($A$10:$A$20,"*#"&amp;$AS44,$AT$10:$AT$20)+O$8))</f>
        <v>787.96154470864383</v>
      </c>
      <c r="P44" s="163">
        <f ca="1">IF($A44="*","",OFFSET(UPS!$C$37,$AU44,SUMIF($A$10:$A$20,"*#"&amp;$AS44,$AT$10:$AT$20)+P$8))</f>
        <v>787.96154470864383</v>
      </c>
      <c r="Q44" s="163">
        <f ca="1">IF($A44="*","",OFFSET(UPS!$C$37,$AU44,SUMIF($A$10:$A$20,"*#"&amp;$AS44,$AT$10:$AT$20)+Q$8))</f>
        <v>787.96154470864383</v>
      </c>
      <c r="R44" s="163">
        <f ca="1">IF($A44="*","",OFFSET(UPS!$C$37,$AU44,SUMIF($A$10:$A$20,"*#"&amp;$AS44,$AT$10:$AT$20)+R$8))</f>
        <v>271.19135381941851</v>
      </c>
      <c r="S44" s="163">
        <f ca="1">IF($A44="*","",OFFSET(UPS!$C$37,$AU44,SUMIF($A$10:$A$20,"*#"&amp;$AS44,$AT$10:$AT$20)+S$8))</f>
        <v>433.90616611106964</v>
      </c>
      <c r="T44" s="163">
        <f ca="1">IF($A44="*","",OFFSET(UPS!$C$37,$AU44,SUMIF($A$10:$A$20,"*#"&amp;$AS44,$AT$10:$AT$20)+T$8))</f>
        <v>584.56802934407995</v>
      </c>
      <c r="U44" s="163">
        <f ca="1">IF($A44="*","",OFFSET(UPS!$C$37,$AU44,SUMIF($A$10:$A$20,"*#"&amp;$AS44,$AT$10:$AT$20)+U$8))</f>
        <v>584.56802934407995</v>
      </c>
      <c r="V44" s="163">
        <f ca="1">IF($A44="*","",OFFSET(UPS!$C$37,$AU44,SUMIF($A$10:$A$20,"*#"&amp;$AS44,$AT$10:$AT$20)+V$8))</f>
        <v>584.56802934407995</v>
      </c>
      <c r="W44" s="163">
        <f ca="1">IF($A44="*","",OFFSET(UPS!$C$37,$AU44,SUMIF($A$10:$A$20,"*#"&amp;$AS44,$AT$10:$AT$20)+W$8))</f>
        <v>584.56802934407995</v>
      </c>
      <c r="X44" s="163">
        <f ca="1">IF($A44="*","",OFFSET(UPS!$C$37,$AU44,SUMIF($A$10:$A$20,"*#"&amp;$AS44,$AT$10:$AT$20)+X$8))</f>
        <v>584.56802934407995</v>
      </c>
      <c r="Y44" s="163">
        <f ca="1">IF($A44="*","",OFFSET(UPS!$C$37,$AU44,SUMIF($A$10:$A$20,"*#"&amp;$AS44,$AT$10:$AT$20)+Y$8))</f>
        <v>584.56802934407995</v>
      </c>
      <c r="Z44" s="163">
        <f ca="1">IF($A44="*","",OFFSET(UPS!$C$37,$AU44,SUMIF($A$10:$A$20,"*#"&amp;$AS44,$AT$10:$AT$20)+Z$8))</f>
        <v>584.56802934407995</v>
      </c>
      <c r="AA44" s="163">
        <f ca="1">IF($A44="*","",OFFSET(UPS!$C$37,$AU44,SUMIF($A$10:$A$20,"*#"&amp;$AS44,$AT$10:$AT$20)+AA$8))</f>
        <v>584.56802934407995</v>
      </c>
      <c r="AB44" s="163">
        <f ca="1">IF($A44="*","",OFFSET(UPS!$C$37,$AU44,SUMIF($A$10:$A$20,"*#"&amp;$AS44,$AT$10:$AT$20)+AB$8))</f>
        <v>584.56802934407995</v>
      </c>
      <c r="AC44" s="163">
        <f ca="1">IF($A44="*","",OFFSET(UPS!$C$37,$AU44,SUMIF($A$10:$A$20,"*#"&amp;$AS44,$AT$10:$AT$20)+AC$8))</f>
        <v>584.56802934407995</v>
      </c>
      <c r="AD44" s="163">
        <f ca="1">IF($A44="*","",OFFSET(UPS!$C$37,$AU44,SUMIF($A$10:$A$20,"*#"&amp;$AS44,$AT$10:$AT$20)+AD$8))</f>
        <v>584.56802934407995</v>
      </c>
      <c r="AE44" s="163">
        <f ca="1">IF($A44="*","",OFFSET(UPS!$C$37,$AU44,SUMIF($A$10:$A$20,"*#"&amp;$AS44,$AT$10:$AT$20)+AE$8))</f>
        <v>584.56802934407995</v>
      </c>
      <c r="AF44" s="163">
        <f ca="1">IF($A44="*","",OFFSET(UPS!$C$37,$AU44,SUMIF($A$10:$A$20,"*#"&amp;$AS44,$AT$10:$AT$20)+AF$8))</f>
        <v>584.56802934407995</v>
      </c>
      <c r="AG44" s="163">
        <f ca="1">IF($A44="*","",OFFSET(UPS!$C$37,$AU44,SUMIF($A$10:$A$20,"*#"&amp;$AS44,$AT$10:$AT$20)+AG$8))</f>
        <v>584.56802934407995</v>
      </c>
      <c r="AH44" s="163">
        <f ca="1">IF($A44="*","",OFFSET(UPS!$C$37,$AU44,SUMIF($A$10:$A$20,"*#"&amp;$AS44,$AT$10:$AT$20)+AH$8))</f>
        <v>584.56802934407995</v>
      </c>
      <c r="AI44" s="163">
        <f ca="1">IF($A44="*","",OFFSET(UPS!$C$37,$AU44,SUMIF($A$10:$A$20,"*#"&amp;$AS44,$AT$10:$AT$20)+AI$8))</f>
        <v>584.56802934407995</v>
      </c>
      <c r="AJ44" s="163">
        <f ca="1">IF($A44="*","",OFFSET(UPS!$C$37,$AU44,SUMIF($A$10:$A$20,"*#"&amp;$AS44,$AT$10:$AT$20)+AJ$8))</f>
        <v>584.56802934407995</v>
      </c>
      <c r="AK44" s="163">
        <f ca="1">IF($A44="*","",OFFSET(UPS!$C$37,$AU44,SUMIF($A$10:$A$20,"*#"&amp;$AS44,$AT$10:$AT$20)+AK$8))</f>
        <v>584.56802934407995</v>
      </c>
      <c r="AL44" s="163">
        <f ca="1">IF($A44="*","",OFFSET(UPS!$C$37,$AU44,SUMIF($A$10:$A$20,"*#"&amp;$AS44,$AT$10:$AT$20)+AL$8))</f>
        <v>584.56802934407995</v>
      </c>
      <c r="AM44" s="163">
        <f ca="1">IF($A44="*","",OFFSET(UPS!$C$37,$AU44,SUMIF($A$10:$A$20,"*#"&amp;$AS44,$AT$10:$AT$20)+AM$8))</f>
        <v>584.56802934407995</v>
      </c>
      <c r="AN44" s="163">
        <f ca="1">IF($A44="*","",OFFSET(UPS!$C$37,$AU44,SUMIF($A$10:$A$20,"*#"&amp;$AS44,$AT$10:$AT$20)+AN$8))</f>
        <v>584.56802934407995</v>
      </c>
      <c r="AO44" s="163">
        <f ca="1">IF($A44="*","",OFFSET(UPS!$C$37,$AU44,SUMIF($A$10:$A$20,"*#"&amp;$AS44,$AT$10:$AT$20)+AO$8))</f>
        <v>584.56802934407995</v>
      </c>
      <c r="AP44" s="163">
        <f ca="1">IF($A44="*","",OFFSET(UPS!$C$37,$AU44,SUMIF($A$10:$A$20,"*#"&amp;$AS44,$AT$10:$AT$20)+AP$8))</f>
        <v>584.56802934407995</v>
      </c>
      <c r="AR44" s="42">
        <f>AR43</f>
        <v>1</v>
      </c>
      <c r="AS44" s="42">
        <f>AS43+1</f>
        <v>11</v>
      </c>
      <c r="AU44" s="42">
        <f ca="1">SUMIF(UPS!B$38:B$171,C44,UPS!BD$38:BD$171)</f>
        <v>1</v>
      </c>
    </row>
    <row r="45" spans="1:48">
      <c r="A45" s="42" t="s">
        <v>310</v>
      </c>
      <c r="B45" s="440" t="str">
        <f>IF(A45="*","",VLOOKUP("*"&amp;AS45,$A$9:$B$24,2,FALSE))</f>
        <v/>
      </c>
      <c r="C45" s="440"/>
      <c r="D45" s="440"/>
      <c r="E45" s="440"/>
      <c r="F45" s="440"/>
      <c r="G45" s="440"/>
      <c r="H45" s="441"/>
      <c r="I45" s="441"/>
      <c r="J45" s="163"/>
      <c r="K45" s="163"/>
    </row>
    <row r="46" spans="1:48">
      <c r="B46" s="440" t="str">
        <f t="shared" ref="B46:B64" si="23">IF(A46="*","",VLOOKUP("*#"&amp;AS46,$A$9:$B$24,2,FALSE))</f>
        <v>ACT_COST</v>
      </c>
      <c r="C46" s="440" t="str">
        <f ca="1">IF($A46="*","",OFFSET(ITEMS_UPS!$C$8,AR46,0))</f>
        <v>UREFOCRIN-E</v>
      </c>
      <c r="D46" s="440" t="str">
        <f ca="1">IF($A46="*","",IF(VLOOKUP("*#"&amp;$AS46,$A$10:$I$24,D$9+1,FALSE)="-","-",OFFSET(UPS!$C$37,AU46+AV46,SUMIF($A$10:$A$20,"*#"&amp;AS46,$AT$10:$AT$20))))</f>
        <v>-</v>
      </c>
      <c r="E46" s="440" t="str">
        <f t="shared" ref="E46:E64" si="24">IF($A46="*","",IF(VLOOKUP("*#"&amp;$AS46,$A$10:$I$24,E$9+1,FALSE)="-","-",C46&amp;"-"&amp;RIGHT(VLOOKUP("*#"&amp;$AS46,$A$10:$I$24,E$9+1,FALSE),1)))</f>
        <v>-</v>
      </c>
      <c r="F46" s="440" t="str">
        <f t="shared" ref="F46:F64" si="25">IF($A46="*","",IF(VLOOKUP("*#"&amp;$AS46,$A$10:$I$24,F$9+1,FALSE)="-","-",C46&amp;"-"&amp;RIGHT(VLOOKUP("*#"&amp;$AS46,$A$10:$I$24,F$9+1,FALSE),1)))</f>
        <v>-</v>
      </c>
      <c r="G46" s="440" t="str">
        <f t="shared" ref="G46:G64" si="26">IF($A46="*","",VLOOKUP("*#"&amp;$AS46,$A$10:$I$20,G$9+1,FALSE))</f>
        <v>-</v>
      </c>
      <c r="H46" s="441" t="str">
        <f t="shared" ref="H46:H64" si="27">IF($A46="*","",VLOOKUP("*#"&amp;$AS46,$A$10:$I$24,H$9+1,FALSE))</f>
        <v>-</v>
      </c>
      <c r="I46" s="441">
        <f t="shared" ref="I46:I64" si="28">IF($A46="*","",VLOOKUP("*#"&amp;$AS46,$A$10:$I$20,I$9+1,FALSE))</f>
        <v>0</v>
      </c>
      <c r="J46" s="163">
        <f ca="1">IF($A46="*","",OFFSET(UPS!$C$37,AU46,SUMIF($A$10:$A$20,"*#"&amp;AS46,$AT$10:$AT$20)))</f>
        <v>19.837857647588002</v>
      </c>
      <c r="K46" s="163"/>
      <c r="AR46" s="42">
        <v>2</v>
      </c>
      <c r="AS46" s="42">
        <v>1</v>
      </c>
      <c r="AU46" s="42">
        <f ca="1">SUMIF(UPS!B$38:B$171,C46,UPS!BD$38:BD$171)</f>
        <v>12</v>
      </c>
    </row>
    <row r="47" spans="1:48">
      <c r="B47" s="440" t="str">
        <f t="shared" si="23"/>
        <v>NCAP_AFA</v>
      </c>
      <c r="C47" s="440" t="str">
        <f ca="1">IF($A47="*","",OFFSET(ITEMS_UPS!$C$8,AR47,0))</f>
        <v>UREFOCRIN-E</v>
      </c>
      <c r="D47" s="440" t="str">
        <f ca="1">IF($A47="*","",IF(VLOOKUP("*#"&amp;$AS47,$A$10:$I$24,D$9+1,FALSE)="-","-",OFFSET(UPS!$C$37,AU47+AV47,SUMIF($A$10:$A$20,"*#"&amp;AS47,$AT$10:$AT$20))))</f>
        <v>-</v>
      </c>
      <c r="E47" s="440" t="str">
        <f t="shared" si="24"/>
        <v>-</v>
      </c>
      <c r="F47" s="440" t="str">
        <f t="shared" si="25"/>
        <v>-</v>
      </c>
      <c r="G47" s="440" t="str">
        <f t="shared" si="26"/>
        <v>ANNUAL</v>
      </c>
      <c r="H47" s="441" t="str">
        <f t="shared" si="27"/>
        <v>UP</v>
      </c>
      <c r="I47" s="441">
        <f t="shared" si="28"/>
        <v>3</v>
      </c>
      <c r="J47" s="163">
        <f ca="1">IF($A47="*","",OFFSET(UPS!$C$37,AU47,SUMIF($A$10:$A$20,"*#"&amp;AS47,$AT$10:$AT$20)))</f>
        <v>0.95890410958904104</v>
      </c>
      <c r="K47" s="163"/>
      <c r="AR47" s="42">
        <f t="shared" ref="AR47:AR61" si="29">AR46</f>
        <v>2</v>
      </c>
      <c r="AS47" s="42">
        <f t="shared" ref="AS47:AS52" si="30">IF(AR47=AR46,AS46+1,1)</f>
        <v>2</v>
      </c>
      <c r="AU47" s="42">
        <f ca="1">SUMIF(UPS!B$38:B$171,C47,UPS!BD$38:BD$171)</f>
        <v>12</v>
      </c>
    </row>
    <row r="48" spans="1:48" ht="15">
      <c r="B48" s="440" t="str">
        <f t="shared" si="23"/>
        <v>NCAP_AFA</v>
      </c>
      <c r="C48" s="440" t="str">
        <f ca="1">IF($A48="*","",OFFSET(ITEMS_UPS!$C$8,AR48,0))</f>
        <v>UREFOCRIN-E</v>
      </c>
      <c r="D48" s="440" t="str">
        <f ca="1">IF($A48="*","",IF(VLOOKUP("*#"&amp;$AS48,$A$10:$I$24,D$9+1,FALSE)="-","-",OFFSET(UPS!$C$37,AU48+AV48,SUMIF($A$10:$A$20,"*#"&amp;AS48,$AT$10:$AT$20))))</f>
        <v>-</v>
      </c>
      <c r="E48" s="440" t="str">
        <f t="shared" si="24"/>
        <v>-</v>
      </c>
      <c r="F48" s="440" t="str">
        <f t="shared" si="25"/>
        <v>-</v>
      </c>
      <c r="G48" s="440" t="str">
        <f t="shared" si="26"/>
        <v>ANNUAL</v>
      </c>
      <c r="H48" s="441" t="str">
        <f t="shared" si="27"/>
        <v>LO</v>
      </c>
      <c r="I48" s="441">
        <f t="shared" si="28"/>
        <v>3</v>
      </c>
      <c r="J48" s="163">
        <f ca="1">IF($A48="*","",OFFSET(UPS!$C$37,AU48,SUMIF($A$10:$A$20,"*#"&amp;AS48,$AT$10:$AT$20)))</f>
        <v>0.91095890410958891</v>
      </c>
      <c r="K48" s="163"/>
      <c r="O48" s="42">
        <f ca="1">J48</f>
        <v>0.91095890410958891</v>
      </c>
      <c r="AB48" s="42">
        <f ca="1">O48</f>
        <v>0.91095890410958891</v>
      </c>
      <c r="AC48" s="1652">
        <f ca="1">AB48</f>
        <v>0.91095890410958891</v>
      </c>
      <c r="AN48" s="872">
        <f ca="1">AC48</f>
        <v>0.91095890410958891</v>
      </c>
      <c r="AP48" s="872">
        <f ca="1">AN48</f>
        <v>0.91095890410958891</v>
      </c>
      <c r="AR48" s="42">
        <f t="shared" si="29"/>
        <v>2</v>
      </c>
      <c r="AS48" s="42">
        <f t="shared" si="30"/>
        <v>3</v>
      </c>
      <c r="AU48" s="42">
        <f ca="1">SUMIF(UPS!B$38:B$171,C48,UPS!BD$38:BD$171)</f>
        <v>12</v>
      </c>
    </row>
    <row r="49" spans="2:48">
      <c r="B49" s="440" t="str">
        <f t="shared" si="23"/>
        <v>NCAP_FOM</v>
      </c>
      <c r="C49" s="440" t="str">
        <f ca="1">IF($A49="*","",OFFSET(ITEMS_UPS!$C$8,AR49,0))</f>
        <v>UREFOCRIN-E</v>
      </c>
      <c r="D49" s="440" t="str">
        <f ca="1">IF($A49="*","",IF(VLOOKUP("*#"&amp;$AS49,$A$10:$I$24,D$9+1,FALSE)="-","-",OFFSET(UPS!$C$37,AU49+AV49,SUMIF($A$10:$A$20,"*#"&amp;AS49,$AT$10:$AT$20))))</f>
        <v>-</v>
      </c>
      <c r="E49" s="440" t="str">
        <f t="shared" si="24"/>
        <v>-</v>
      </c>
      <c r="F49" s="440" t="str">
        <f t="shared" si="25"/>
        <v>-</v>
      </c>
      <c r="G49" s="440" t="str">
        <f t="shared" si="26"/>
        <v>-</v>
      </c>
      <c r="H49" s="441" t="str">
        <f t="shared" si="27"/>
        <v>-</v>
      </c>
      <c r="I49" s="441">
        <f t="shared" si="28"/>
        <v>0</v>
      </c>
      <c r="J49" s="163">
        <f ca="1">IF($A49="*","",OFFSET(UPS!$C$37,AU49,SUMIF($A$10:$A$20,"*#"&amp;AS49,$AT$10:$AT$20)))</f>
        <v>0</v>
      </c>
      <c r="K49" s="163"/>
      <c r="AR49" s="42">
        <f t="shared" si="29"/>
        <v>2</v>
      </c>
      <c r="AS49" s="42">
        <f t="shared" si="30"/>
        <v>4</v>
      </c>
      <c r="AU49" s="42">
        <f ca="1">SUMIF(UPS!B$38:B$171,C49,UPS!BD$38:BD$171)</f>
        <v>12</v>
      </c>
    </row>
    <row r="50" spans="2:48">
      <c r="B50" s="440" t="str">
        <f t="shared" si="23"/>
        <v>NCAP_BND</v>
      </c>
      <c r="C50" s="440" t="str">
        <f ca="1">IF($A50="*","",OFFSET(ITEMS_UPS!$C$8,AR50,0))</f>
        <v>UREFOCRIN-E</v>
      </c>
      <c r="D50" s="440" t="str">
        <f ca="1">IF($A50="*","",IF(VLOOKUP("*#"&amp;$AS50,$A$10:$I$24,D$9+1,FALSE)="-","-",OFFSET(UPS!$C$37,AU50+AV50,SUMIF($A$10:$A$20,"*#"&amp;AS50,$AT$10:$AT$20))))</f>
        <v>-</v>
      </c>
      <c r="E50" s="440" t="str">
        <f t="shared" si="24"/>
        <v>-</v>
      </c>
      <c r="F50" s="440" t="str">
        <f t="shared" si="25"/>
        <v>-</v>
      </c>
      <c r="G50" s="440" t="str">
        <f t="shared" si="26"/>
        <v>-</v>
      </c>
      <c r="H50" s="441" t="str">
        <f t="shared" si="27"/>
        <v>UP</v>
      </c>
      <c r="I50" s="441">
        <f t="shared" si="28"/>
        <v>3</v>
      </c>
      <c r="J50" s="163">
        <f ca="1">IF($A50="*","",OFFSET(UPS!$C$37,AU50,SUMIF($A$10:$A$20,"*#"&amp;AS50,$AT$10:$AT$20)))</f>
        <v>0</v>
      </c>
      <c r="K50" s="163"/>
      <c r="AR50" s="42">
        <f>AR48</f>
        <v>2</v>
      </c>
      <c r="AS50" s="42">
        <f t="shared" si="30"/>
        <v>5</v>
      </c>
      <c r="AU50" s="42">
        <f ca="1">SUMIF(UPS!B$38:B$171,C50,UPS!BD$38:BD$171)</f>
        <v>12</v>
      </c>
    </row>
    <row r="51" spans="2:48">
      <c r="B51" s="440" t="str">
        <f t="shared" si="23"/>
        <v>FLO_FUNC</v>
      </c>
      <c r="C51" s="440" t="str">
        <f ca="1">IF($A51="*","",OFFSET(ITEMS_UPS!$C$8,AR51,0))</f>
        <v>UREFOCRIN-E</v>
      </c>
      <c r="D51" s="440" t="str">
        <f ca="1">IF($A51="*","",IF(VLOOKUP("*#"&amp;$AS51,$A$10:$I$24,D$9+1,FALSE)="-","-",OFFSET(UPS!$C$37,AU51+AV51,SUMIF($A$10:$A$20,"*#"&amp;AS51,$AT$10:$AT$20))))</f>
        <v>-</v>
      </c>
      <c r="E51" s="440" t="str">
        <f t="shared" ca="1" si="24"/>
        <v>UREFOCRIN-E-I</v>
      </c>
      <c r="F51" s="440" t="str">
        <f t="shared" ca="1" si="25"/>
        <v>UREFOCRIN-E-O</v>
      </c>
      <c r="G51" s="440" t="str">
        <f t="shared" si="26"/>
        <v>ANNUAL</v>
      </c>
      <c r="H51" s="441" t="str">
        <f t="shared" si="27"/>
        <v>-</v>
      </c>
      <c r="I51" s="441">
        <f t="shared" si="28"/>
        <v>0</v>
      </c>
      <c r="J51" s="163">
        <f ca="1">IF($A51="*","",OFFSET(UPS!$C$37,AU51,SUMIF($A$10:$A$20,"*#"&amp;AS51,$AT$10:$AT$20)))</f>
        <v>0.96</v>
      </c>
      <c r="K51" s="163"/>
      <c r="AR51" s="42">
        <f t="shared" si="29"/>
        <v>2</v>
      </c>
      <c r="AS51" s="42">
        <f t="shared" si="30"/>
        <v>6</v>
      </c>
      <c r="AU51" s="42">
        <f ca="1">SUMIF(UPS!B$38:B$171,C51,UPS!BD$38:BD$171)</f>
        <v>12</v>
      </c>
    </row>
    <row r="52" spans="2:48">
      <c r="B52" s="440" t="str">
        <f t="shared" si="23"/>
        <v>FLO_SHAR</v>
      </c>
      <c r="C52" s="440" t="str">
        <f ca="1">IF($A52="*","",OFFSET(ITEMS_UPS!$C$8,AR52,0))</f>
        <v>UREFOCRIN-E</v>
      </c>
      <c r="D52" s="440" t="str">
        <f ca="1">IF($A52="*","",IF(VLOOKUP("*#"&amp;$AS52,$A$10:$I$24,D$9+1,FALSE)="-","-",OFFSET(UPS!$C$37,AU52+AV52,SUMIF($A$10:$A$20,"*#"&amp;AS52,$AT$10:$AT$20))))</f>
        <v>UPSOCR</v>
      </c>
      <c r="E52" s="440" t="str">
        <f t="shared" ca="1" si="24"/>
        <v>UREFOCRIN-E-I</v>
      </c>
      <c r="F52" s="440" t="str">
        <f t="shared" si="25"/>
        <v>-</v>
      </c>
      <c r="G52" s="440" t="str">
        <f t="shared" si="26"/>
        <v>ANNUAL</v>
      </c>
      <c r="H52" s="441" t="str">
        <f t="shared" si="27"/>
        <v>FX</v>
      </c>
      <c r="I52" s="441">
        <f t="shared" si="28"/>
        <v>3</v>
      </c>
      <c r="J52" s="163">
        <f ca="1">IF($A52="*","",OFFSET(UPS!$C$37,AU52+AV52,SUMIF($A$10:$A$20,"*#"&amp;AS52,$AV$10:$AV$20)))</f>
        <v>0.99483799404453233</v>
      </c>
      <c r="K52" s="163"/>
      <c r="AR52" s="42">
        <f t="shared" si="29"/>
        <v>2</v>
      </c>
      <c r="AS52" s="42">
        <f t="shared" si="30"/>
        <v>7</v>
      </c>
      <c r="AU52" s="42">
        <f ca="1">SUMIF(UPS!B$38:B$171,C52,UPS!BD$38:BD$171)</f>
        <v>12</v>
      </c>
      <c r="AV52" s="42">
        <v>0</v>
      </c>
    </row>
    <row r="53" spans="2:48">
      <c r="B53" s="440" t="str">
        <f t="shared" si="23"/>
        <v>FLO_SHAR</v>
      </c>
      <c r="C53" s="440" t="str">
        <f ca="1">IF($A53="*","",OFFSET(ITEMS_UPS!$C$8,AR53,0))</f>
        <v>UREFOCRIN-E</v>
      </c>
      <c r="D53" s="440" t="str">
        <f ca="1">IF($A53="*","",IF(VLOOKUP("*#"&amp;$AS53,$A$10:$I$24,D$9+1,FALSE)="-","-",OFFSET(UPS!$C$37,AU53+AV53,SUMIF($A$10:$A$20,"*#"&amp;AS53,$AT$10:$AT$20))))</f>
        <v>UPSGAS</v>
      </c>
      <c r="E53" s="440" t="str">
        <f t="shared" ca="1" si="24"/>
        <v>UREFOCRIN-E-I</v>
      </c>
      <c r="F53" s="440" t="str">
        <f t="shared" si="25"/>
        <v>-</v>
      </c>
      <c r="G53" s="440" t="str">
        <f t="shared" si="26"/>
        <v>ANNUAL</v>
      </c>
      <c r="H53" s="441" t="str">
        <f t="shared" si="27"/>
        <v>FX</v>
      </c>
      <c r="I53" s="441">
        <f t="shared" si="28"/>
        <v>3</v>
      </c>
      <c r="J53" s="163">
        <f ca="1">IF($A53="*","",OFFSET(UPS!$C$37,AU53+AV53,SUMIF($A$10:$A$20,"*#"&amp;AS53,$AV$10:$AV$20)))</f>
        <v>0</v>
      </c>
      <c r="K53" s="163"/>
      <c r="AR53" s="42">
        <f t="shared" si="29"/>
        <v>2</v>
      </c>
      <c r="AS53" s="42">
        <f>AS52</f>
        <v>7</v>
      </c>
      <c r="AU53" s="42">
        <f ca="1">SUMIF(UPS!B$38:B$171,C53,UPS!BD$38:BD$171)</f>
        <v>12</v>
      </c>
      <c r="AV53" s="42">
        <f>AV52+1</f>
        <v>1</v>
      </c>
    </row>
    <row r="54" spans="2:48">
      <c r="B54" s="440" t="str">
        <f t="shared" si="23"/>
        <v>FLO_SHAR</v>
      </c>
      <c r="C54" s="440" t="str">
        <f ca="1">IF($A54="*","",OFFSET(ITEMS_UPS!$C$8,AR54,0))</f>
        <v>UREFOCRIN-E</v>
      </c>
      <c r="D54" s="440" t="str">
        <f ca="1">IF($A54="*","",IF(VLOOKUP("*#"&amp;$AS54,$A$10:$I$24,D$9+1,FALSE)="-","-",OFFSET(UPS!$C$37,AU54+AV54,SUMIF($A$10:$A$20,"*#"&amp;AS54,$AT$10:$AT$20))))</f>
        <v>UPSELC</v>
      </c>
      <c r="E54" s="440" t="str">
        <f t="shared" ca="1" si="24"/>
        <v>UREFOCRIN-E-I</v>
      </c>
      <c r="F54" s="440" t="str">
        <f t="shared" si="25"/>
        <v>-</v>
      </c>
      <c r="G54" s="440" t="str">
        <f t="shared" si="26"/>
        <v>ANNUAL</v>
      </c>
      <c r="H54" s="441" t="str">
        <f t="shared" si="27"/>
        <v>FX</v>
      </c>
      <c r="I54" s="441">
        <f t="shared" si="28"/>
        <v>3</v>
      </c>
      <c r="J54" s="163">
        <f ca="1">IF($A54="*","",OFFSET(UPS!$C$37,AU54+AV54,SUMIF($A$10:$A$20,"*#"&amp;AS54,$AV$10:$AV$20)))</f>
        <v>5.1620059554676745E-3</v>
      </c>
      <c r="K54" s="163"/>
      <c r="AR54" s="42">
        <f t="shared" si="29"/>
        <v>2</v>
      </c>
      <c r="AS54" s="42">
        <f>AS53</f>
        <v>7</v>
      </c>
      <c r="AU54" s="42">
        <f ca="1">SUMIF(UPS!B$38:B$171,C54,UPS!BD$38:BD$171)</f>
        <v>12</v>
      </c>
      <c r="AV54" s="42">
        <f>AV53+1</f>
        <v>2</v>
      </c>
    </row>
    <row r="55" spans="2:48">
      <c r="B55" s="440" t="str">
        <f t="shared" si="23"/>
        <v>FLO_SHAR</v>
      </c>
      <c r="C55" s="440" t="str">
        <f ca="1">IF($A55="*","",OFFSET(ITEMS_UPS!$C$8,AR55,0))</f>
        <v>UREFOCRIN-E</v>
      </c>
      <c r="D55" s="440" t="str">
        <f ca="1">IF($A55="*","",IF(VLOOKUP("*#"&amp;$AS55,$A$10:$I$24,D$9+1,FALSE)="-","-",OFFSET(UPS!$C$37,AU55+AV55,SUMIF($A$10:$A$20,"*#"&amp;AS55,$AT$10:$AT$20))))</f>
        <v>OAG</v>
      </c>
      <c r="E55" s="440" t="str">
        <f t="shared" ca="1" si="24"/>
        <v>UREFOCRIN-E-O</v>
      </c>
      <c r="F55" s="440" t="str">
        <f t="shared" si="25"/>
        <v>-</v>
      </c>
      <c r="G55" s="440" t="str">
        <f t="shared" si="26"/>
        <v>ANNUAL</v>
      </c>
      <c r="H55" s="441" t="str">
        <f t="shared" si="27"/>
        <v>UP</v>
      </c>
      <c r="I55" s="441">
        <f t="shared" si="28"/>
        <v>3</v>
      </c>
      <c r="J55" s="163">
        <f ca="1">IF($A55="*","",OFFSET(UPS!$C$37,AU55+AV55,SUMIF($A$10:$A$20,"*#"&amp;AS55,$AV$10:$AV$20)))</f>
        <v>0</v>
      </c>
      <c r="K55" s="163"/>
      <c r="AR55" s="42">
        <f t="shared" si="29"/>
        <v>2</v>
      </c>
      <c r="AS55" s="42">
        <f>IF(AR55=AR54,AS54+1,1)</f>
        <v>8</v>
      </c>
      <c r="AU55" s="42">
        <f ca="1">SUMIF(UPS!B$38:B$171,C55,UPS!BD$38:BD$171)</f>
        <v>12</v>
      </c>
      <c r="AV55" s="42">
        <f t="shared" ref="AV55:AV61" si="31">AV54+1</f>
        <v>3</v>
      </c>
    </row>
    <row r="56" spans="2:48">
      <c r="B56" s="440" t="str">
        <f t="shared" si="23"/>
        <v>FLO_SHAR</v>
      </c>
      <c r="C56" s="440" t="str">
        <f ca="1">IF($A56="*","",OFFSET(ITEMS_UPS!$C$8,AR56,0))</f>
        <v>UREFOCRIN-E</v>
      </c>
      <c r="D56" s="440" t="str">
        <f ca="1">IF($A56="*","",IF(VLOOKUP("*#"&amp;$AS56,$A$10:$I$24,D$9+1,FALSE)="-","-",OFFSET(UPS!$C$37,AU56+AV56,SUMIF($A$10:$A$20,"*#"&amp;AS56,$AT$10:$AT$20))))</f>
        <v>ODS</v>
      </c>
      <c r="E56" s="440" t="str">
        <f t="shared" ca="1" si="24"/>
        <v>UREFOCRIN-E-O</v>
      </c>
      <c r="F56" s="440" t="str">
        <f t="shared" si="25"/>
        <v>-</v>
      </c>
      <c r="G56" s="440" t="str">
        <f t="shared" si="26"/>
        <v>ANNUAL</v>
      </c>
      <c r="H56" s="441" t="str">
        <f t="shared" si="27"/>
        <v>UP</v>
      </c>
      <c r="I56" s="441">
        <f t="shared" si="28"/>
        <v>3</v>
      </c>
      <c r="J56" s="163">
        <f ca="1">IF($A56="*","",OFFSET(UPS!$C$37,AU56+AV56,SUMIF($A$10:$A$20,"*#"&amp;AS56,$AV$10:$AV$20)))</f>
        <v>0.38519100880852519</v>
      </c>
      <c r="K56" s="163"/>
      <c r="AR56" s="42">
        <f t="shared" si="29"/>
        <v>2</v>
      </c>
      <c r="AS56" s="42">
        <f t="shared" ref="AS56:AS61" si="32">AS55</f>
        <v>8</v>
      </c>
      <c r="AU56" s="42">
        <f ca="1">SUMIF(UPS!B$38:B$171,C56,UPS!BD$38:BD$171)</f>
        <v>12</v>
      </c>
      <c r="AV56" s="42">
        <f t="shared" si="31"/>
        <v>4</v>
      </c>
    </row>
    <row r="57" spans="2:48">
      <c r="B57" s="440" t="str">
        <f t="shared" si="23"/>
        <v>FLO_SHAR</v>
      </c>
      <c r="C57" s="440" t="str">
        <f ca="1">IF($A57="*","",OFFSET(ITEMS_UPS!$C$8,AR57,0))</f>
        <v>UREFOCRIN-E</v>
      </c>
      <c r="D57" s="440" t="str">
        <f ca="1">IF($A57="*","",IF(VLOOKUP("*#"&amp;$AS57,$A$10:$I$24,D$9+1,FALSE)="-","-",OFFSET(UPS!$C$37,AU57+AV57,SUMIF($A$10:$A$20,"*#"&amp;AS57,$AT$10:$AT$20))))</f>
        <v>OGS</v>
      </c>
      <c r="E57" s="440" t="str">
        <f t="shared" ca="1" si="24"/>
        <v>UREFOCRIN-E-O</v>
      </c>
      <c r="F57" s="440" t="str">
        <f t="shared" si="25"/>
        <v>-</v>
      </c>
      <c r="G57" s="440" t="str">
        <f t="shared" si="26"/>
        <v>ANNUAL</v>
      </c>
      <c r="H57" s="441" t="str">
        <f t="shared" si="27"/>
        <v>UP</v>
      </c>
      <c r="I57" s="441">
        <f t="shared" si="28"/>
        <v>3</v>
      </c>
      <c r="J57" s="163">
        <f ca="1">IF($A57="*","",OFFSET(UPS!$C$37,AU57+AV57,SUMIF($A$10:$A$20,"*#"&amp;AS57,$AV$10:$AV$20)))</f>
        <v>0.32388872844513639</v>
      </c>
      <c r="K57" s="163"/>
      <c r="AR57" s="42">
        <f t="shared" si="29"/>
        <v>2</v>
      </c>
      <c r="AS57" s="42">
        <f t="shared" si="32"/>
        <v>8</v>
      </c>
      <c r="AU57" s="42">
        <f ca="1">SUMIF(UPS!B$38:B$171,C57,UPS!BD$38:BD$171)</f>
        <v>12</v>
      </c>
      <c r="AV57" s="42">
        <f t="shared" si="31"/>
        <v>5</v>
      </c>
    </row>
    <row r="58" spans="2:48">
      <c r="B58" s="440" t="str">
        <f t="shared" si="23"/>
        <v>FLO_SHAR</v>
      </c>
      <c r="C58" s="440" t="str">
        <f ca="1">IF($A58="*","",OFFSET(ITEMS_UPS!$C$8,AR58,0))</f>
        <v>UREFOCRIN-E</v>
      </c>
      <c r="D58" s="440" t="str">
        <f ca="1">IF($A58="*","",IF(VLOOKUP("*#"&amp;$AS58,$A$10:$I$24,D$9+1,FALSE)="-","-",OFFSET(UPS!$C$37,AU58+AV58,SUMIF($A$10:$A$20,"*#"&amp;AS58,$AT$10:$AT$20))))</f>
        <v>OHF</v>
      </c>
      <c r="E58" s="440" t="str">
        <f t="shared" ca="1" si="24"/>
        <v>UREFOCRIN-E-O</v>
      </c>
      <c r="F58" s="440" t="str">
        <f t="shared" si="25"/>
        <v>-</v>
      </c>
      <c r="G58" s="440" t="str">
        <f t="shared" si="26"/>
        <v>ANNUAL</v>
      </c>
      <c r="H58" s="441" t="str">
        <f t="shared" si="27"/>
        <v>UP</v>
      </c>
      <c r="I58" s="441">
        <f t="shared" si="28"/>
        <v>3</v>
      </c>
      <c r="J58" s="163">
        <f ca="1">IF($A58="*","",OFFSET(UPS!$C$37,AU58+AV58,SUMIF($A$10:$A$20,"*#"&amp;AS58,$AV$10:$AV$20)))</f>
        <v>3.70569602416869E-2</v>
      </c>
      <c r="K58" s="163"/>
      <c r="AR58" s="42">
        <f t="shared" si="29"/>
        <v>2</v>
      </c>
      <c r="AS58" s="42">
        <f t="shared" si="32"/>
        <v>8</v>
      </c>
      <c r="AU58" s="42">
        <f ca="1">SUMIF(UPS!B$38:B$171,C58,UPS!BD$38:BD$171)</f>
        <v>12</v>
      </c>
      <c r="AV58" s="42">
        <f t="shared" si="31"/>
        <v>6</v>
      </c>
    </row>
    <row r="59" spans="2:48">
      <c r="B59" s="440" t="str">
        <f t="shared" si="23"/>
        <v>FLO_SHAR</v>
      </c>
      <c r="C59" s="440" t="str">
        <f ca="1">IF($A59="*","",OFFSET(ITEMS_UPS!$C$8,AR59,0))</f>
        <v>UREFOCRIN-E</v>
      </c>
      <c r="D59" s="440" t="str">
        <f ca="1">IF($A59="*","",IF(VLOOKUP("*#"&amp;$AS59,$A$10:$I$24,D$9+1,FALSE)="-","-",OFFSET(UPS!$C$37,AU59+AV59,SUMIF($A$10:$A$20,"*#"&amp;AS59,$AT$10:$AT$20))))</f>
        <v>OKE</v>
      </c>
      <c r="E59" s="440" t="str">
        <f t="shared" ca="1" si="24"/>
        <v>UREFOCRIN-E-O</v>
      </c>
      <c r="F59" s="440" t="str">
        <f t="shared" si="25"/>
        <v>-</v>
      </c>
      <c r="G59" s="440" t="str">
        <f t="shared" si="26"/>
        <v>ANNUAL</v>
      </c>
      <c r="H59" s="441" t="str">
        <f t="shared" si="27"/>
        <v>UP</v>
      </c>
      <c r="I59" s="441">
        <f t="shared" si="28"/>
        <v>3</v>
      </c>
      <c r="J59" s="163">
        <f ca="1">IF($A59="*","",OFFSET(UPS!$C$37,AU59+AV59,SUMIF($A$10:$A$20,"*#"&amp;AS59,$AV$10:$AV$20)))</f>
        <v>0.21374627875427765</v>
      </c>
      <c r="K59" s="163"/>
      <c r="AR59" s="42">
        <f t="shared" si="29"/>
        <v>2</v>
      </c>
      <c r="AS59" s="42">
        <f t="shared" si="32"/>
        <v>8</v>
      </c>
      <c r="AU59" s="42">
        <f ca="1">SUMIF(UPS!B$38:B$171,C59,UPS!BD$38:BD$171)</f>
        <v>12</v>
      </c>
      <c r="AV59" s="42">
        <f t="shared" si="31"/>
        <v>7</v>
      </c>
    </row>
    <row r="60" spans="2:48">
      <c r="B60" s="440" t="str">
        <f t="shared" si="23"/>
        <v>FLO_SHAR</v>
      </c>
      <c r="C60" s="440" t="str">
        <f ca="1">IF($A60="*","",OFFSET(ITEMS_UPS!$C$8,AR60,0))</f>
        <v>UREFOCRIN-E</v>
      </c>
      <c r="D60" s="440" t="str">
        <f ca="1">IF($A60="*","",IF(VLOOKUP("*#"&amp;$AS60,$A$10:$I$24,D$9+1,FALSE)="-","-",OFFSET(UPS!$C$37,AU60+AV60,SUMIF($A$10:$A$20,"*#"&amp;AS60,$AT$10:$AT$20))))</f>
        <v>OLP</v>
      </c>
      <c r="E60" s="440" t="str">
        <f t="shared" ca="1" si="24"/>
        <v>UREFOCRIN-E-O</v>
      </c>
      <c r="F60" s="440" t="str">
        <f t="shared" si="25"/>
        <v>-</v>
      </c>
      <c r="G60" s="440" t="str">
        <f t="shared" si="26"/>
        <v>ANNUAL</v>
      </c>
      <c r="H60" s="441" t="str">
        <f t="shared" si="27"/>
        <v>UP</v>
      </c>
      <c r="I60" s="441">
        <f t="shared" si="28"/>
        <v>3</v>
      </c>
      <c r="J60" s="163">
        <f ca="1">IF($A60="*","",OFFSET(UPS!$C$37,AU60+AV60,SUMIF($A$10:$A$20,"*#"&amp;AS60,$AV$10:$AV$20)))</f>
        <v>2.6523977888853558E-3</v>
      </c>
      <c r="K60" s="163"/>
      <c r="AR60" s="42">
        <f t="shared" si="29"/>
        <v>2</v>
      </c>
      <c r="AS60" s="42">
        <f t="shared" si="32"/>
        <v>8</v>
      </c>
      <c r="AU60" s="42">
        <f ca="1">SUMIF(UPS!B$38:B$171,C60,UPS!BD$38:BD$171)</f>
        <v>12</v>
      </c>
      <c r="AV60" s="42">
        <f t="shared" si="31"/>
        <v>8</v>
      </c>
    </row>
    <row r="61" spans="2:48">
      <c r="B61" s="440" t="str">
        <f t="shared" si="23"/>
        <v>FLO_SHAR</v>
      </c>
      <c r="C61" s="440" t="str">
        <f ca="1">IF($A61="*","",OFFSET(ITEMS_UPS!$C$8,AR61,0))</f>
        <v>UREFOCRIN-E</v>
      </c>
      <c r="D61" s="440" t="str">
        <f ca="1">IF($A61="*","",IF(VLOOKUP("*#"&amp;$AS61,$A$10:$I$24,D$9+1,FALSE)="-","-",OFFSET(UPS!$C$37,AU61+AV61,SUMIF($A$10:$A$20,"*#"&amp;AS61,$AT$10:$AT$20))))</f>
        <v>OTH</v>
      </c>
      <c r="E61" s="440" t="str">
        <f t="shared" ca="1" si="24"/>
        <v>UREFOCRIN-E-O</v>
      </c>
      <c r="F61" s="440" t="str">
        <f t="shared" si="25"/>
        <v>-</v>
      </c>
      <c r="G61" s="440" t="str">
        <f t="shared" si="26"/>
        <v>ANNUAL</v>
      </c>
      <c r="H61" s="441" t="str">
        <f t="shared" si="27"/>
        <v>UP</v>
      </c>
      <c r="I61" s="441">
        <f t="shared" si="28"/>
        <v>3</v>
      </c>
      <c r="J61" s="163">
        <f ca="1">IF($A61="*","",OFFSET(UPS!$C$37,AU61+AV61,SUMIF($A$10:$A$20,"*#"&amp;AS61,$AV$10:$AV$20)))</f>
        <v>3.7464625961488515E-2</v>
      </c>
      <c r="K61" s="163"/>
      <c r="AR61" s="42">
        <f t="shared" si="29"/>
        <v>2</v>
      </c>
      <c r="AS61" s="42">
        <f t="shared" si="32"/>
        <v>8</v>
      </c>
      <c r="AU61" s="42">
        <f ca="1">SUMIF(UPS!B$38:B$171,C61,UPS!BD$38:BD$171)</f>
        <v>12</v>
      </c>
      <c r="AV61" s="42">
        <f t="shared" si="31"/>
        <v>9</v>
      </c>
    </row>
    <row r="62" spans="2:48">
      <c r="B62" s="440" t="str">
        <f t="shared" si="23"/>
        <v>FLO_EMIS</v>
      </c>
      <c r="C62" s="440" t="str">
        <f ca="1">IF($A62="*","",OFFSET(ITEMS_UPS!$C$8,AR62,0))</f>
        <v>UREFOCRIN-E</v>
      </c>
      <c r="D62" s="440" t="str">
        <f>$D$18</f>
        <v>UPSCO2S</v>
      </c>
      <c r="E62" s="440" t="str">
        <f t="shared" ca="1" si="24"/>
        <v>UREFOCRIN-E-O</v>
      </c>
      <c r="F62" s="440" t="str">
        <f t="shared" si="25"/>
        <v>-</v>
      </c>
      <c r="G62" s="440" t="str">
        <f t="shared" si="26"/>
        <v>ANNUAL</v>
      </c>
      <c r="H62" s="441" t="str">
        <f t="shared" si="27"/>
        <v>-</v>
      </c>
      <c r="I62" s="441">
        <f t="shared" si="28"/>
        <v>0</v>
      </c>
      <c r="J62" s="163">
        <f ca="1">IF($A62="*","",OFFSET(UPS!$C$37,AU62,SUMIF($A$10:$A$20,"*#"&amp;AS62,$AT$10:$AT$20)))</f>
        <v>4.7627954263930903</v>
      </c>
      <c r="K62" s="163"/>
      <c r="AR62" s="42">
        <f>AR60</f>
        <v>2</v>
      </c>
      <c r="AS62" s="42">
        <f>AS60+1</f>
        <v>9</v>
      </c>
      <c r="AU62" s="42">
        <f ca="1">SUMIF(UPS!B$38:B$171,C62,UPS!BD$38:BD$171)</f>
        <v>12</v>
      </c>
    </row>
    <row r="63" spans="2:48">
      <c r="B63" s="440" t="str">
        <f t="shared" si="23"/>
        <v>FLO_EMIS</v>
      </c>
      <c r="C63" s="440" t="str">
        <f ca="1">IF($A63="*","",OFFSET(ITEMS_UPS!$C$8,AR63,0))</f>
        <v>UREFOCRIN-E</v>
      </c>
      <c r="D63" s="440" t="str">
        <f>$D$19</f>
        <v>UPSCH4S</v>
      </c>
      <c r="E63" s="440" t="str">
        <f t="shared" ca="1" si="24"/>
        <v>UREFOCRIN-E-O</v>
      </c>
      <c r="F63" s="440" t="str">
        <f t="shared" si="25"/>
        <v>-</v>
      </c>
      <c r="G63" s="440" t="str">
        <f t="shared" si="26"/>
        <v>ANNUAL</v>
      </c>
      <c r="H63" s="441" t="str">
        <f t="shared" si="27"/>
        <v>-</v>
      </c>
      <c r="I63" s="441">
        <f t="shared" si="28"/>
        <v>0</v>
      </c>
      <c r="J63" s="163">
        <f ca="1">IF($A63="*","",OFFSET(UPS!$C$37,AU63,SUMIF($A$10:$A$20,"*#"&amp;AS63,$AT$10:$AT$20)))</f>
        <v>0</v>
      </c>
      <c r="K63" s="163"/>
      <c r="AR63" s="42">
        <f>AR62</f>
        <v>2</v>
      </c>
      <c r="AS63" s="42">
        <f>AS62+1</f>
        <v>10</v>
      </c>
      <c r="AU63" s="42">
        <f ca="1">SUMIF(UPS!B$38:B$171,C63,UPS!BD$38:BD$171)</f>
        <v>12</v>
      </c>
    </row>
    <row r="64" spans="2:48">
      <c r="B64" s="440" t="str">
        <f t="shared" si="23"/>
        <v>PRC_RESID</v>
      </c>
      <c r="C64" s="440" t="str">
        <f ca="1">IF($A64="*","",OFFSET(ITEMS_UPS!$C$8,AR64,0))</f>
        <v>UREFOCRIN-E</v>
      </c>
      <c r="D64" s="440" t="str">
        <f ca="1">IF($A64="*","",IF(VLOOKUP("*#"&amp;$AS64,$A$10:$I$24,D$9+1,FALSE)="-","-",OFFSET(UPS!$C$37,AU64+AV64,SUMIF($A$10:$A$20,"*#"&amp;AS64,$AT$10:$AT$20))))</f>
        <v>-</v>
      </c>
      <c r="E64" s="440" t="str">
        <f t="shared" si="24"/>
        <v>-</v>
      </c>
      <c r="F64" s="440" t="str">
        <f t="shared" si="25"/>
        <v>-</v>
      </c>
      <c r="G64" s="440" t="str">
        <f t="shared" si="26"/>
        <v>-</v>
      </c>
      <c r="H64" s="441" t="str">
        <f t="shared" si="27"/>
        <v>-</v>
      </c>
      <c r="I64" s="441">
        <f t="shared" si="28"/>
        <v>0</v>
      </c>
      <c r="J64" s="163">
        <f ca="1">IF($A64="*","",OFFSET(UPS!$C$37,$AU64,SUMIF($A$10:$A$20,"*#"&amp;$AS64,$AT$10:$AT$20)+J$8))</f>
        <v>212.15979141387726</v>
      </c>
      <c r="K64" s="163">
        <f ca="1">IF($A64="*","",OFFSET(UPS!$C$37,$AU64,SUMIF($A$10:$A$20,"*#"&amp;$AS64,$AT$10:$AT$20)+K$8))</f>
        <v>212.15979141387726</v>
      </c>
      <c r="L64" s="163">
        <f ca="1">IF($A64="*","",OFFSET(UPS!$C$37,$AU64,SUMIF($A$10:$A$20,"*#"&amp;$AS64,$AT$10:$AT$20)+L$8))</f>
        <v>212.15979141387726</v>
      </c>
      <c r="M64" s="163">
        <f ca="1">IF($A64="*","",OFFSET(UPS!$C$37,$AU64,SUMIF($A$10:$A$20,"*#"&amp;$AS64,$AT$10:$AT$20)+M$8))</f>
        <v>212.15979141387726</v>
      </c>
      <c r="N64" s="163">
        <f ca="1">IF($A64="*","",OFFSET(UPS!$C$37,$AU64,SUMIF($A$10:$A$20,"*#"&amp;$AS64,$AT$10:$AT$20)+N$8))</f>
        <v>212.15979141387726</v>
      </c>
      <c r="O64" s="163">
        <f ca="1">IF($A64="*","",OFFSET(UPS!$C$37,$AU64,SUMIF($A$10:$A$20,"*#"&amp;$AS64,$AT$10:$AT$20)+O$8))</f>
        <v>212.15979141387726</v>
      </c>
      <c r="P64" s="163">
        <f ca="1">IF($A64="*","",OFFSET(UPS!$C$37,$AU64,SUMIF($A$10:$A$20,"*#"&amp;$AS64,$AT$10:$AT$20)+P$8))</f>
        <v>212.15979141387726</v>
      </c>
      <c r="Q64" s="163">
        <f ca="1">IF($A64="*","",OFFSET(UPS!$C$37,$AU64,SUMIF($A$10:$A$20,"*#"&amp;$AS64,$AT$10:$AT$20)+Q$8))</f>
        <v>212.15979141387726</v>
      </c>
      <c r="R64" s="163">
        <f ca="1">IF($A64="*","",OFFSET(UPS!$C$37,$AU64,SUMIF($A$10:$A$20,"*#"&amp;$AS64,$AT$10:$AT$20)+R$8))</f>
        <v>212.15979141387726</v>
      </c>
      <c r="S64" s="163">
        <f ca="1">IF($A64="*","",OFFSET(UPS!$C$37,$AU64,SUMIF($A$10:$A$20,"*#"&amp;$AS64,$AT$10:$AT$20)+S$8))</f>
        <v>212.15979141387726</v>
      </c>
      <c r="T64" s="163">
        <f ca="1">IF($A64="*","",OFFSET(UPS!$C$37,$AU64,SUMIF($A$10:$A$20,"*#"&amp;$AS64,$AT$10:$AT$20)+T$8))</f>
        <v>212.15979141387726</v>
      </c>
      <c r="U64" s="163">
        <f ca="1">IF($A64="*","",OFFSET(UPS!$C$37,$AU64,SUMIF($A$10:$A$20,"*#"&amp;$AS64,$AT$10:$AT$20)+U$8))</f>
        <v>212.15979141387726</v>
      </c>
      <c r="V64" s="163">
        <f ca="1">IF($A64="*","",OFFSET(UPS!$C$37,$AU64,SUMIF($A$10:$A$20,"*#"&amp;$AS64,$AT$10:$AT$20)+V$8))</f>
        <v>212.15979141387726</v>
      </c>
      <c r="W64" s="163">
        <f ca="1">IF($A64="*","",OFFSET(UPS!$C$37,$AU64,SUMIF($A$10:$A$20,"*#"&amp;$AS64,$AT$10:$AT$20)+W$8))</f>
        <v>212.15979141387726</v>
      </c>
      <c r="X64" s="163">
        <f ca="1">IF($A64="*","",OFFSET(UPS!$C$37,$AU64,SUMIF($A$10:$A$20,"*#"&amp;$AS64,$AT$10:$AT$20)+X$8))</f>
        <v>212.15979141387726</v>
      </c>
      <c r="Y64" s="163">
        <f ca="1">IF($A64="*","",OFFSET(UPS!$C$37,$AU64,SUMIF($A$10:$A$20,"*#"&amp;$AS64,$AT$10:$AT$20)+Y$8))</f>
        <v>212.15979141387726</v>
      </c>
      <c r="Z64" s="163">
        <f ca="1">IF($A64="*","",OFFSET(UPS!$C$37,$AU64,SUMIF($A$10:$A$20,"*#"&amp;$AS64,$AT$10:$AT$20)+Z$8))</f>
        <v>212.15979141387726</v>
      </c>
      <c r="AA64" s="163">
        <f ca="1">IF($A64="*","",OFFSET(UPS!$C$37,$AU64,SUMIF($A$10:$A$20,"*#"&amp;$AS64,$AT$10:$AT$20)+AA$8))</f>
        <v>212.15979141387726</v>
      </c>
      <c r="AB64" s="163">
        <f ca="1">IF($A64="*","",OFFSET(UPS!$C$37,$AU64,SUMIF($A$10:$A$20,"*#"&amp;$AS64,$AT$10:$AT$20)+AB$8))</f>
        <v>212.15979141387726</v>
      </c>
      <c r="AC64" s="163">
        <f ca="1">IF($A64="*","",OFFSET(UPS!$C$37,$AU64,SUMIF($A$10:$A$20,"*#"&amp;$AS64,$AT$10:$AT$20)+AC$8))</f>
        <v>212.15979141387726</v>
      </c>
      <c r="AD64" s="163">
        <f ca="1">IF($A64="*","",OFFSET(UPS!$C$37,$AU64,SUMIF($A$10:$A$20,"*#"&amp;$AS64,$AT$10:$AT$20)+AD$8))</f>
        <v>212.15979141387726</v>
      </c>
      <c r="AE64" s="163">
        <f ca="1">IF($A64="*","",OFFSET(UPS!$C$37,$AU64,SUMIF($A$10:$A$20,"*#"&amp;$AS64,$AT$10:$AT$20)+AE$8))</f>
        <v>212.15979141387726</v>
      </c>
      <c r="AF64" s="163">
        <f ca="1">IF($A64="*","",OFFSET(UPS!$C$37,$AU64,SUMIF($A$10:$A$20,"*#"&amp;$AS64,$AT$10:$AT$20)+AF$8))</f>
        <v>212.15979141387726</v>
      </c>
      <c r="AG64" s="163">
        <f ca="1">IF($A64="*","",OFFSET(UPS!$C$37,$AU64,SUMIF($A$10:$A$20,"*#"&amp;$AS64,$AT$10:$AT$20)+AG$8))</f>
        <v>212.15979141387726</v>
      </c>
      <c r="AH64" s="163">
        <f ca="1">IF($A64="*","",OFFSET(UPS!$C$37,$AU64,SUMIF($A$10:$A$20,"*#"&amp;$AS64,$AT$10:$AT$20)+AH$8))</f>
        <v>212.15979141387726</v>
      </c>
      <c r="AI64" s="163">
        <f ca="1">IF($A64="*","",OFFSET(UPS!$C$37,$AU64,SUMIF($A$10:$A$20,"*#"&amp;$AS64,$AT$10:$AT$20)+AI$8))</f>
        <v>212.15979141387726</v>
      </c>
      <c r="AJ64" s="163">
        <f ca="1">IF($A64="*","",OFFSET(UPS!$C$37,$AU64,SUMIF($A$10:$A$20,"*#"&amp;$AS64,$AT$10:$AT$20)+AJ$8))</f>
        <v>212.15979141387726</v>
      </c>
      <c r="AK64" s="163">
        <f ca="1">IF($A64="*","",OFFSET(UPS!$C$37,$AU64,SUMIF($A$10:$A$20,"*#"&amp;$AS64,$AT$10:$AT$20)+AK$8))</f>
        <v>212.15979141387726</v>
      </c>
      <c r="AL64" s="163">
        <f ca="1">IF($A64="*","",OFFSET(UPS!$C$37,$AU64,SUMIF($A$10:$A$20,"*#"&amp;$AS64,$AT$10:$AT$20)+AL$8))</f>
        <v>212.15979141387726</v>
      </c>
      <c r="AM64" s="163">
        <f ca="1">IF($A64="*","",OFFSET(UPS!$C$37,$AU64,SUMIF($A$10:$A$20,"*#"&amp;$AS64,$AT$10:$AT$20)+AM$8))</f>
        <v>212.15979141387726</v>
      </c>
      <c r="AN64" s="163">
        <f ca="1">IF($A64="*","",OFFSET(UPS!$C$37,$AU64,SUMIF($A$10:$A$20,"*#"&amp;$AS64,$AT$10:$AT$20)+AN$8))</f>
        <v>212.15979141387726</v>
      </c>
      <c r="AO64" s="163">
        <f ca="1">IF($A64="*","",OFFSET(UPS!$C$37,$AU64,SUMIF($A$10:$A$20,"*#"&amp;$AS64,$AT$10:$AT$20)+AO$8))</f>
        <v>212.15979141387726</v>
      </c>
      <c r="AP64" s="163">
        <f ca="1">IF($A64="*","",OFFSET(UPS!$C$37,$AU64,SUMIF($A$10:$A$20,"*#"&amp;$AS64,$AT$10:$AT$20)+AP$8))</f>
        <v>212.15979141387726</v>
      </c>
      <c r="AR64" s="42">
        <f>AR63</f>
        <v>2</v>
      </c>
      <c r="AS64" s="42">
        <f>AS63+1</f>
        <v>11</v>
      </c>
      <c r="AU64" s="42">
        <f ca="1">SUMIF(UPS!B$38:B$171,C64,UPS!BD$38:BD$171)</f>
        <v>12</v>
      </c>
    </row>
    <row r="65" spans="1:48">
      <c r="A65" s="42" t="s">
        <v>310</v>
      </c>
      <c r="B65" s="440" t="str">
        <f>IF(A65="*","",VLOOKUP("*"&amp;AS65,$A$9:$B$24,2,FALSE))</f>
        <v/>
      </c>
      <c r="C65" s="440"/>
      <c r="D65" s="440"/>
      <c r="E65" s="440"/>
      <c r="F65" s="440"/>
      <c r="G65" s="440"/>
      <c r="H65" s="441"/>
      <c r="I65" s="441"/>
      <c r="J65" s="163"/>
      <c r="K65" s="163"/>
    </row>
    <row r="66" spans="1:48">
      <c r="B66" s="440" t="str">
        <f t="shared" ref="B66:B83" si="33">IF(A66="*","",VLOOKUP("*#"&amp;AS66,$A$9:$B$24,2,FALSE))</f>
        <v>ACT_COST</v>
      </c>
      <c r="C66" s="440" t="str">
        <f ca="1">IF($A66="*","",OFFSET(ITEMS_UPS!$C$8,AR66,0))</f>
        <v>UGTLGICCO-E</v>
      </c>
      <c r="D66" s="440" t="str">
        <f ca="1">IF($A66="*","",IF(VLOOKUP("*#"&amp;$AS66,$A$10:$I$24,D$9+1,FALSE)="-","-",OFFSET(UPS!$C$37,AU66+AV66,SUMIF($A$10:$A$20,"*#"&amp;AS66,$AT$10:$AT$20))))</f>
        <v>-</v>
      </c>
      <c r="E66" s="440" t="str">
        <f t="shared" ref="E66:E83" si="34">IF($A66="*","",IF(VLOOKUP("*#"&amp;$AS66,$A$10:$I$24,E$9+1,FALSE)="-","-",C66&amp;"-"&amp;RIGHT(VLOOKUP("*#"&amp;$AS66,$A$10:$I$24,E$9+1,FALSE),1)))</f>
        <v>-</v>
      </c>
      <c r="F66" s="440" t="str">
        <f t="shared" ref="F66:F83" si="35">IF($A66="*","",IF(VLOOKUP("*#"&amp;$AS66,$A$10:$I$24,F$9+1,FALSE)="-","-",C66&amp;"-"&amp;RIGHT(VLOOKUP("*#"&amp;$AS66,$A$10:$I$24,F$9+1,FALSE),1)))</f>
        <v>-</v>
      </c>
      <c r="G66" s="440" t="str">
        <f t="shared" ref="G66:G83" si="36">IF($A66="*","",VLOOKUP("*#"&amp;$AS66,$A$10:$I$20,G$9+1,FALSE))</f>
        <v>-</v>
      </c>
      <c r="H66" s="441" t="str">
        <f t="shared" ref="H66:H83" si="37">IF($A66="*","",VLOOKUP("*#"&amp;$AS66,$A$10:$I$24,H$9+1,FALSE))</f>
        <v>-</v>
      </c>
      <c r="I66" s="441">
        <f t="shared" ref="I66:I83" si="38">IF($A66="*","",VLOOKUP("*#"&amp;$AS66,$A$10:$I$20,I$9+1,FALSE))</f>
        <v>0</v>
      </c>
      <c r="J66" s="163">
        <f ca="1">IF($A66="*","",OFFSET(UPS!$C$37,AU66,SUMIF($A$10:$A$20,"*#"&amp;AS66,$AT$10:$AT$20)))</f>
        <v>47.382204285274227</v>
      </c>
      <c r="K66" s="163"/>
      <c r="AR66" s="42">
        <v>3</v>
      </c>
      <c r="AS66" s="42">
        <v>1</v>
      </c>
      <c r="AU66" s="42">
        <f ca="1">SUMIF(UPS!B$38:B$171,C66,UPS!BD$38:BD$171)</f>
        <v>23</v>
      </c>
    </row>
    <row r="67" spans="1:48">
      <c r="B67" s="440" t="str">
        <f t="shared" si="33"/>
        <v>NCAP_AFA</v>
      </c>
      <c r="C67" s="440" t="str">
        <f ca="1">IF($A67="*","",OFFSET(ITEMS_UPS!$C$8,AR67,0))</f>
        <v>UGTLGICCO-E</v>
      </c>
      <c r="D67" s="440" t="str">
        <f ca="1">IF($A67="*","",IF(VLOOKUP("*#"&amp;$AS67,$A$10:$I$24,D$9+1,FALSE)="-","-",OFFSET(UPS!$C$37,AU67+AV67,SUMIF($A$10:$A$20,"*#"&amp;AS67,$AT$10:$AT$20))))</f>
        <v>-</v>
      </c>
      <c r="E67" s="440" t="str">
        <f t="shared" si="34"/>
        <v>-</v>
      </c>
      <c r="F67" s="440" t="str">
        <f t="shared" si="35"/>
        <v>-</v>
      </c>
      <c r="G67" s="440" t="str">
        <f t="shared" si="36"/>
        <v>ANNUAL</v>
      </c>
      <c r="H67" s="441" t="str">
        <f t="shared" si="37"/>
        <v>UP</v>
      </c>
      <c r="I67" s="441">
        <f t="shared" si="38"/>
        <v>3</v>
      </c>
      <c r="J67" s="163">
        <f ca="1">IF($A67="*","",OFFSET(UPS!$C$37,AU67,SUMIF($A$10:$A$20,"*#"&amp;AS67,$AT$10:$AT$20)))</f>
        <v>0.46244122068025312</v>
      </c>
      <c r="K67" s="163"/>
      <c r="AR67" s="42">
        <f t="shared" ref="AR67:AR82" si="39">AR66</f>
        <v>3</v>
      </c>
      <c r="AS67" s="42">
        <f t="shared" ref="AS67:AS72" si="40">IF(AR67=AR66,AS66+1,1)</f>
        <v>2</v>
      </c>
      <c r="AU67" s="42">
        <f ca="1">SUMIF(UPS!B$38:B$171,C67,UPS!BD$38:BD$171)</f>
        <v>23</v>
      </c>
    </row>
    <row r="68" spans="1:48" ht="15">
      <c r="B68" s="440" t="str">
        <f t="shared" si="33"/>
        <v>NCAP_AFA</v>
      </c>
      <c r="C68" s="440" t="str">
        <f ca="1">IF($A68="*","",OFFSET(ITEMS_UPS!$C$8,AR68,0))</f>
        <v>UGTLGICCO-E</v>
      </c>
      <c r="D68" s="440" t="str">
        <f ca="1">IF($A68="*","",IF(VLOOKUP("*#"&amp;$AS68,$A$10:$I$24,D$9+1,FALSE)="-","-",OFFSET(UPS!$C$37,AU68+AV68,SUMIF($A$10:$A$20,"*#"&amp;AS68,$AT$10:$AT$20))))</f>
        <v>-</v>
      </c>
      <c r="E68" s="440" t="str">
        <f t="shared" si="34"/>
        <v>-</v>
      </c>
      <c r="F68" s="440" t="str">
        <f t="shared" si="35"/>
        <v>-</v>
      </c>
      <c r="G68" s="440" t="str">
        <f t="shared" si="36"/>
        <v>ANNUAL</v>
      </c>
      <c r="H68" s="441" t="str">
        <f t="shared" si="37"/>
        <v>LO</v>
      </c>
      <c r="I68" s="441">
        <f t="shared" si="38"/>
        <v>3</v>
      </c>
      <c r="J68" s="163">
        <f ca="1">IF($A68="*","",OFFSET(UPS!$C$37,AU68,SUMIF($A$10:$A$20,"*#"&amp;AS68,$AT$10:$AT$20)))</f>
        <v>0.43931915964624046</v>
      </c>
      <c r="K68" s="163"/>
      <c r="R68" s="42">
        <f ca="1">J68</f>
        <v>0.43931915964624046</v>
      </c>
      <c r="S68" s="42">
        <f ca="1">R68</f>
        <v>0.43931915964624046</v>
      </c>
      <c r="T68" s="42">
        <f t="shared" ref="T68:U68" ca="1" si="41">S68</f>
        <v>0.43931915964624046</v>
      </c>
      <c r="U68" s="42">
        <f t="shared" ca="1" si="41"/>
        <v>0.43931915964624046</v>
      </c>
      <c r="V68" s="42">
        <f ca="1">R68</f>
        <v>0.43931915964624046</v>
      </c>
      <c r="W68" s="1328">
        <v>0</v>
      </c>
      <c r="AR68" s="42">
        <f t="shared" si="39"/>
        <v>3</v>
      </c>
      <c r="AS68" s="42">
        <f t="shared" si="40"/>
        <v>3</v>
      </c>
      <c r="AU68" s="42">
        <f ca="1">SUMIF(UPS!B$38:B$171,C68,UPS!BD$38:BD$171)</f>
        <v>23</v>
      </c>
    </row>
    <row r="69" spans="1:48">
      <c r="B69" s="440" t="str">
        <f t="shared" si="33"/>
        <v>NCAP_FOM</v>
      </c>
      <c r="C69" s="440" t="str">
        <f ca="1">IF($A69="*","",OFFSET(ITEMS_UPS!$C$8,AR69,0))</f>
        <v>UGTLGICCO-E</v>
      </c>
      <c r="D69" s="440" t="str">
        <f ca="1">IF($A69="*","",IF(VLOOKUP("*#"&amp;$AS69,$A$10:$I$24,D$9+1,FALSE)="-","-",OFFSET(UPS!$C$37,AU69+AV69,SUMIF($A$10:$A$20,"*#"&amp;AS69,$AT$10:$AT$20))))</f>
        <v>-</v>
      </c>
      <c r="E69" s="440" t="str">
        <f t="shared" si="34"/>
        <v>-</v>
      </c>
      <c r="F69" s="440" t="str">
        <f t="shared" si="35"/>
        <v>-</v>
      </c>
      <c r="G69" s="440" t="str">
        <f t="shared" si="36"/>
        <v>-</v>
      </c>
      <c r="H69" s="441" t="str">
        <f t="shared" si="37"/>
        <v>-</v>
      </c>
      <c r="I69" s="441">
        <f t="shared" si="38"/>
        <v>0</v>
      </c>
      <c r="J69" s="163">
        <f ca="1">IF($A69="*","",OFFSET(UPS!$C$37,AU69,SUMIF($A$10:$A$20,"*#"&amp;AS69,$AT$10:$AT$20)))</f>
        <v>0</v>
      </c>
      <c r="K69" s="163"/>
      <c r="AR69" s="42">
        <f>AR67</f>
        <v>3</v>
      </c>
      <c r="AS69" s="42">
        <f t="shared" si="40"/>
        <v>4</v>
      </c>
      <c r="AU69" s="42">
        <f ca="1">SUMIF(UPS!B$38:B$171,C69,UPS!BD$38:BD$171)</f>
        <v>23</v>
      </c>
    </row>
    <row r="70" spans="1:48">
      <c r="B70" s="440" t="str">
        <f t="shared" si="33"/>
        <v>NCAP_BND</v>
      </c>
      <c r="C70" s="440" t="str">
        <f ca="1">IF($A70="*","",OFFSET(ITEMS_UPS!$C$8,AR70,0))</f>
        <v>UGTLGICCO-E</v>
      </c>
      <c r="D70" s="440" t="str">
        <f ca="1">IF($A70="*","",IF(VLOOKUP("*#"&amp;$AS70,$A$10:$I$24,D$9+1,FALSE)="-","-",OFFSET(UPS!$C$37,AU70+AV70,SUMIF($A$10:$A$20,"*#"&amp;AS70,$AT$10:$AT$20))))</f>
        <v>-</v>
      </c>
      <c r="E70" s="440" t="str">
        <f t="shared" si="34"/>
        <v>-</v>
      </c>
      <c r="F70" s="440" t="str">
        <f t="shared" si="35"/>
        <v>-</v>
      </c>
      <c r="G70" s="440" t="str">
        <f t="shared" si="36"/>
        <v>-</v>
      </c>
      <c r="H70" s="441" t="str">
        <f t="shared" si="37"/>
        <v>UP</v>
      </c>
      <c r="I70" s="441">
        <f t="shared" si="38"/>
        <v>3</v>
      </c>
      <c r="J70" s="163">
        <f ca="1">IF($A70="*","",OFFSET(UPS!$C$37,AU70,SUMIF($A$10:$A$20,"*#"&amp;AS70,$AT$10:$AT$20)))</f>
        <v>0</v>
      </c>
      <c r="K70" s="163"/>
      <c r="AR70" s="42">
        <f>AR69</f>
        <v>3</v>
      </c>
      <c r="AS70" s="42">
        <f t="shared" si="40"/>
        <v>5</v>
      </c>
      <c r="AU70" s="42">
        <f ca="1">SUMIF(UPS!B$38:B$171,C70,UPS!BD$38:BD$171)</f>
        <v>23</v>
      </c>
    </row>
    <row r="71" spans="1:48">
      <c r="B71" s="440" t="str">
        <f t="shared" si="33"/>
        <v>FLO_FUNC</v>
      </c>
      <c r="C71" s="440" t="str">
        <f ca="1">IF($A71="*","",OFFSET(ITEMS_UPS!$C$8,AR71,0))</f>
        <v>UGTLGICCO-E</v>
      </c>
      <c r="D71" s="440" t="str">
        <f ca="1">IF($A71="*","",IF(VLOOKUP("*#"&amp;$AS71,$A$10:$I$24,D$9+1,FALSE)="-","-",OFFSET(UPS!$C$37,AU71+AV71,SUMIF($A$10:$A$20,"*#"&amp;AS71,$AT$10:$AT$20))))</f>
        <v>-</v>
      </c>
      <c r="E71" s="440" t="str">
        <f t="shared" ca="1" si="34"/>
        <v>UGTLGICCO-E-I</v>
      </c>
      <c r="F71" s="440" t="str">
        <f t="shared" ca="1" si="35"/>
        <v>UGTLGICCO-E-O</v>
      </c>
      <c r="G71" s="440" t="str">
        <f t="shared" si="36"/>
        <v>ANNUAL</v>
      </c>
      <c r="H71" s="441" t="str">
        <f t="shared" si="37"/>
        <v>-</v>
      </c>
      <c r="I71" s="441">
        <f t="shared" si="38"/>
        <v>0</v>
      </c>
      <c r="J71" s="163">
        <f ca="1">IF($A71="*","",OFFSET(UPS!$C$37,AU71,SUMIF($A$10:$A$20,"*#"&amp;AS71,$AT$10:$AT$20)))</f>
        <v>0.76961549281661878</v>
      </c>
      <c r="K71" s="163"/>
      <c r="AR71" s="42">
        <f t="shared" si="39"/>
        <v>3</v>
      </c>
      <c r="AS71" s="42">
        <f t="shared" si="40"/>
        <v>6</v>
      </c>
      <c r="AU71" s="42">
        <f ca="1">SUMIF(UPS!B$38:B$171,C71,UPS!BD$38:BD$171)</f>
        <v>23</v>
      </c>
    </row>
    <row r="72" spans="1:48">
      <c r="B72" s="440" t="str">
        <f t="shared" si="33"/>
        <v>FLO_SHAR</v>
      </c>
      <c r="C72" s="440" t="str">
        <f ca="1">IF($A72="*","",OFFSET(ITEMS_UPS!$C$8,AR72,0))</f>
        <v>UGTLGICCO-E</v>
      </c>
      <c r="D72" s="440" t="str">
        <f ca="1">IF($A72="*","",IF(VLOOKUP("*#"&amp;$AS72,$A$10:$I$24,D$9+1,FALSE)="-","-",OFFSET(UPS!$C$37,AU72+AV72,SUMIF($A$10:$A$20,"*#"&amp;AS72,$AT$10:$AT$20))))</f>
        <v>UPSGIC</v>
      </c>
      <c r="E72" s="440" t="str">
        <f t="shared" ca="1" si="34"/>
        <v>UGTLGICCO-E-I</v>
      </c>
      <c r="F72" s="440" t="str">
        <f t="shared" si="35"/>
        <v>-</v>
      </c>
      <c r="G72" s="440" t="str">
        <f t="shared" si="36"/>
        <v>ANNUAL</v>
      </c>
      <c r="H72" s="441" t="str">
        <f t="shared" si="37"/>
        <v>FX</v>
      </c>
      <c r="I72" s="441">
        <f t="shared" si="38"/>
        <v>3</v>
      </c>
      <c r="J72" s="163">
        <f ca="1">IF($A72="*","",OFFSET(UPS!$C$37,AU72+AV72,SUMIF($A$10:$A$20,"*#"&amp;AS72,$AV$10:$AV$20)))</f>
        <v>0.76985311799533229</v>
      </c>
      <c r="K72" s="163"/>
      <c r="AR72" s="42">
        <f>AR71</f>
        <v>3</v>
      </c>
      <c r="AS72" s="42">
        <f t="shared" si="40"/>
        <v>7</v>
      </c>
      <c r="AU72" s="42">
        <f ca="1">SUMIF(UPS!B$38:B$171,C72,UPS!BD$38:BD$171)</f>
        <v>23</v>
      </c>
      <c r="AV72" s="42">
        <v>0</v>
      </c>
    </row>
    <row r="73" spans="1:48">
      <c r="B73" s="440" t="str">
        <f t="shared" si="33"/>
        <v>FLO_SHAR</v>
      </c>
      <c r="C73" s="440" t="str">
        <f ca="1">IF($A73="*","",OFFSET(ITEMS_UPS!$C$8,AR73,0))</f>
        <v>UGTLGICCO-E</v>
      </c>
      <c r="D73" s="440" t="str">
        <f ca="1">IF($A73="*","",IF(VLOOKUP("*#"&amp;$AS73,$A$10:$I$24,D$9+1,FALSE)="-","-",OFFSET(UPS!$C$37,AU73+AV73,SUMIF($A$10:$A$20,"*#"&amp;AS73,$AT$10:$AT$20))))</f>
        <v>UPSOCR</v>
      </c>
      <c r="E73" s="440" t="str">
        <f t="shared" ca="1" si="34"/>
        <v>UGTLGICCO-E-I</v>
      </c>
      <c r="F73" s="440" t="str">
        <f t="shared" si="35"/>
        <v>-</v>
      </c>
      <c r="G73" s="440" t="str">
        <f t="shared" si="36"/>
        <v>ANNUAL</v>
      </c>
      <c r="H73" s="441" t="str">
        <f t="shared" si="37"/>
        <v>FX</v>
      </c>
      <c r="I73" s="441">
        <f t="shared" si="38"/>
        <v>3</v>
      </c>
      <c r="J73" s="163">
        <f ca="1">IF($A73="*","",OFFSET(UPS!$C$37,AU73+AV73,SUMIF($A$10:$A$20,"*#"&amp;AS73,$AV$10:$AV$20)))</f>
        <v>0.19246327949883302</v>
      </c>
      <c r="K73" s="163"/>
      <c r="AR73" s="42">
        <f>AR72</f>
        <v>3</v>
      </c>
      <c r="AS73" s="42">
        <f>AS72</f>
        <v>7</v>
      </c>
      <c r="AU73" s="42">
        <f ca="1">SUMIF(UPS!B$38:B$171,C73,UPS!BD$38:BD$171)</f>
        <v>23</v>
      </c>
      <c r="AV73" s="42">
        <v>1</v>
      </c>
    </row>
    <row r="74" spans="1:48">
      <c r="B74" s="440" t="str">
        <f t="shared" si="33"/>
        <v>FLO_SHAR</v>
      </c>
      <c r="C74" s="440" t="str">
        <f ca="1">IF($A74="*","",OFFSET(ITEMS_UPS!$C$8,AR74,0))</f>
        <v>UGTLGICCO-E</v>
      </c>
      <c r="D74" s="440" t="str">
        <f ca="1">IF($A74="*","",IF(VLOOKUP("*#"&amp;$AS74,$A$10:$I$24,D$9+1,FALSE)="-","-",OFFSET(UPS!$C$37,AU74+AV74,SUMIF($A$10:$A$20,"*#"&amp;AS74,$AT$10:$AT$20))))</f>
        <v>UPSELC</v>
      </c>
      <c r="E74" s="440" t="str">
        <f t="shared" ca="1" si="34"/>
        <v>UGTLGICCO-E-I</v>
      </c>
      <c r="F74" s="440" t="str">
        <f t="shared" si="35"/>
        <v>-</v>
      </c>
      <c r="G74" s="440" t="str">
        <f t="shared" si="36"/>
        <v>ANNUAL</v>
      </c>
      <c r="H74" s="441" t="str">
        <f t="shared" si="37"/>
        <v>FX</v>
      </c>
      <c r="I74" s="441">
        <f t="shared" si="38"/>
        <v>3</v>
      </c>
      <c r="J74" s="163">
        <f ca="1">IF($A74="*","",OFFSET(UPS!$C$37,AU74+AV74,SUMIF($A$10:$A$20,"*#"&amp;AS74,$AV$10:$AV$20)))</f>
        <v>3.7683602505834655E-2</v>
      </c>
      <c r="K74" s="163"/>
      <c r="AR74" s="42">
        <f>AR73</f>
        <v>3</v>
      </c>
      <c r="AS74" s="42">
        <f>AS72</f>
        <v>7</v>
      </c>
      <c r="AU74" s="42">
        <f ca="1">SUMIF(UPS!B$38:B$171,C74,UPS!BD$38:BD$171)</f>
        <v>23</v>
      </c>
      <c r="AV74" s="42">
        <f t="shared" ref="AV74:AV80" si="42">AV73+1</f>
        <v>2</v>
      </c>
    </row>
    <row r="75" spans="1:48">
      <c r="B75" s="440" t="str">
        <f t="shared" si="33"/>
        <v>FLO_SHAR</v>
      </c>
      <c r="C75" s="440" t="str">
        <f ca="1">IF($A75="*","",OFFSET(ITEMS_UPS!$C$8,AR75,0))</f>
        <v>UGTLGICCO-E</v>
      </c>
      <c r="D75" s="440" t="str">
        <f ca="1">IF($A75="*","",IF(VLOOKUP("*#"&amp;$AS75,$A$10:$I$24,D$9+1,FALSE)="-","-",OFFSET(UPS!$C$37,AU75+AV75,SUMIF($A$10:$A$20,"*#"&amp;AS75,$AT$10:$AT$20))))</f>
        <v>OHF</v>
      </c>
      <c r="E75" s="440" t="str">
        <f t="shared" ca="1" si="34"/>
        <v>UGTLGICCO-E-O</v>
      </c>
      <c r="F75" s="440" t="str">
        <f t="shared" si="35"/>
        <v>-</v>
      </c>
      <c r="G75" s="440" t="str">
        <f t="shared" si="36"/>
        <v>ANNUAL</v>
      </c>
      <c r="H75" s="441" t="str">
        <f t="shared" si="37"/>
        <v>UP</v>
      </c>
      <c r="I75" s="441">
        <f t="shared" si="38"/>
        <v>3</v>
      </c>
      <c r="J75" s="163">
        <f ca="1">IF($A75="*","",OFFSET(UPS!$C$37,AU75+AV75,SUMIF($A$10:$A$20,"*#"&amp;AS75,$AV$10:$AV$20)))</f>
        <v>0.04</v>
      </c>
      <c r="K75" s="163"/>
      <c r="AR75" s="42">
        <f t="shared" si="39"/>
        <v>3</v>
      </c>
      <c r="AS75" s="42">
        <f>IF(AR75=AR74,AS74+1,1)</f>
        <v>8</v>
      </c>
      <c r="AU75" s="42">
        <f ca="1">SUMIF(UPS!B$38:B$171,C75,UPS!BD$38:BD$171)</f>
        <v>23</v>
      </c>
      <c r="AV75" s="42">
        <f t="shared" si="42"/>
        <v>3</v>
      </c>
    </row>
    <row r="76" spans="1:48">
      <c r="B76" s="440" t="str">
        <f t="shared" si="33"/>
        <v>FLO_SHAR</v>
      </c>
      <c r="C76" s="440" t="str">
        <f ca="1">IF($A76="*","",OFFSET(ITEMS_UPS!$C$8,AR76,0))</f>
        <v>UGTLGICCO-E</v>
      </c>
      <c r="D76" s="440" t="str">
        <f ca="1">IF($A76="*","",IF(VLOOKUP("*#"&amp;$AS76,$A$10:$I$24,D$9+1,FALSE)="-","-",OFFSET(UPS!$C$37,AU76+AV76,SUMIF($A$10:$A$20,"*#"&amp;AS76,$AT$10:$AT$20))))</f>
        <v>ODS</v>
      </c>
      <c r="E76" s="440" t="str">
        <f t="shared" ca="1" si="34"/>
        <v>UGTLGICCO-E-O</v>
      </c>
      <c r="F76" s="440" t="str">
        <f t="shared" si="35"/>
        <v>-</v>
      </c>
      <c r="G76" s="440" t="str">
        <f t="shared" si="36"/>
        <v>ANNUAL</v>
      </c>
      <c r="H76" s="441" t="str">
        <f t="shared" si="37"/>
        <v>UP</v>
      </c>
      <c r="I76" s="441">
        <f t="shared" si="38"/>
        <v>3</v>
      </c>
      <c r="J76" s="163">
        <f ca="1">IF($A76="*","",OFFSET(UPS!$C$37,AU76+AV76,SUMIF($A$10:$A$20,"*#"&amp;AS76,$AV$10:$AV$20)))</f>
        <v>0.06</v>
      </c>
      <c r="K76" s="163"/>
      <c r="AR76" s="42">
        <f t="shared" si="39"/>
        <v>3</v>
      </c>
      <c r="AS76" s="42">
        <f>AS75</f>
        <v>8</v>
      </c>
      <c r="AU76" s="42">
        <f ca="1">SUMIF(UPS!B$38:B$171,C76,UPS!BD$38:BD$171)</f>
        <v>23</v>
      </c>
      <c r="AV76" s="42">
        <f t="shared" si="42"/>
        <v>4</v>
      </c>
    </row>
    <row r="77" spans="1:48">
      <c r="B77" s="440" t="str">
        <f t="shared" si="33"/>
        <v>FLO_SHAR</v>
      </c>
      <c r="C77" s="440" t="str">
        <f ca="1">IF($A77="*","",OFFSET(ITEMS_UPS!$C$8,AR77,0))</f>
        <v>UGTLGICCO-E</v>
      </c>
      <c r="D77" s="440" t="str">
        <f ca="1">IF($A77="*","",IF(VLOOKUP("*#"&amp;$AS77,$A$10:$I$24,D$9+1,FALSE)="-","-",OFFSET(UPS!$C$37,AU77+AV77,SUMIF($A$10:$A$20,"*#"&amp;AS77,$AT$10:$AT$20))))</f>
        <v>OGS</v>
      </c>
      <c r="E77" s="440" t="str">
        <f t="shared" ca="1" si="34"/>
        <v>UGTLGICCO-E-O</v>
      </c>
      <c r="F77" s="440" t="str">
        <f t="shared" si="35"/>
        <v>-</v>
      </c>
      <c r="G77" s="440" t="str">
        <f t="shared" si="36"/>
        <v>ANNUAL</v>
      </c>
      <c r="H77" s="441" t="str">
        <f t="shared" si="37"/>
        <v>UP</v>
      </c>
      <c r="I77" s="441">
        <f t="shared" si="38"/>
        <v>3</v>
      </c>
      <c r="J77" s="163">
        <f ca="1">IF($A77="*","",OFFSET(UPS!$C$37,AU77+AV77,SUMIF($A$10:$A$20,"*#"&amp;AS77,$AV$10:$AV$20)))</f>
        <v>0.53</v>
      </c>
      <c r="K77" s="163"/>
      <c r="AR77" s="42">
        <f t="shared" si="39"/>
        <v>3</v>
      </c>
      <c r="AS77" s="42">
        <f>AS76</f>
        <v>8</v>
      </c>
      <c r="AU77" s="42">
        <f ca="1">SUMIF(UPS!B$38:B$171,C77,UPS!BD$38:BD$171)</f>
        <v>23</v>
      </c>
      <c r="AV77" s="42">
        <f t="shared" si="42"/>
        <v>5</v>
      </c>
    </row>
    <row r="78" spans="1:48">
      <c r="B78" s="440" t="str">
        <f t="shared" si="33"/>
        <v>FLO_SHAR</v>
      </c>
      <c r="C78" s="440" t="str">
        <f ca="1">IF($A78="*","",OFFSET(ITEMS_UPS!$C$8,AR78,0))</f>
        <v>UGTLGICCO-E</v>
      </c>
      <c r="D78" s="440" t="str">
        <f ca="1">IF($A78="*","",IF(VLOOKUP("*#"&amp;$AS78,$A$10:$I$24,D$9+1,FALSE)="-","-",OFFSET(UPS!$C$37,AU78+AV78,SUMIF($A$10:$A$20,"*#"&amp;AS78,$AT$10:$AT$20))))</f>
        <v>OKE</v>
      </c>
      <c r="E78" s="440" t="str">
        <f t="shared" ca="1" si="34"/>
        <v>UGTLGICCO-E-O</v>
      </c>
      <c r="F78" s="440" t="str">
        <f t="shared" si="35"/>
        <v>-</v>
      </c>
      <c r="G78" s="440" t="str">
        <f t="shared" si="36"/>
        <v>ANNUAL</v>
      </c>
      <c r="H78" s="441" t="str">
        <f t="shared" si="37"/>
        <v>UP</v>
      </c>
      <c r="I78" s="441">
        <f t="shared" si="38"/>
        <v>3</v>
      </c>
      <c r="J78" s="163">
        <f ca="1">IF($A78="*","",OFFSET(UPS!$C$37,AU78+AV78,SUMIF($A$10:$A$20,"*#"&amp;AS78,$AV$10:$AV$20)))</f>
        <v>0.11</v>
      </c>
      <c r="K78" s="163"/>
      <c r="AR78" s="42">
        <f t="shared" si="39"/>
        <v>3</v>
      </c>
      <c r="AS78" s="42">
        <f>AS77</f>
        <v>8</v>
      </c>
      <c r="AU78" s="42">
        <f ca="1">SUMIF(UPS!B$38:B$171,C78,UPS!BD$38:BD$171)</f>
        <v>23</v>
      </c>
      <c r="AV78" s="42">
        <f t="shared" si="42"/>
        <v>6</v>
      </c>
    </row>
    <row r="79" spans="1:48">
      <c r="B79" s="440" t="str">
        <f t="shared" si="33"/>
        <v>FLO_SHAR</v>
      </c>
      <c r="C79" s="440" t="str">
        <f ca="1">IF($A79="*","",OFFSET(ITEMS_UPS!$C$8,AR79,0))</f>
        <v>UGTLGICCO-E</v>
      </c>
      <c r="D79" s="440" t="str">
        <f ca="1">IF($A79="*","",IF(VLOOKUP("*#"&amp;$AS79,$A$10:$I$24,D$9+1,FALSE)="-","-",OFFSET(UPS!$C$37,AU79+AV79,SUMIF($A$10:$A$20,"*#"&amp;AS79,$AT$10:$AT$20))))</f>
        <v>OLP</v>
      </c>
      <c r="E79" s="440" t="str">
        <f t="shared" ca="1" si="34"/>
        <v>UGTLGICCO-E-O</v>
      </c>
      <c r="F79" s="440" t="str">
        <f t="shared" si="35"/>
        <v>-</v>
      </c>
      <c r="G79" s="440" t="str">
        <f t="shared" si="36"/>
        <v>ANNUAL</v>
      </c>
      <c r="H79" s="441" t="str">
        <f t="shared" si="37"/>
        <v>UP</v>
      </c>
      <c r="I79" s="441">
        <f t="shared" si="38"/>
        <v>3</v>
      </c>
      <c r="J79" s="163">
        <f ca="1">IF($A79="*","",OFFSET(UPS!$C$37,AU79+AV79,SUMIF($A$10:$A$20,"*#"&amp;AS79,$AV$10:$AV$20)))</f>
        <v>0.08</v>
      </c>
      <c r="K79" s="163"/>
      <c r="AR79" s="42">
        <f t="shared" si="39"/>
        <v>3</v>
      </c>
      <c r="AS79" s="42">
        <f>AS78</f>
        <v>8</v>
      </c>
      <c r="AU79" s="42">
        <f ca="1">SUMIF(UPS!B$38:B$171,C79,UPS!BD$38:BD$171)</f>
        <v>23</v>
      </c>
      <c r="AV79" s="42">
        <f t="shared" si="42"/>
        <v>7</v>
      </c>
    </row>
    <row r="80" spans="1:48">
      <c r="B80" s="440" t="str">
        <f t="shared" si="33"/>
        <v>FLO_SHAR</v>
      </c>
      <c r="C80" s="440" t="str">
        <f ca="1">IF($A80="*","",OFFSET(ITEMS_UPS!$C$8,AR80,0))</f>
        <v>UGTLGICCO-E</v>
      </c>
      <c r="D80" s="440" t="str">
        <f ca="1">IF($A80="*","",IF(VLOOKUP("*#"&amp;$AS80,$A$10:$I$24,D$9+1,FALSE)="-","-",OFFSET(UPS!$C$37,AU80+AV80,SUMIF($A$10:$A$20,"*#"&amp;AS80,$AT$10:$AT$20))))</f>
        <v>OTH</v>
      </c>
      <c r="E80" s="440" t="str">
        <f t="shared" ca="1" si="34"/>
        <v>UGTLGICCO-E-O</v>
      </c>
      <c r="F80" s="440" t="str">
        <f t="shared" si="35"/>
        <v>-</v>
      </c>
      <c r="G80" s="440" t="str">
        <f t="shared" si="36"/>
        <v>ANNUAL</v>
      </c>
      <c r="H80" s="441" t="str">
        <f t="shared" si="37"/>
        <v>UP</v>
      </c>
      <c r="I80" s="441">
        <f t="shared" si="38"/>
        <v>3</v>
      </c>
      <c r="J80" s="163">
        <f ca="1">IF($A80="*","",OFFSET(UPS!$C$37,AU80+AV80,SUMIF($A$10:$A$20,"*#"&amp;AS80,$AV$10:$AV$20)))</f>
        <v>0.18</v>
      </c>
      <c r="K80" s="163"/>
      <c r="AR80" s="42">
        <f t="shared" si="39"/>
        <v>3</v>
      </c>
      <c r="AS80" s="42">
        <f>AS79</f>
        <v>8</v>
      </c>
      <c r="AU80" s="42">
        <f ca="1">SUMIF(UPS!B$38:B$171,C80,UPS!BD$38:BD$171)</f>
        <v>23</v>
      </c>
      <c r="AV80" s="42">
        <f t="shared" si="42"/>
        <v>8</v>
      </c>
    </row>
    <row r="81" spans="1:48">
      <c r="B81" s="440" t="str">
        <f t="shared" si="33"/>
        <v>FLO_EMIS</v>
      </c>
      <c r="C81" s="440" t="str">
        <f ca="1">IF($A81="*","",OFFSET(ITEMS_UPS!$C$8,AR81,0))</f>
        <v>UGTLGICCO-E</v>
      </c>
      <c r="D81" s="440" t="str">
        <f>$D$18</f>
        <v>UPSCO2S</v>
      </c>
      <c r="E81" s="440" t="str">
        <f t="shared" ca="1" si="34"/>
        <v>UGTLGICCO-E-O</v>
      </c>
      <c r="F81" s="440" t="str">
        <f t="shared" si="35"/>
        <v>-</v>
      </c>
      <c r="G81" s="440" t="str">
        <f t="shared" si="36"/>
        <v>ANNUAL</v>
      </c>
      <c r="H81" s="441" t="str">
        <f t="shared" si="37"/>
        <v>-</v>
      </c>
      <c r="I81" s="441">
        <f t="shared" si="38"/>
        <v>0</v>
      </c>
      <c r="J81" s="163">
        <f ca="1">IF($A81="*","",OFFSET(UPS!$C$37,AU81,SUMIF($A$10:$A$20,"*#"&amp;AS81,$AT$10:$AT$20)))</f>
        <v>6.4894696089818042</v>
      </c>
      <c r="K81" s="163"/>
      <c r="AR81" s="42">
        <f>AR80</f>
        <v>3</v>
      </c>
      <c r="AS81" s="42">
        <f>AS80+1</f>
        <v>9</v>
      </c>
      <c r="AU81" s="42">
        <f ca="1">SUMIF(UPS!B$38:B$171,C81,UPS!BD$38:BD$171)</f>
        <v>23</v>
      </c>
    </row>
    <row r="82" spans="1:48">
      <c r="B82" s="440" t="str">
        <f t="shared" si="33"/>
        <v>FLO_EMIS</v>
      </c>
      <c r="C82" s="440" t="str">
        <f ca="1">IF($A82="*","",OFFSET(ITEMS_UPS!$C$8,AR82,0))</f>
        <v>UGTLGICCO-E</v>
      </c>
      <c r="D82" s="440" t="str">
        <f>$D$19</f>
        <v>UPSCH4S</v>
      </c>
      <c r="E82" s="440" t="str">
        <f t="shared" ca="1" si="34"/>
        <v>UGTLGICCO-E-O</v>
      </c>
      <c r="F82" s="440" t="str">
        <f t="shared" si="35"/>
        <v>-</v>
      </c>
      <c r="G82" s="440" t="str">
        <f t="shared" si="36"/>
        <v>ANNUAL</v>
      </c>
      <c r="H82" s="441" t="str">
        <f t="shared" si="37"/>
        <v>-</v>
      </c>
      <c r="I82" s="441">
        <f t="shared" si="38"/>
        <v>0</v>
      </c>
      <c r="J82" s="163">
        <f ca="1">IF($A82="*","",OFFSET(UPS!$C$37,AU82,SUMIF($A$10:$A$20,"*#"&amp;AS82,$AT$10:$AT$20)))</f>
        <v>4.4999999999999997E-3</v>
      </c>
      <c r="K82" s="163"/>
      <c r="AR82" s="42">
        <f t="shared" si="39"/>
        <v>3</v>
      </c>
      <c r="AS82" s="42">
        <f>AS81+1</f>
        <v>10</v>
      </c>
      <c r="AU82" s="42">
        <f ca="1">SUMIF(UPS!B$38:B$171,C82,UPS!BD$38:BD$171)</f>
        <v>23</v>
      </c>
    </row>
    <row r="83" spans="1:48">
      <c r="B83" s="440" t="str">
        <f t="shared" si="33"/>
        <v>PRC_RESID</v>
      </c>
      <c r="C83" s="440" t="str">
        <f ca="1">IF($A83="*","",OFFSET(ITEMS_UPS!$C$8,AR83,0))</f>
        <v>UGTLGICCO-E</v>
      </c>
      <c r="D83" s="440" t="str">
        <f ca="1">IF($A83="*","",IF(VLOOKUP("*#"&amp;$AS83,$A$10:$I$24,D$9+1,FALSE)="-","-",OFFSET(UPS!$C$37,AU83+AV83,SUMIF($A$10:$A$20,"*#"&amp;AS83,$AT$10:$AT$20))))</f>
        <v>-</v>
      </c>
      <c r="E83" s="440" t="str">
        <f t="shared" si="34"/>
        <v>-</v>
      </c>
      <c r="F83" s="440" t="str">
        <f t="shared" si="35"/>
        <v>-</v>
      </c>
      <c r="G83" s="440" t="str">
        <f t="shared" si="36"/>
        <v>-</v>
      </c>
      <c r="H83" s="441" t="str">
        <f t="shared" si="37"/>
        <v>-</v>
      </c>
      <c r="I83" s="441">
        <f t="shared" si="38"/>
        <v>0</v>
      </c>
      <c r="J83" s="163">
        <f ca="1">IF($A83="*","",OFFSET(UPS!$C$37,$AU83,SUMIF($A$10:$A$20,"*#"&amp;$AS83,$AT$10:$AT$20)+J$8))</f>
        <v>58.795521804785629</v>
      </c>
      <c r="K83" s="163">
        <f ca="1">IF($A83="*","",OFFSET(UPS!$C$37,$AU83,SUMIF($A$10:$A$20,"*#"&amp;$AS83,$AT$10:$AT$20)+K$8))</f>
        <v>58.795521804785629</v>
      </c>
      <c r="L83" s="163">
        <f ca="1">IF($A83="*","",OFFSET(UPS!$C$37,$AU83,SUMIF($A$10:$A$20,"*#"&amp;$AS83,$AT$10:$AT$20)+L$8))</f>
        <v>58.795521804785629</v>
      </c>
      <c r="M83" s="163">
        <f ca="1">IF($A83="*","",OFFSET(UPS!$C$37,$AU83,SUMIF($A$10:$A$20,"*#"&amp;$AS83,$AT$10:$AT$20)+M$8))</f>
        <v>58.795521804785629</v>
      </c>
      <c r="N83" s="163">
        <f ca="1">IF($A83="*","",OFFSET(UPS!$C$37,$AU83,SUMIF($A$10:$A$20,"*#"&amp;$AS83,$AT$10:$AT$20)+N$8))</f>
        <v>58.795521804785629</v>
      </c>
      <c r="O83" s="163">
        <f ca="1">IF($A83="*","",OFFSET(UPS!$C$37,$AU83,SUMIF($A$10:$A$20,"*#"&amp;$AS83,$AT$10:$AT$20)+O$8))</f>
        <v>58.795521804785629</v>
      </c>
      <c r="P83" s="163">
        <f ca="1">IF($A83="*","",OFFSET(UPS!$C$37,$AU83,SUMIF($A$10:$A$20,"*#"&amp;$AS83,$AT$10:$AT$20)+P$8))</f>
        <v>58.795521804785629</v>
      </c>
      <c r="Q83" s="163">
        <f ca="1">IF($A83="*","",OFFSET(UPS!$C$37,$AU83,SUMIF($A$10:$A$20,"*#"&amp;$AS83,$AT$10:$AT$20)+Q$8))</f>
        <v>58.795521804785629</v>
      </c>
      <c r="R83" s="163">
        <f ca="1">IF($A83="*","",OFFSET(UPS!$C$37,$AU83,SUMIF($A$10:$A$20,"*#"&amp;$AS83,$AT$10:$AT$20)+R$8))</f>
        <v>58.795521804785629</v>
      </c>
      <c r="S83" s="163">
        <f ca="1">IF($A83="*","",OFFSET(UPS!$C$37,$AU83,SUMIF($A$10:$A$20,"*#"&amp;$AS83,$AT$10:$AT$20)+S$8))</f>
        <v>58.795521804785629</v>
      </c>
      <c r="T83" s="163">
        <f ca="1">IF($A83="*","",OFFSET(UPS!$C$37,$AU83,SUMIF($A$10:$A$20,"*#"&amp;$AS83,$AT$10:$AT$20)+T$8))</f>
        <v>58.795521804785629</v>
      </c>
      <c r="U83" s="163">
        <f ca="1">IF($A83="*","",OFFSET(UPS!$C$37,$AU83,SUMIF($A$10:$A$20,"*#"&amp;$AS83,$AT$10:$AT$20)+U$8))</f>
        <v>58.795521804785629</v>
      </c>
      <c r="V83" s="163">
        <f ca="1">IF($A83="*","",OFFSET(UPS!$C$37,$AU83,SUMIF($A$10:$A$20,"*#"&amp;$AS83,$AT$10:$AT$20)+V$8))</f>
        <v>58.795521804785629</v>
      </c>
      <c r="W83" s="163">
        <f ca="1">IF($A83="*","",OFFSET(UPS!$C$37,$AU83,SUMIF($A$10:$A$20,"*#"&amp;$AS83,$AT$10:$AT$20)+W$8))</f>
        <v>58.795521804785629</v>
      </c>
      <c r="X83" s="163">
        <f ca="1">IF($A83="*","",OFFSET(UPS!$C$37,$AU83,SUMIF($A$10:$A$20,"*#"&amp;$AS83,$AT$10:$AT$20)+X$8))</f>
        <v>58.795521804785629</v>
      </c>
      <c r="Y83" s="163">
        <f ca="1">IF($A83="*","",OFFSET(UPS!$C$37,$AU83,SUMIF($A$10:$A$20,"*#"&amp;$AS83,$AT$10:$AT$20)+Y$8))</f>
        <v>58.795521804785629</v>
      </c>
      <c r="Z83" s="163">
        <f ca="1">IF($A83="*","",OFFSET(UPS!$C$37,$AU83,SUMIF($A$10:$A$20,"*#"&amp;$AS83,$AT$10:$AT$20)+Z$8))</f>
        <v>58.795521804785629</v>
      </c>
      <c r="AA83" s="163">
        <f ca="1">IF($A83="*","",OFFSET(UPS!$C$37,$AU83,SUMIF($A$10:$A$20,"*#"&amp;$AS83,$AT$10:$AT$20)+AA$8))</f>
        <v>58.795521804785629</v>
      </c>
      <c r="AB83" s="163">
        <f ca="1">IF($A83="*","",OFFSET(UPS!$C$37,$AU83,SUMIF($A$10:$A$20,"*#"&amp;$AS83,$AT$10:$AT$20)+AB$8))</f>
        <v>58.795521804785629</v>
      </c>
      <c r="AC83" s="163">
        <f ca="1">IF($A83="*","",OFFSET(UPS!$C$37,$AU83,SUMIF($A$10:$A$20,"*#"&amp;$AS83,$AT$10:$AT$20)+AC$8))</f>
        <v>0</v>
      </c>
      <c r="AD83" s="163">
        <f ca="1">IF($A83="*","",OFFSET(UPS!$C$37,$AU83,SUMIF($A$10:$A$20,"*#"&amp;$AS83,$AT$10:$AT$20)+AD$8))</f>
        <v>0</v>
      </c>
      <c r="AE83" s="163">
        <f ca="1">IF($A83="*","",OFFSET(UPS!$C$37,$AU83,SUMIF($A$10:$A$20,"*#"&amp;$AS83,$AT$10:$AT$20)+AE$8))</f>
        <v>0</v>
      </c>
      <c r="AF83" s="163">
        <f ca="1">IF($A83="*","",OFFSET(UPS!$C$37,$AU83,SUMIF($A$10:$A$20,"*#"&amp;$AS83,$AT$10:$AT$20)+AF$8))</f>
        <v>0</v>
      </c>
      <c r="AG83" s="163">
        <f ca="1">IF($A83="*","",OFFSET(UPS!$C$37,$AU83,SUMIF($A$10:$A$20,"*#"&amp;$AS83,$AT$10:$AT$20)+AG$8))</f>
        <v>0</v>
      </c>
      <c r="AH83" s="163">
        <f ca="1">IF($A83="*","",OFFSET(UPS!$C$37,$AU83,SUMIF($A$10:$A$20,"*#"&amp;$AS83,$AT$10:$AT$20)+AH$8))</f>
        <v>0</v>
      </c>
      <c r="AI83" s="163">
        <f ca="1">IF($A83="*","",OFFSET(UPS!$C$37,$AU83,SUMIF($A$10:$A$20,"*#"&amp;$AS83,$AT$10:$AT$20)+AI$8))</f>
        <v>0</v>
      </c>
      <c r="AJ83" s="163">
        <f ca="1">IF($A83="*","",OFFSET(UPS!$C$37,$AU83,SUMIF($A$10:$A$20,"*#"&amp;$AS83,$AT$10:$AT$20)+AJ$8))</f>
        <v>0</v>
      </c>
      <c r="AK83" s="163">
        <f ca="1">IF($A83="*","",OFFSET(UPS!$C$37,$AU83,SUMIF($A$10:$A$20,"*#"&amp;$AS83,$AT$10:$AT$20)+AK$8))</f>
        <v>0</v>
      </c>
      <c r="AL83" s="163">
        <f ca="1">IF($A83="*","",OFFSET(UPS!$C$37,$AU83,SUMIF($A$10:$A$20,"*#"&amp;$AS83,$AT$10:$AT$20)+AL$8))</f>
        <v>0</v>
      </c>
      <c r="AM83" s="163">
        <f ca="1">IF($A83="*","",OFFSET(UPS!$C$37,$AU83,SUMIF($A$10:$A$20,"*#"&amp;$AS83,$AT$10:$AT$20)+AM$8))</f>
        <v>0</v>
      </c>
      <c r="AN83" s="163">
        <f ca="1">IF($A83="*","",OFFSET(UPS!$C$37,$AU83,SUMIF($A$10:$A$20,"*#"&amp;$AS83,$AT$10:$AT$20)+AN$8))</f>
        <v>0</v>
      </c>
      <c r="AO83" s="163">
        <f ca="1">IF($A83="*","",OFFSET(UPS!$C$37,$AU83,SUMIF($A$10:$A$20,"*#"&amp;$AS83,$AT$10:$AT$20)+AO$8))</f>
        <v>0</v>
      </c>
      <c r="AP83" s="163">
        <f ca="1">IF($A83="*","",OFFSET(UPS!$C$37,$AU83,SUMIF($A$10:$A$20,"*#"&amp;$AS83,$AT$10:$AT$20)+AP$8))</f>
        <v>0</v>
      </c>
      <c r="AR83" s="42">
        <v>3</v>
      </c>
      <c r="AS83" s="42">
        <f>AS82+1</f>
        <v>11</v>
      </c>
      <c r="AU83" s="42">
        <f ca="1">SUMIF(UPS!B$38:B$171,C83,UPS!BD$38:BD$171)</f>
        <v>23</v>
      </c>
    </row>
    <row r="84" spans="1:48">
      <c r="A84" s="42" t="s">
        <v>310</v>
      </c>
      <c r="B84" s="440" t="str">
        <f>IF(A84="*","",VLOOKUP("*"&amp;AS84,$A$10:$B$24,2,FALSE))</f>
        <v/>
      </c>
      <c r="C84" s="440"/>
      <c r="D84" s="440"/>
      <c r="E84" s="440"/>
      <c r="F84" s="440"/>
      <c r="G84" s="440"/>
      <c r="H84" s="441"/>
      <c r="I84" s="441"/>
      <c r="J84" s="163"/>
      <c r="K84" s="163"/>
    </row>
    <row r="85" spans="1:48">
      <c r="B85" s="440" t="str">
        <f t="shared" ref="B85:B104" si="43">IF(A85="*","",VLOOKUP("*#"&amp;AS85,$A$9:$B$24,2,FALSE))</f>
        <v>ACT_COST</v>
      </c>
      <c r="C85" s="440" t="str">
        <f ca="1">IF($A85="*","",OFFSET(ITEMS_UPS!$C$8,AR85,0))</f>
        <v>UCTLCLEIN-E</v>
      </c>
      <c r="D85" s="440" t="str">
        <f ca="1">IF($A85="*","",IF(VLOOKUP("*#"&amp;$AS85,$A$10:$I$24,D$9+1,FALSE)="-","-",OFFSET(UPS!$C$37,AU85+AV85,SUMIF($A$10:$A$20,"*#"&amp;AS85,$AT$10:$AT$20))))</f>
        <v>-</v>
      </c>
      <c r="E85" s="440" t="str">
        <f t="shared" ref="E85:E104" si="44">IF($A85="*","",IF(VLOOKUP("*#"&amp;$AS85,$A$10:$I$24,E$9+1,FALSE)="-","-",C85&amp;"-"&amp;RIGHT(VLOOKUP("*#"&amp;$AS85,$A$10:$I$24,E$9+1,FALSE),1)))</f>
        <v>-</v>
      </c>
      <c r="F85" s="440" t="str">
        <f t="shared" ref="F85:F104" si="45">IF($A85="*","",IF(VLOOKUP("*#"&amp;$AS85,$A$10:$I$24,F$9+1,FALSE)="-","-",C85&amp;"-"&amp;RIGHT(VLOOKUP("*#"&amp;$AS85,$A$10:$I$24,F$9+1,FALSE),1)))</f>
        <v>-</v>
      </c>
      <c r="G85" s="440" t="str">
        <f t="shared" ref="G85:G104" si="46">IF($A85="*","",VLOOKUP("*#"&amp;$AS85,$A$10:$I$20,G$9+1,FALSE))</f>
        <v>-</v>
      </c>
      <c r="H85" s="441" t="str">
        <f t="shared" ref="H85:H104" si="47">IF($A85="*","",VLOOKUP("*#"&amp;$AS85,$A$10:$I$24,H$9+1,FALSE))</f>
        <v>-</v>
      </c>
      <c r="I85" s="441">
        <f t="shared" ref="I85:I104" si="48">IF($A85="*","",VLOOKUP("*#"&amp;$AS85,$A$10:$I$20,I$9+1,FALSE))</f>
        <v>0</v>
      </c>
      <c r="J85" s="163">
        <f ca="1">IF($A85="*","",OFFSET(UPS!$C$37,AU85,SUMIF($A$10:$A$20,"*#"&amp;AS85,$AT$10:$AT$20)))</f>
        <v>23.739875247063129</v>
      </c>
      <c r="K85" s="163"/>
      <c r="AR85" s="42">
        <v>4</v>
      </c>
      <c r="AS85" s="42">
        <v>1</v>
      </c>
      <c r="AU85" s="42">
        <f ca="1">SUMIF(UPS!B$38:B$171,C85,UPS!BD$38:BD$171)</f>
        <v>53</v>
      </c>
    </row>
    <row r="86" spans="1:48">
      <c r="B86" s="440" t="str">
        <f t="shared" si="43"/>
        <v>NCAP_AFA</v>
      </c>
      <c r="C86" s="440" t="str">
        <f ca="1">IF($A86="*","",OFFSET(ITEMS_UPS!$C$8,AR86,0))</f>
        <v>UCTLCLEIN-E</v>
      </c>
      <c r="D86" s="440" t="str">
        <f ca="1">IF($A86="*","",IF(VLOOKUP("*#"&amp;$AS86,$A$10:$I$24,D$9+1,FALSE)="-","-",OFFSET(UPS!$C$37,AU86+AV86,SUMIF($A$10:$A$20,"*#"&amp;AS86,$AT$10:$AT$20))))</f>
        <v>-</v>
      </c>
      <c r="E86" s="440" t="str">
        <f t="shared" si="44"/>
        <v>-</v>
      </c>
      <c r="F86" s="440" t="str">
        <f t="shared" si="45"/>
        <v>-</v>
      </c>
      <c r="G86" s="440" t="str">
        <f t="shared" si="46"/>
        <v>ANNUAL</v>
      </c>
      <c r="H86" s="441" t="str">
        <f t="shared" si="47"/>
        <v>UP</v>
      </c>
      <c r="I86" s="441">
        <f t="shared" si="48"/>
        <v>3</v>
      </c>
      <c r="J86" s="163">
        <f ca="1">IF($A86="*","",OFFSET(UPS!$C$37,AU86,SUMIF($A$10:$A$20,"*#"&amp;AS86,$AT$10:$AT$20)))</f>
        <v>0.95890410958904104</v>
      </c>
      <c r="K86" s="163">
        <f ca="1">J86</f>
        <v>0.95890410958904104</v>
      </c>
      <c r="L86" s="163">
        <f t="shared" ref="L86:O87" ca="1" si="49">K86</f>
        <v>0.95890410958904104</v>
      </c>
      <c r="M86" s="163">
        <f t="shared" ca="1" si="49"/>
        <v>0.95890410958904104</v>
      </c>
      <c r="N86" s="163">
        <f t="shared" ca="1" si="49"/>
        <v>0.95890410958904104</v>
      </c>
      <c r="O86" s="163">
        <f t="shared" ca="1" si="49"/>
        <v>0.95890410958904104</v>
      </c>
      <c r="P86" s="163"/>
      <c r="Q86" s="1585">
        <f>RefineriesData!R55*1.01</f>
        <v>0.96712996197132128</v>
      </c>
      <c r="R86" s="42">
        <f ca="1">AVERAGE(O86,Q86)</f>
        <v>0.96301703578018116</v>
      </c>
      <c r="S86" s="42">
        <f ca="1">R86</f>
        <v>0.96301703578018116</v>
      </c>
      <c r="T86" s="42">
        <f t="shared" ref="T86:W86" ca="1" si="50">S86</f>
        <v>0.96301703578018116</v>
      </c>
      <c r="U86" s="42">
        <f t="shared" ca="1" si="50"/>
        <v>0.96301703578018116</v>
      </c>
      <c r="V86" s="42">
        <f t="shared" ca="1" si="50"/>
        <v>0.96301703578018116</v>
      </c>
      <c r="W86" s="42">
        <f t="shared" ca="1" si="50"/>
        <v>0.96301703578018116</v>
      </c>
      <c r="X86" s="42">
        <f t="shared" ref="X86:AB86" ca="1" si="51">W86</f>
        <v>0.96301703578018116</v>
      </c>
      <c r="Y86" s="42">
        <f t="shared" ca="1" si="51"/>
        <v>0.96301703578018116</v>
      </c>
      <c r="Z86" s="42">
        <f t="shared" ca="1" si="51"/>
        <v>0.96301703578018116</v>
      </c>
      <c r="AA86" s="42">
        <f t="shared" ca="1" si="51"/>
        <v>0.96301703578018116</v>
      </c>
      <c r="AB86" s="42">
        <f t="shared" ca="1" si="51"/>
        <v>0.96301703578018116</v>
      </c>
      <c r="AR86" s="42">
        <f t="shared" ref="AR86:AR101" si="52">AR85</f>
        <v>4</v>
      </c>
      <c r="AS86" s="42">
        <f t="shared" ref="AS86:AS91" si="53">IF(AR86=AR85,AS85+1,1)</f>
        <v>2</v>
      </c>
      <c r="AU86" s="42">
        <f ca="1">SUMIF(UPS!B$38:B$171,C86,UPS!BD$38:BD$171)</f>
        <v>53</v>
      </c>
    </row>
    <row r="87" spans="1:48">
      <c r="B87" s="440" t="str">
        <f t="shared" si="43"/>
        <v>NCAP_AFA</v>
      </c>
      <c r="C87" s="440" t="str">
        <f ca="1">IF($A87="*","",OFFSET(ITEMS_UPS!$C$8,AR87,0))</f>
        <v>UCTLCLEIN-E</v>
      </c>
      <c r="D87" s="440" t="str">
        <f ca="1">IF($A87="*","",IF(VLOOKUP("*#"&amp;$AS87,$A$10:$I$24,D$9+1,FALSE)="-","-",OFFSET(UPS!$C$37,AU87+AV87,SUMIF($A$10:$A$20,"*#"&amp;AS87,$AT$10:$AT$20))))</f>
        <v>-</v>
      </c>
      <c r="E87" s="440" t="str">
        <f t="shared" si="44"/>
        <v>-</v>
      </c>
      <c r="F87" s="440" t="str">
        <f t="shared" si="45"/>
        <v>-</v>
      </c>
      <c r="G87" s="440" t="str">
        <f t="shared" si="46"/>
        <v>ANNUAL</v>
      </c>
      <c r="H87" s="441" t="str">
        <f t="shared" si="47"/>
        <v>LO</v>
      </c>
      <c r="I87" s="441">
        <f t="shared" si="48"/>
        <v>3</v>
      </c>
      <c r="J87" s="163">
        <f ca="1">IF($A87="*","",OFFSET(UPS!$C$37,AU87,SUMIF($A$10:$A$20,"*#"&amp;AS87,$AT$10:$AT$20)))</f>
        <v>0.95890410958904104</v>
      </c>
      <c r="K87" s="163">
        <f ca="1">J87</f>
        <v>0.95890410958904104</v>
      </c>
      <c r="L87" s="163">
        <f t="shared" ca="1" si="49"/>
        <v>0.95890410958904104</v>
      </c>
      <c r="M87" s="163">
        <f t="shared" ca="1" si="49"/>
        <v>0.95890410958904104</v>
      </c>
      <c r="N87" s="163">
        <f t="shared" ca="1" si="49"/>
        <v>0.95890410958904104</v>
      </c>
      <c r="O87" s="163">
        <f t="shared" ca="1" si="49"/>
        <v>0.95890410958904104</v>
      </c>
      <c r="Q87" s="1585">
        <f>RefineriesData!R55</f>
        <v>0.95755441779338735</v>
      </c>
      <c r="R87" s="42">
        <f ca="1">AVERAGE(O87,Q87)</f>
        <v>0.95822926369121419</v>
      </c>
      <c r="S87" s="42">
        <f ca="1">R87</f>
        <v>0.95822926369121419</v>
      </c>
      <c r="T87" s="42">
        <f t="shared" ref="T87:W87" ca="1" si="54">S87</f>
        <v>0.95822926369121419</v>
      </c>
      <c r="U87" s="42">
        <f t="shared" ca="1" si="54"/>
        <v>0.95822926369121419</v>
      </c>
      <c r="V87" s="42">
        <f t="shared" ca="1" si="54"/>
        <v>0.95822926369121419</v>
      </c>
      <c r="W87" s="42">
        <f t="shared" ca="1" si="54"/>
        <v>0.95822926369121419</v>
      </c>
      <c r="X87" s="42">
        <f t="shared" ref="X87:AB87" ca="1" si="55">W87</f>
        <v>0.95822926369121419</v>
      </c>
      <c r="Y87" s="42">
        <f t="shared" ca="1" si="55"/>
        <v>0.95822926369121419</v>
      </c>
      <c r="Z87" s="42">
        <f t="shared" ca="1" si="55"/>
        <v>0.95822926369121419</v>
      </c>
      <c r="AA87" s="42">
        <f t="shared" ca="1" si="55"/>
        <v>0.95822926369121419</v>
      </c>
      <c r="AB87" s="42">
        <f t="shared" ca="1" si="55"/>
        <v>0.95822926369121419</v>
      </c>
      <c r="AR87" s="42">
        <f t="shared" si="52"/>
        <v>4</v>
      </c>
      <c r="AS87" s="42">
        <f t="shared" si="53"/>
        <v>3</v>
      </c>
      <c r="AU87" s="42">
        <f ca="1">SUMIF(UPS!B$38:B$171,C87,UPS!BD$38:BD$171)</f>
        <v>53</v>
      </c>
    </row>
    <row r="88" spans="1:48">
      <c r="B88" s="440" t="str">
        <f t="shared" si="43"/>
        <v>NCAP_FOM</v>
      </c>
      <c r="C88" s="440" t="str">
        <f ca="1">IF($A88="*","",OFFSET(ITEMS_UPS!$C$8,AR88,0))</f>
        <v>UCTLCLEIN-E</v>
      </c>
      <c r="D88" s="440" t="str">
        <f ca="1">IF($A88="*","",IF(VLOOKUP("*#"&amp;$AS88,$A$10:$I$24,D$9+1,FALSE)="-","-",OFFSET(UPS!$C$37,AU88+AV88,SUMIF($A$10:$A$20,"*#"&amp;AS88,$AT$10:$AT$20))))</f>
        <v>-</v>
      </c>
      <c r="E88" s="440" t="str">
        <f t="shared" si="44"/>
        <v>-</v>
      </c>
      <c r="F88" s="440" t="str">
        <f t="shared" si="45"/>
        <v>-</v>
      </c>
      <c r="G88" s="440" t="str">
        <f t="shared" si="46"/>
        <v>-</v>
      </c>
      <c r="H88" s="441" t="str">
        <f t="shared" si="47"/>
        <v>-</v>
      </c>
      <c r="I88" s="441">
        <f t="shared" si="48"/>
        <v>0</v>
      </c>
      <c r="J88" s="163">
        <f ca="1">IF($A88="*","",OFFSET(UPS!$C$37,AU88,SUMIF($A$10:$A$20,"*#"&amp;AS88,$AT$10:$AT$20)))</f>
        <v>0</v>
      </c>
      <c r="K88" s="163"/>
      <c r="AR88" s="42">
        <f t="shared" si="52"/>
        <v>4</v>
      </c>
      <c r="AS88" s="42">
        <f t="shared" si="53"/>
        <v>4</v>
      </c>
      <c r="AU88" s="42">
        <f ca="1">SUMIF(UPS!B$38:B$171,C88,UPS!BD$38:BD$171)</f>
        <v>53</v>
      </c>
    </row>
    <row r="89" spans="1:48">
      <c r="B89" s="440" t="str">
        <f t="shared" si="43"/>
        <v>NCAP_BND</v>
      </c>
      <c r="C89" s="440" t="str">
        <f ca="1">IF($A89="*","",OFFSET(ITEMS_UPS!$C$8,AR89,0))</f>
        <v>UCTLCLEIN-E</v>
      </c>
      <c r="D89" s="440" t="str">
        <f ca="1">IF($A89="*","",IF(VLOOKUP("*#"&amp;$AS89,$A$10:$I$24,D$9+1,FALSE)="-","-",OFFSET(UPS!$C$37,AU89+AV89,SUMIF($A$10:$A$20,"*#"&amp;AS89,$AT$10:$AT$20))))</f>
        <v>-</v>
      </c>
      <c r="E89" s="440" t="str">
        <f t="shared" si="44"/>
        <v>-</v>
      </c>
      <c r="F89" s="440" t="str">
        <f t="shared" si="45"/>
        <v>-</v>
      </c>
      <c r="G89" s="440" t="str">
        <f t="shared" si="46"/>
        <v>-</v>
      </c>
      <c r="H89" s="441" t="str">
        <f t="shared" si="47"/>
        <v>UP</v>
      </c>
      <c r="I89" s="441">
        <f t="shared" si="48"/>
        <v>3</v>
      </c>
      <c r="J89" s="163">
        <f ca="1">IF($A89="*","",OFFSET(UPS!$C$37,AU89,SUMIF($A$10:$A$20,"*#"&amp;AS89,$AT$10:$AT$20)))</f>
        <v>0</v>
      </c>
      <c r="K89" s="163"/>
      <c r="AR89" s="42">
        <f>AR87</f>
        <v>4</v>
      </c>
      <c r="AS89" s="42">
        <f t="shared" si="53"/>
        <v>5</v>
      </c>
      <c r="AU89" s="42">
        <f ca="1">SUMIF(UPS!B$38:B$171,C89,UPS!BD$38:BD$171)</f>
        <v>53</v>
      </c>
    </row>
    <row r="90" spans="1:48">
      <c r="B90" s="440" t="str">
        <f t="shared" si="43"/>
        <v>FLO_FUNC</v>
      </c>
      <c r="C90" s="440" t="str">
        <f ca="1">IF($A90="*","",OFFSET(ITEMS_UPS!$C$8,AR90,0))</f>
        <v>UCTLCLEIN-E</v>
      </c>
      <c r="D90" s="440" t="str">
        <f ca="1">IF($A90="*","",IF(VLOOKUP("*#"&amp;$AS90,$A$10:$I$24,D$9+1,FALSE)="-","-",OFFSET(UPS!$C$37,AU90+AV90,SUMIF($A$10:$A$20,"*#"&amp;AS90,$AT$10:$AT$20))))</f>
        <v>-</v>
      </c>
      <c r="E90" s="440" t="str">
        <f t="shared" ca="1" si="44"/>
        <v>UCTLCLEIN-E-I</v>
      </c>
      <c r="F90" s="440" t="str">
        <f t="shared" ca="1" si="45"/>
        <v>UCTLCLEIN-E-O</v>
      </c>
      <c r="G90" s="440" t="str">
        <f t="shared" si="46"/>
        <v>ANNUAL</v>
      </c>
      <c r="H90" s="441" t="str">
        <f t="shared" si="47"/>
        <v>-</v>
      </c>
      <c r="I90" s="441">
        <f t="shared" si="48"/>
        <v>0</v>
      </c>
      <c r="J90" s="163">
        <f ca="1">IF($A90="*","",OFFSET(UPS!$C$37,AU90,SUMIF($A$10:$A$20,"*#"&amp;AS90,$AT$10:$AT$20)))</f>
        <v>0.29922414801284114</v>
      </c>
      <c r="K90" s="163"/>
      <c r="AR90" s="42">
        <f t="shared" si="52"/>
        <v>4</v>
      </c>
      <c r="AS90" s="42">
        <f t="shared" si="53"/>
        <v>6</v>
      </c>
      <c r="AU90" s="42">
        <f ca="1">SUMIF(UPS!B$38:B$171,C90,UPS!BD$38:BD$171)</f>
        <v>53</v>
      </c>
    </row>
    <row r="91" spans="1:48">
      <c r="B91" s="440" t="str">
        <f t="shared" si="43"/>
        <v>FLO_SHAR</v>
      </c>
      <c r="C91" s="440" t="str">
        <f ca="1">IF($A91="*","",OFFSET(ITEMS_UPS!$C$8,AR91,0))</f>
        <v>UCTLCLEIN-E</v>
      </c>
      <c r="D91" s="440" t="str">
        <f ca="1">IF($A91="*","",IF(VLOOKUP("*#"&amp;$AS91,$A$10:$I$24,D$9+1,FALSE)="-","-",OFFSET(UPS!$C$37,AU91+AV91,SUMIF($A$10:$A$20,"*#"&amp;AS91,$AT$10:$AT$20))))</f>
        <v>UPSCLE</v>
      </c>
      <c r="E91" s="440" t="str">
        <f t="shared" ca="1" si="44"/>
        <v>UCTLCLEIN-E-I</v>
      </c>
      <c r="F91" s="440" t="str">
        <f t="shared" si="45"/>
        <v>-</v>
      </c>
      <c r="G91" s="440" t="str">
        <f t="shared" si="46"/>
        <v>ANNUAL</v>
      </c>
      <c r="H91" s="441" t="str">
        <f t="shared" si="47"/>
        <v>FX</v>
      </c>
      <c r="I91" s="441">
        <f t="shared" si="48"/>
        <v>3</v>
      </c>
      <c r="J91" s="163">
        <f ca="1">IF($A91="*","",OFFSET(UPS!$C$37,AU91+AV91,SUMIF($A$10:$A$20,"*#"&amp;AS91,$AV$10:$AV$20)))</f>
        <v>0.65963269300300886</v>
      </c>
      <c r="K91" s="163"/>
      <c r="AR91" s="42">
        <f t="shared" si="52"/>
        <v>4</v>
      </c>
      <c r="AS91" s="42">
        <f t="shared" si="53"/>
        <v>7</v>
      </c>
      <c r="AU91" s="42">
        <f ca="1">SUMIF(UPS!B$38:B$171,C91,UPS!BD$38:BD$171)</f>
        <v>53</v>
      </c>
      <c r="AV91" s="42">
        <v>0</v>
      </c>
    </row>
    <row r="92" spans="1:48">
      <c r="B92" s="440" t="str">
        <f t="shared" si="43"/>
        <v>FLO_SHAR</v>
      </c>
      <c r="C92" s="440" t="str">
        <f ca="1">IF($A92="*","",OFFSET(ITEMS_UPS!$C$8,AR92,0))</f>
        <v>UCTLCLEIN-E</v>
      </c>
      <c r="D92" s="440" t="str">
        <f ca="1">IF($A92="*","",IF(VLOOKUP("*#"&amp;$AS92,$A$10:$I$24,D$9+1,FALSE)="-","-",OFFSET(UPS!$C$37,AU92+AV92,SUMIF($A$10:$A$20,"*#"&amp;AS92,$AT$10:$AT$20))))</f>
        <v>UPSGAS</v>
      </c>
      <c r="E92" s="440" t="str">
        <f t="shared" ca="1" si="44"/>
        <v>UCTLCLEIN-E-I</v>
      </c>
      <c r="F92" s="440" t="str">
        <f t="shared" si="45"/>
        <v>-</v>
      </c>
      <c r="G92" s="440" t="str">
        <f t="shared" si="46"/>
        <v>ANNUAL</v>
      </c>
      <c r="H92" s="441" t="str">
        <f t="shared" si="47"/>
        <v>FX</v>
      </c>
      <c r="I92" s="441">
        <f t="shared" si="48"/>
        <v>3</v>
      </c>
      <c r="J92" s="163">
        <f ca="1">IF($A92="*","",OFFSET(UPS!$C$37,AU92+AV92,SUMIF($A$10:$A$20,"*#"&amp;AS92,$AV$10:$AV$20)))</f>
        <v>6.1679045115178993E-2</v>
      </c>
      <c r="K92" s="163"/>
      <c r="AR92" s="42">
        <f t="shared" si="52"/>
        <v>4</v>
      </c>
      <c r="AS92" s="42">
        <f>AS91</f>
        <v>7</v>
      </c>
      <c r="AU92" s="42">
        <f ca="1">SUMIF(UPS!B$38:B$171,C92,UPS!BD$38:BD$171)</f>
        <v>53</v>
      </c>
      <c r="AV92" s="42">
        <f>AV91+1</f>
        <v>1</v>
      </c>
    </row>
    <row r="93" spans="1:48">
      <c r="B93" s="440" t="str">
        <f t="shared" si="43"/>
        <v>FLO_SHAR</v>
      </c>
      <c r="C93" s="440" t="str">
        <f ca="1">IF($A93="*","",OFFSET(ITEMS_UPS!$C$8,AR93,0))</f>
        <v>UCTLCLEIN-E</v>
      </c>
      <c r="D93" s="440" t="str">
        <f ca="1">IF($A93="*","",IF(VLOOKUP("*#"&amp;$AS93,$A$10:$I$24,D$9+1,FALSE)="-","-",OFFSET(UPS!$C$37,AU93+AV93,SUMIF($A$10:$A$20,"*#"&amp;AS93,$AT$10:$AT$20))))</f>
        <v>UPSELC</v>
      </c>
      <c r="E93" s="440" t="str">
        <f t="shared" ca="1" si="44"/>
        <v>UCTLCLEIN-E-I</v>
      </c>
      <c r="F93" s="440" t="str">
        <f t="shared" si="45"/>
        <v>-</v>
      </c>
      <c r="G93" s="440" t="str">
        <f t="shared" si="46"/>
        <v>ANNUAL</v>
      </c>
      <c r="H93" s="441" t="str">
        <f t="shared" si="47"/>
        <v>FX</v>
      </c>
      <c r="I93" s="441">
        <f t="shared" si="48"/>
        <v>3</v>
      </c>
      <c r="J93" s="163">
        <f ca="1">IF($A93="*","",OFFSET(UPS!$C$37,AU93+AV93,SUMIF($A$10:$A$20,"*#"&amp;AS93,$AV$10:$AV$20)))</f>
        <v>4.294262361898564E-2</v>
      </c>
      <c r="K93" s="163"/>
      <c r="AR93" s="42">
        <f t="shared" si="52"/>
        <v>4</v>
      </c>
      <c r="AS93" s="42">
        <f>AS92</f>
        <v>7</v>
      </c>
      <c r="AU93" s="42">
        <f ca="1">SUMIF(UPS!B$38:B$171,C93,UPS!BD$38:BD$171)</f>
        <v>53</v>
      </c>
      <c r="AV93" s="42">
        <f>AV92+1</f>
        <v>2</v>
      </c>
    </row>
    <row r="94" spans="1:48">
      <c r="B94" s="440" t="str">
        <f t="shared" si="43"/>
        <v>FLO_SHAR</v>
      </c>
      <c r="C94" s="440" t="str">
        <f ca="1">IF($A94="*","",OFFSET(ITEMS_UPS!$C$8,AR94,0))</f>
        <v>UCTLCLEIN-E</v>
      </c>
      <c r="D94" s="440" t="str">
        <f ca="1">IF($A94="*","",IF(VLOOKUP("*#"&amp;$AS94,$A$10:$I$24,D$9+1,FALSE)="-","-",OFFSET(UPS!$C$37,AU94+AV94,SUMIF($A$10:$A$20,"*#"&amp;AS94,$AT$10:$AT$20))))</f>
        <v>UPSHEE</v>
      </c>
      <c r="E94" s="440" t="str">
        <f t="shared" ca="1" si="44"/>
        <v>UCTLCLEIN-E-I</v>
      </c>
      <c r="F94" s="440" t="str">
        <f t="shared" si="45"/>
        <v>-</v>
      </c>
      <c r="G94" s="440" t="str">
        <f t="shared" si="46"/>
        <v>ANNUAL</v>
      </c>
      <c r="H94" s="441" t="str">
        <f t="shared" si="47"/>
        <v>FX</v>
      </c>
      <c r="I94" s="441">
        <f t="shared" si="48"/>
        <v>3</v>
      </c>
      <c r="J94" s="163">
        <f ca="1">IF($A94="*","",OFFSET(UPS!$C$37,AU94+AV94,SUMIF($A$10:$A$20,"*#"&amp;AS94,$AV$10:$AV$20)))</f>
        <v>0.23574563826282655</v>
      </c>
      <c r="K94" s="163"/>
      <c r="AR94" s="42">
        <f t="shared" si="52"/>
        <v>4</v>
      </c>
      <c r="AS94" s="42">
        <f>AS93</f>
        <v>7</v>
      </c>
      <c r="AU94" s="42">
        <f ca="1">SUMIF(UPS!B$38:B$171,C94,UPS!BD$38:BD$171)</f>
        <v>53</v>
      </c>
      <c r="AV94" s="42">
        <f t="shared" ref="AV94:AV101" si="56">AV93+1</f>
        <v>3</v>
      </c>
    </row>
    <row r="95" spans="1:48">
      <c r="B95" s="440" t="str">
        <f t="shared" si="43"/>
        <v>FLO_SHAR</v>
      </c>
      <c r="C95" s="440" t="str">
        <f ca="1">IF($A95="*","",OFFSET(ITEMS_UPS!$C$8,AR95,0))</f>
        <v>UCTLCLEIN-E</v>
      </c>
      <c r="D95" s="440" t="str">
        <f ca="1">IF($A95="*","",IF(VLOOKUP("*#"&amp;$AS95,$A$10:$I$24,D$9+1,FALSE)="-","-",OFFSET(UPS!$C$37,AU95+AV95,SUMIF($A$10:$A$20,"*#"&amp;AS95,$AT$10:$AT$20))))</f>
        <v>OAG</v>
      </c>
      <c r="E95" s="440" t="str">
        <f t="shared" ca="1" si="44"/>
        <v>UCTLCLEIN-E-O</v>
      </c>
      <c r="F95" s="440" t="str">
        <f t="shared" si="45"/>
        <v>-</v>
      </c>
      <c r="G95" s="440" t="str">
        <f t="shared" si="46"/>
        <v>ANNUAL</v>
      </c>
      <c r="H95" s="441" t="str">
        <f t="shared" si="47"/>
        <v>UP</v>
      </c>
      <c r="I95" s="441">
        <f t="shared" si="48"/>
        <v>3</v>
      </c>
      <c r="J95" s="163">
        <f ca="1">IF($A95="*","",OFFSET(UPS!$C$37,AU95+AV95,SUMIF($A$10:$A$20,"*#"&amp;AS95,$AV$10:$AV$20)))</f>
        <v>3.8561908801070703E-3</v>
      </c>
      <c r="K95" s="163"/>
      <c r="AR95" s="42">
        <f t="shared" si="52"/>
        <v>4</v>
      </c>
      <c r="AS95" s="42">
        <f>IF(AR95=AR94,AS94+1,1)</f>
        <v>8</v>
      </c>
      <c r="AU95" s="42">
        <f ca="1">SUMIF(UPS!B$38:B$171,C95,UPS!BD$38:BD$171)</f>
        <v>53</v>
      </c>
      <c r="AV95" s="42">
        <f t="shared" si="56"/>
        <v>4</v>
      </c>
    </row>
    <row r="96" spans="1:48">
      <c r="B96" s="440" t="str">
        <f t="shared" si="43"/>
        <v>FLO_SHAR</v>
      </c>
      <c r="C96" s="440" t="str">
        <f ca="1">IF($A96="*","",OFFSET(ITEMS_UPS!$C$8,AR96,0))</f>
        <v>UCTLCLEIN-E</v>
      </c>
      <c r="D96" s="440" t="str">
        <f ca="1">IF($A96="*","",IF(VLOOKUP("*#"&amp;$AS96,$A$10:$I$24,D$9+1,FALSE)="-","-",OFFSET(UPS!$C$37,AU96+AV96,SUMIF($A$10:$A$20,"*#"&amp;AS96,$AT$10:$AT$20))))</f>
        <v>ODS</v>
      </c>
      <c r="E96" s="440" t="str">
        <f t="shared" ca="1" si="44"/>
        <v>UCTLCLEIN-E-O</v>
      </c>
      <c r="F96" s="440" t="str">
        <f t="shared" si="45"/>
        <v>-</v>
      </c>
      <c r="G96" s="440" t="str">
        <f t="shared" si="46"/>
        <v>ANNUAL</v>
      </c>
      <c r="H96" s="441" t="str">
        <f t="shared" si="47"/>
        <v>UP</v>
      </c>
      <c r="I96" s="441">
        <f t="shared" si="48"/>
        <v>3</v>
      </c>
      <c r="J96" s="163">
        <f ca="1">IF($A96="*","",OFFSET(UPS!$C$37,AU96+AV96,SUMIF($A$10:$A$20,"*#"&amp;AS96,$AV$10:$AV$20)))</f>
        <v>0.22515182978585355</v>
      </c>
      <c r="K96" s="163"/>
      <c r="AR96" s="42">
        <f t="shared" si="52"/>
        <v>4</v>
      </c>
      <c r="AS96" s="42">
        <f t="shared" ref="AS96:AS101" si="57">AS95</f>
        <v>8</v>
      </c>
      <c r="AU96" s="42">
        <f ca="1">SUMIF(UPS!B$38:B$171,C96,UPS!BD$38:BD$171)</f>
        <v>53</v>
      </c>
      <c r="AV96" s="42">
        <f t="shared" si="56"/>
        <v>5</v>
      </c>
    </row>
    <row r="97" spans="1:48">
      <c r="B97" s="440" t="str">
        <f t="shared" si="43"/>
        <v>FLO_SHAR</v>
      </c>
      <c r="C97" s="440" t="str">
        <f ca="1">IF($A97="*","",OFFSET(ITEMS_UPS!$C$8,AR97,0))</f>
        <v>UCTLCLEIN-E</v>
      </c>
      <c r="D97" s="440" t="str">
        <f ca="1">IF($A97="*","",IF(VLOOKUP("*#"&amp;$AS97,$A$10:$I$24,D$9+1,FALSE)="-","-",OFFSET(UPS!$C$37,AU97+AV97,SUMIF($A$10:$A$20,"*#"&amp;AS97,$AT$10:$AT$20))))</f>
        <v>OGS</v>
      </c>
      <c r="E97" s="440" t="str">
        <f t="shared" ca="1" si="44"/>
        <v>UCTLCLEIN-E-O</v>
      </c>
      <c r="F97" s="440" t="str">
        <f t="shared" si="45"/>
        <v>-</v>
      </c>
      <c r="G97" s="440" t="str">
        <f t="shared" si="46"/>
        <v>ANNUAL</v>
      </c>
      <c r="H97" s="441" t="str">
        <f t="shared" si="47"/>
        <v>UP</v>
      </c>
      <c r="I97" s="441">
        <f t="shared" si="48"/>
        <v>3</v>
      </c>
      <c r="J97" s="163">
        <f ca="1">IF($A97="*","",OFFSET(UPS!$C$37,AU97+AV97,SUMIF($A$10:$A$20,"*#"&amp;AS97,$AV$10:$AV$20)))</f>
        <v>0.51121066001704907</v>
      </c>
      <c r="K97" s="163"/>
      <c r="AR97" s="42">
        <f t="shared" si="52"/>
        <v>4</v>
      </c>
      <c r="AS97" s="42">
        <f t="shared" si="57"/>
        <v>8</v>
      </c>
      <c r="AU97" s="42">
        <f ca="1">SUMIF(UPS!B$38:B$171,C97,UPS!BD$38:BD$171)</f>
        <v>53</v>
      </c>
      <c r="AV97" s="42">
        <f t="shared" si="56"/>
        <v>6</v>
      </c>
    </row>
    <row r="98" spans="1:48">
      <c r="B98" s="440" t="str">
        <f t="shared" si="43"/>
        <v>FLO_SHAR</v>
      </c>
      <c r="C98" s="440" t="str">
        <f ca="1">IF($A98="*","",OFFSET(ITEMS_UPS!$C$8,AR98,0))</f>
        <v>UCTLCLEIN-E</v>
      </c>
      <c r="D98" s="440" t="str">
        <f ca="1">IF($A98="*","",IF(VLOOKUP("*#"&amp;$AS98,$A$10:$I$24,D$9+1,FALSE)="-","-",OFFSET(UPS!$C$37,AU98+AV98,SUMIF($A$10:$A$20,"*#"&amp;AS98,$AT$10:$AT$20))))</f>
        <v>GIM</v>
      </c>
      <c r="E98" s="440" t="str">
        <f t="shared" ca="1" si="44"/>
        <v>UCTLCLEIN-E-O</v>
      </c>
      <c r="F98" s="440" t="str">
        <f t="shared" si="45"/>
        <v>-</v>
      </c>
      <c r="G98" s="440" t="str">
        <f t="shared" si="46"/>
        <v>ANNUAL</v>
      </c>
      <c r="H98" s="441" t="str">
        <f t="shared" si="47"/>
        <v>UP</v>
      </c>
      <c r="I98" s="441">
        <f t="shared" si="48"/>
        <v>3</v>
      </c>
      <c r="J98" s="163">
        <f ca="1">IF($A98="*","",OFFSET(UPS!$C$37,AU98+AV98,SUMIF($A$10:$A$20,"*#"&amp;AS98,$AV$10:$AV$20)))</f>
        <v>0.13683682177551551</v>
      </c>
      <c r="K98" s="163"/>
      <c r="AR98" s="42">
        <f t="shared" si="52"/>
        <v>4</v>
      </c>
      <c r="AS98" s="42">
        <f t="shared" si="57"/>
        <v>8</v>
      </c>
      <c r="AU98" s="42">
        <f ca="1">SUMIF(UPS!B$38:B$171,C98,UPS!BD$38:BD$171)</f>
        <v>53</v>
      </c>
      <c r="AV98" s="42">
        <f t="shared" si="56"/>
        <v>7</v>
      </c>
    </row>
    <row r="99" spans="1:48">
      <c r="B99" s="440" t="str">
        <f t="shared" si="43"/>
        <v>FLO_SHAR</v>
      </c>
      <c r="C99" s="440" t="str">
        <f ca="1">IF($A99="*","",OFFSET(ITEMS_UPS!$C$8,AR99,0))</f>
        <v>UCTLCLEIN-E</v>
      </c>
      <c r="D99" s="440" t="str">
        <f ca="1">IF($A99="*","",IF(VLOOKUP("*#"&amp;$AS99,$A$10:$I$24,D$9+1,FALSE)="-","-",OFFSET(UPS!$C$37,AU99+AV99,SUMIF($A$10:$A$20,"*#"&amp;AS99,$AT$10:$AT$20))))</f>
        <v>OKE</v>
      </c>
      <c r="E99" s="440" t="str">
        <f t="shared" ca="1" si="44"/>
        <v>UCTLCLEIN-E-O</v>
      </c>
      <c r="F99" s="440" t="str">
        <f t="shared" si="45"/>
        <v>-</v>
      </c>
      <c r="G99" s="440" t="str">
        <f t="shared" si="46"/>
        <v>ANNUAL</v>
      </c>
      <c r="H99" s="441" t="str">
        <f t="shared" si="47"/>
        <v>UP</v>
      </c>
      <c r="I99" s="441">
        <f t="shared" si="48"/>
        <v>3</v>
      </c>
      <c r="J99" s="163">
        <f ca="1">IF($A99="*","",OFFSET(UPS!$C$37,AU99+AV99,SUMIF($A$10:$A$20,"*#"&amp;AS99,$AV$10:$AV$20)))</f>
        <v>4.1003051727628158E-2</v>
      </c>
      <c r="K99" s="163"/>
      <c r="AR99" s="42">
        <f t="shared" si="52"/>
        <v>4</v>
      </c>
      <c r="AS99" s="42">
        <f t="shared" si="57"/>
        <v>8</v>
      </c>
      <c r="AU99" s="42">
        <f ca="1">SUMIF(UPS!B$38:B$171,C99,UPS!BD$38:BD$171)</f>
        <v>53</v>
      </c>
      <c r="AV99" s="42">
        <f t="shared" si="56"/>
        <v>8</v>
      </c>
    </row>
    <row r="100" spans="1:48">
      <c r="B100" s="440" t="str">
        <f t="shared" si="43"/>
        <v>FLO_SHAR</v>
      </c>
      <c r="C100" s="440" t="str">
        <f ca="1">IF($A100="*","",OFFSET(ITEMS_UPS!$C$8,AR100,0))</f>
        <v>UCTLCLEIN-E</v>
      </c>
      <c r="D100" s="440" t="str">
        <f ca="1">IF($A100="*","",IF(VLOOKUP("*#"&amp;$AS100,$A$10:$I$24,D$9+1,FALSE)="-","-",OFFSET(UPS!$C$37,AU100+AV100,SUMIF($A$10:$A$20,"*#"&amp;AS100,$AT$10:$AT$20))))</f>
        <v>OLP</v>
      </c>
      <c r="E100" s="440" t="str">
        <f t="shared" ca="1" si="44"/>
        <v>UCTLCLEIN-E-O</v>
      </c>
      <c r="F100" s="440" t="str">
        <f t="shared" si="45"/>
        <v>-</v>
      </c>
      <c r="G100" s="440" t="str">
        <f t="shared" si="46"/>
        <v>ANNUAL</v>
      </c>
      <c r="H100" s="441" t="str">
        <f t="shared" si="47"/>
        <v>UP</v>
      </c>
      <c r="I100" s="441">
        <f t="shared" si="48"/>
        <v>3</v>
      </c>
      <c r="J100" s="163">
        <f ca="1">IF($A100="*","",OFFSET(UPS!$C$37,AU100+AV100,SUMIF($A$10:$A$20,"*#"&amp;AS100,$AV$10:$AV$20)))</f>
        <v>1.3008561741482062E-2</v>
      </c>
      <c r="K100" s="163"/>
      <c r="AR100" s="42">
        <f t="shared" si="52"/>
        <v>4</v>
      </c>
      <c r="AS100" s="42">
        <f t="shared" si="57"/>
        <v>8</v>
      </c>
      <c r="AU100" s="42">
        <f ca="1">SUMIF(UPS!B$38:B$171,C100,UPS!BD$38:BD$171)</f>
        <v>53</v>
      </c>
      <c r="AV100" s="42">
        <f t="shared" si="56"/>
        <v>9</v>
      </c>
    </row>
    <row r="101" spans="1:48">
      <c r="B101" s="440" t="str">
        <f t="shared" si="43"/>
        <v>FLO_SHAR</v>
      </c>
      <c r="C101" s="440" t="str">
        <f ca="1">IF($A101="*","",OFFSET(ITEMS_UPS!$C$8,AR101,0))</f>
        <v>UCTLCLEIN-E</v>
      </c>
      <c r="D101" s="440" t="str">
        <f ca="1">IF($A101="*","",IF(VLOOKUP("*#"&amp;$AS101,$A$10:$I$24,D$9+1,FALSE)="-","-",OFFSET(UPS!$C$37,AU101+AV101,SUMIF($A$10:$A$20,"*#"&amp;AS101,$AT$10:$AT$20))))</f>
        <v>OTH</v>
      </c>
      <c r="E101" s="440" t="str">
        <f t="shared" ca="1" si="44"/>
        <v>UCTLCLEIN-E-O</v>
      </c>
      <c r="F101" s="440" t="str">
        <f t="shared" si="45"/>
        <v>-</v>
      </c>
      <c r="G101" s="440" t="str">
        <f t="shared" si="46"/>
        <v>ANNUAL</v>
      </c>
      <c r="H101" s="441" t="str">
        <f t="shared" si="47"/>
        <v>UP</v>
      </c>
      <c r="I101" s="441">
        <f t="shared" si="48"/>
        <v>3</v>
      </c>
      <c r="J101" s="163">
        <f ca="1">IF($A101="*","",OFFSET(UPS!$C$37,AU101+AV101,SUMIF($A$10:$A$20,"*#"&amp;AS101,$AV$10:$AV$20)))</f>
        <v>6.89328840723646E-2</v>
      </c>
      <c r="K101" s="163"/>
      <c r="AR101" s="42">
        <f t="shared" si="52"/>
        <v>4</v>
      </c>
      <c r="AS101" s="42">
        <f t="shared" si="57"/>
        <v>8</v>
      </c>
      <c r="AU101" s="42">
        <f ca="1">SUMIF(UPS!B$38:B$171,C101,UPS!BD$38:BD$171)</f>
        <v>53</v>
      </c>
      <c r="AV101" s="42">
        <f t="shared" si="56"/>
        <v>10</v>
      </c>
    </row>
    <row r="102" spans="1:48">
      <c r="B102" s="440" t="str">
        <f t="shared" si="43"/>
        <v>FLO_EMIS</v>
      </c>
      <c r="C102" s="440" t="str">
        <f ca="1">IF($A102="*","",OFFSET(ITEMS_UPS!$C$8,AR102,0))</f>
        <v>UCTLCLEIN-E</v>
      </c>
      <c r="D102" s="440" t="str">
        <f>ITEMS_XFEmiss!$C$5</f>
        <v>CO2SF</v>
      </c>
      <c r="E102" s="440" t="str">
        <f t="shared" ca="1" si="44"/>
        <v>UCTLCLEIN-E-O</v>
      </c>
      <c r="F102" s="440" t="str">
        <f t="shared" si="45"/>
        <v>-</v>
      </c>
      <c r="G102" s="440" t="str">
        <f t="shared" si="46"/>
        <v>ANNUAL</v>
      </c>
      <c r="H102" s="441" t="str">
        <f t="shared" si="47"/>
        <v>-</v>
      </c>
      <c r="I102" s="441">
        <f t="shared" si="48"/>
        <v>0</v>
      </c>
      <c r="J102" s="163">
        <f ca="1">IF($A102="*","",OFFSET(UPS!$C$37,AU102,SUMIF($A$10:$A$20,"*#"&amp;AS102,$AT$10:$AT$20)))</f>
        <v>99.475504974982442</v>
      </c>
      <c r="K102" s="163"/>
      <c r="AR102" s="42">
        <f>AR99</f>
        <v>4</v>
      </c>
      <c r="AS102" s="42">
        <f>AS99+1</f>
        <v>9</v>
      </c>
      <c r="AU102" s="42">
        <f ca="1">SUMIF(UPS!B$38:B$171,C102,UPS!BD$38:BD$171)</f>
        <v>53</v>
      </c>
    </row>
    <row r="103" spans="1:48">
      <c r="B103" s="440" t="str">
        <f t="shared" si="43"/>
        <v>FLO_EMIS</v>
      </c>
      <c r="C103" s="440" t="str">
        <f ca="1">IF($A103="*","",OFFSET(ITEMS_UPS!$C$8,AR103,0))</f>
        <v>UCTLCLEIN-E</v>
      </c>
      <c r="D103" s="440" t="str">
        <f>ITEMS_XFEmiss!$C$3</f>
        <v>CH4SF</v>
      </c>
      <c r="E103" s="440" t="str">
        <f t="shared" ca="1" si="44"/>
        <v>UCTLCLEIN-E-O</v>
      </c>
      <c r="F103" s="440" t="str">
        <f t="shared" si="45"/>
        <v>-</v>
      </c>
      <c r="G103" s="440" t="str">
        <f t="shared" si="46"/>
        <v>ANNUAL</v>
      </c>
      <c r="H103" s="441" t="str">
        <f t="shared" si="47"/>
        <v>-</v>
      </c>
      <c r="I103" s="441">
        <f t="shared" si="48"/>
        <v>0</v>
      </c>
      <c r="J103" s="163">
        <f ca="1">IF($A103="*","",OFFSET(UPS!$C$37,AU103,SUMIF($A$10:$A$20,"*#"&amp;AS103,$AT$10:$AT$20)))</f>
        <v>0.39733151387714233</v>
      </c>
      <c r="K103" s="163"/>
      <c r="AR103" s="42">
        <f>AR102</f>
        <v>4</v>
      </c>
      <c r="AS103" s="42">
        <f>AS102+1</f>
        <v>10</v>
      </c>
      <c r="AU103" s="42">
        <f ca="1">SUMIF(UPS!B$38:B$171,C103,UPS!BD$38:BD$171)</f>
        <v>53</v>
      </c>
    </row>
    <row r="104" spans="1:48">
      <c r="B104" s="440" t="str">
        <f t="shared" si="43"/>
        <v>PRC_RESID</v>
      </c>
      <c r="C104" s="440" t="str">
        <f ca="1">IF($A104="*","",OFFSET(ITEMS_UPS!$C$8,AR104,0))</f>
        <v>UCTLCLEIN-E</v>
      </c>
      <c r="D104" s="440" t="str">
        <f ca="1">IF($A104="*","",IF(VLOOKUP("*#"&amp;$AS104,$A$10:$I$24,D$9+1,FALSE)="-","-",OFFSET(UPS!$C$37,AU104+AV104,SUMIF($A$10:$A$20,"*#"&amp;AS104,$AT$10:$AT$20))))</f>
        <v>-</v>
      </c>
      <c r="E104" s="440" t="str">
        <f t="shared" si="44"/>
        <v>-</v>
      </c>
      <c r="F104" s="440" t="str">
        <f t="shared" si="45"/>
        <v>-</v>
      </c>
      <c r="G104" s="440" t="str">
        <f t="shared" si="46"/>
        <v>-</v>
      </c>
      <c r="H104" s="441" t="str">
        <f t="shared" si="47"/>
        <v>-</v>
      </c>
      <c r="I104" s="441">
        <f t="shared" si="48"/>
        <v>0</v>
      </c>
      <c r="J104" s="163">
        <f ca="1">IF($A104="*","",OFFSET(UPS!$C$37,$AU104,SUMIF($A$10:$A$20,"*#"&amp;$AS104,$AT$10:$AT$20)+J$8))</f>
        <v>261.96656392262918</v>
      </c>
      <c r="K104" s="163">
        <f ca="1">IF($A104="*","",OFFSET(UPS!$C$37,$AU104,SUMIF($A$10:$A$20,"*#"&amp;$AS104,$AT$10:$AT$20)+K$8))</f>
        <v>261.96656392262918</v>
      </c>
      <c r="L104" s="163">
        <f ca="1">IF($A104="*","",OFFSET(UPS!$C$37,$AU104,SUMIF($A$10:$A$20,"*#"&amp;$AS104,$AT$10:$AT$20)+L$8))</f>
        <v>261.96656392262918</v>
      </c>
      <c r="M104" s="163">
        <f ca="1">IF($A104="*","",OFFSET(UPS!$C$37,$AU104,SUMIF($A$10:$A$20,"*#"&amp;$AS104,$AT$10:$AT$20)+M$8))</f>
        <v>261.96656392262918</v>
      </c>
      <c r="N104" s="163">
        <f ca="1">IF($A104="*","",OFFSET(UPS!$C$37,$AU104,SUMIF($A$10:$A$20,"*#"&amp;$AS104,$AT$10:$AT$20)+N$8))</f>
        <v>261.96656392262918</v>
      </c>
      <c r="O104" s="163">
        <f ca="1">IF($A104="*","",OFFSET(UPS!$C$37,$AU104,SUMIF($A$10:$A$20,"*#"&amp;$AS104,$AT$10:$AT$20)+O$8))</f>
        <v>261.96656392262918</v>
      </c>
      <c r="P104" s="163">
        <f ca="1">IF($A104="*","",OFFSET(UPS!$C$37,$AU104,SUMIF($A$10:$A$20,"*#"&amp;$AS104,$AT$10:$AT$20)+P$8))</f>
        <v>261.96656392262918</v>
      </c>
      <c r="Q104" s="163">
        <f ca="1">IF($A104="*","",OFFSET(UPS!$C$37,$AU104,SUMIF($A$10:$A$20,"*#"&amp;$AS104,$AT$10:$AT$20)+Q$8))</f>
        <v>261.96656392262918</v>
      </c>
      <c r="R104" s="163">
        <f ca="1">IF($A104="*","",OFFSET(UPS!$C$37,$AU104,SUMIF($A$10:$A$20,"*#"&amp;$AS104,$AT$10:$AT$20)+R$8))</f>
        <v>261.96656392262918</v>
      </c>
      <c r="S104" s="163">
        <f ca="1">IF($A104="*","",OFFSET(UPS!$C$37,$AU104,SUMIF($A$10:$A$20,"*#"&amp;$AS104,$AT$10:$AT$20)+S$8))</f>
        <v>261.96656392262918</v>
      </c>
      <c r="T104" s="163">
        <f ca="1">IF($A104="*","",OFFSET(UPS!$C$37,$AU104,SUMIF($A$10:$A$20,"*#"&amp;$AS104,$AT$10:$AT$20)+T$8))</f>
        <v>261.96656392262918</v>
      </c>
      <c r="U104" s="163">
        <f ca="1">IF($A104="*","",OFFSET(UPS!$C$37,$AU104,SUMIF($A$10:$A$20,"*#"&amp;$AS104,$AT$10:$AT$20)+U$8))</f>
        <v>261.96656392262918</v>
      </c>
      <c r="V104" s="163">
        <f ca="1">IF($A104="*","",OFFSET(UPS!$C$37,$AU104,SUMIF($A$10:$A$20,"*#"&amp;$AS104,$AT$10:$AT$20)+V$8))</f>
        <v>261.96656392262918</v>
      </c>
      <c r="W104" s="163">
        <f ca="1">IF($A104="*","",OFFSET(UPS!$C$37,$AU104,SUMIF($A$10:$A$20,"*#"&amp;$AS104,$AT$10:$AT$20)+W$8))</f>
        <v>261.96656392262918</v>
      </c>
      <c r="X104" s="163">
        <f ca="1">IF($A104="*","",OFFSET(UPS!$C$37,$AU104,SUMIF($A$10:$A$20,"*#"&amp;$AS104,$AT$10:$AT$20)+X$8))</f>
        <v>261.96656392262918</v>
      </c>
      <c r="Y104" s="163">
        <f ca="1">IF($A104="*","",OFFSET(UPS!$C$37,$AU104,SUMIF($A$10:$A$20,"*#"&amp;$AS104,$AT$10:$AT$20)+Y$8))</f>
        <v>261.96656392262918</v>
      </c>
      <c r="Z104" s="163">
        <f ca="1">IF($A104="*","",OFFSET(UPS!$C$37,$AU104,SUMIF($A$10:$A$20,"*#"&amp;$AS104,$AT$10:$AT$20)+Z$8))</f>
        <v>261.96656392262918</v>
      </c>
      <c r="AA104" s="163">
        <f ca="1">IF($A104="*","",OFFSET(UPS!$C$37,$AU104,SUMIF($A$10:$A$20,"*#"&amp;$AS104,$AT$10:$AT$20)+AA$8))</f>
        <v>261.96656392262918</v>
      </c>
      <c r="AB104" s="163">
        <f ca="1">IF($A104="*","",OFFSET(UPS!$C$37,$AU104,SUMIF($A$10:$A$20,"*#"&amp;$AS104,$AT$10:$AT$20)+AB$8))</f>
        <v>261.96656392262918</v>
      </c>
      <c r="AC104" s="163">
        <f ca="1">IF($A104="*","",OFFSET(UPS!$C$37,$AU104,SUMIF($A$10:$A$20,"*#"&amp;$AS104,$AT$10:$AT$20)+AC$8))</f>
        <v>261.96656392262918</v>
      </c>
      <c r="AD104" s="163">
        <f ca="1">IF($A104="*","",OFFSET(UPS!$C$37,$AU104,SUMIF($A$10:$A$20,"*#"&amp;$AS104,$AT$10:$AT$20)+AD$8))</f>
        <v>261.96656392262918</v>
      </c>
      <c r="AE104" s="163">
        <f ca="1">IF($A104="*","",OFFSET(UPS!$C$37,$AU104,SUMIF($A$10:$A$20,"*#"&amp;$AS104,$AT$10:$AT$20)+AE$8))</f>
        <v>261.96656392262918</v>
      </c>
      <c r="AF104" s="163">
        <f ca="1">IF($A104="*","",OFFSET(UPS!$C$37,$AU104,SUMIF($A$10:$A$20,"*#"&amp;$AS104,$AT$10:$AT$20)+AF$8))</f>
        <v>261.96656392262918</v>
      </c>
      <c r="AG104" s="163">
        <f ca="1">IF($A104="*","",OFFSET(UPS!$C$37,$AU104,SUMIF($A$10:$A$20,"*#"&amp;$AS104,$AT$10:$AT$20)+AG$8))</f>
        <v>261.96656392262918</v>
      </c>
      <c r="AH104" s="163">
        <f ca="1">IF($A104="*","",OFFSET(UPS!$C$37,$AU104,SUMIF($A$10:$A$20,"*#"&amp;$AS104,$AT$10:$AT$20)+AH$8))</f>
        <v>261.96656392262918</v>
      </c>
      <c r="AI104" s="163">
        <f ca="1">IF($A104="*","",OFFSET(UPS!$C$37,$AU104,SUMIF($A$10:$A$20,"*#"&amp;$AS104,$AT$10:$AT$20)+AI$8))</f>
        <v>261.96656392262918</v>
      </c>
      <c r="AJ104" s="163">
        <f ca="1">IF($A104="*","",OFFSET(UPS!$C$37,$AU104,SUMIF($A$10:$A$20,"*#"&amp;$AS104,$AT$10:$AT$20)+AJ$8))</f>
        <v>261.96656392262918</v>
      </c>
      <c r="AK104" s="163">
        <f ca="1">IF($A104="*","",OFFSET(UPS!$C$37,$AU104,SUMIF($A$10:$A$20,"*#"&amp;$AS104,$AT$10:$AT$20)+AK$8))</f>
        <v>261.96656392262918</v>
      </c>
      <c r="AL104" s="163">
        <f ca="1">IF($A104="*","",OFFSET(UPS!$C$37,$AU104,SUMIF($A$10:$A$20,"*#"&amp;$AS104,$AT$10:$AT$20)+AL$8))</f>
        <v>261.96656392262918</v>
      </c>
      <c r="AM104" s="163">
        <f ca="1">IF($A104="*","",OFFSET(UPS!$C$37,$AU104,SUMIF($A$10:$A$20,"*#"&amp;$AS104,$AT$10:$AT$20)+AM$8))</f>
        <v>261.96656392262918</v>
      </c>
      <c r="AN104" s="163">
        <f ca="1">IF($A104="*","",OFFSET(UPS!$C$37,$AU104,SUMIF($A$10:$A$20,"*#"&amp;$AS104,$AT$10:$AT$20)+AN$8))</f>
        <v>261.96656392262918</v>
      </c>
      <c r="AO104" s="163">
        <f ca="1">IF($A104="*","",OFFSET(UPS!$C$37,$AU104,SUMIF($A$10:$A$20,"*#"&amp;$AS104,$AT$10:$AT$20)+AO$8))</f>
        <v>261.96656392262918</v>
      </c>
      <c r="AP104" s="163">
        <f ca="1">IF($A104="*","",OFFSET(UPS!$C$37,$AU104,SUMIF($A$10:$A$20,"*#"&amp;$AS104,$AT$10:$AT$20)+AP$8))</f>
        <v>261.96656392262918</v>
      </c>
      <c r="AR104" s="42">
        <f>AR103</f>
        <v>4</v>
      </c>
      <c r="AS104" s="42">
        <f>AS103+1</f>
        <v>11</v>
      </c>
      <c r="AU104" s="42">
        <f ca="1">SUMIF(UPS!B$38:B$171,C104,UPS!BD$38:BD$171)</f>
        <v>53</v>
      </c>
    </row>
    <row r="105" spans="1:48">
      <c r="A105" s="42" t="s">
        <v>310</v>
      </c>
      <c r="B105" s="438" t="s">
        <v>601</v>
      </c>
      <c r="C105" s="440"/>
      <c r="D105" s="440"/>
      <c r="E105" s="440"/>
      <c r="F105" s="440"/>
      <c r="G105" s="440"/>
      <c r="H105" s="441"/>
      <c r="I105" s="441"/>
      <c r="J105" s="163"/>
      <c r="K105" s="163"/>
    </row>
    <row r="106" spans="1:48">
      <c r="B106" s="440" t="str">
        <f t="shared" ref="B106:B127" si="58">IF(A106="*","",VLOOKUP("*#"&amp;AS106,$A$9:$B$24,2,FALSE))</f>
        <v>ACT_COST</v>
      </c>
      <c r="C106" s="440" t="str">
        <f ca="1">IF($A106="*","",OFFSET(ITEMS_UPS!$C$8,AR106,0))</f>
        <v>UCTLCLEIN-N</v>
      </c>
      <c r="D106" s="440" t="str">
        <f ca="1">IF($A106="*","",IF(VLOOKUP("*#"&amp;$AS106,$A$10:$I$24,D$9+1,FALSE)="-","-",OFFSET(UPS!$C$37,AU106+AV106,SUMIF($A$10:$A$20,"*#"&amp;AS106,$AT$10:$AT$20))))</f>
        <v>-</v>
      </c>
      <c r="E106" s="440" t="str">
        <f t="shared" ref="E106:E127" si="59">IF($A106="*","",IF(VLOOKUP("*#"&amp;$AS106,$A$10:$I$24,E$9+1,FALSE)="-","-",C106&amp;"-"&amp;RIGHT(VLOOKUP("*#"&amp;$AS106,$A$10:$I$24,E$9+1,FALSE),1)))</f>
        <v>-</v>
      </c>
      <c r="F106" s="440" t="str">
        <f t="shared" ref="F106:F127" si="60">IF($A106="*","",IF(VLOOKUP("*#"&amp;$AS106,$A$10:$I$24,F$9+1,FALSE)="-","-",C106&amp;"-"&amp;RIGHT(VLOOKUP("*#"&amp;$AS106,$A$10:$I$24,F$9+1,FALSE),1)))</f>
        <v>-</v>
      </c>
      <c r="G106" s="440" t="str">
        <f t="shared" ref="G106:G124" si="61">IF($A106="*","",VLOOKUP("*#"&amp;$AS106,$A$10:$I$20,G$9+1,FALSE))</f>
        <v>-</v>
      </c>
      <c r="H106" s="441" t="str">
        <f t="shared" ref="H106:H127" si="62">IF($A106="*","",VLOOKUP("*#"&amp;$AS106,$A$10:$I$24,H$9+1,FALSE))</f>
        <v>-</v>
      </c>
      <c r="I106" s="441">
        <f t="shared" ref="I106:I124" si="63">IF($A106="*","",VLOOKUP("*#"&amp;$AS106,$A$10:$I$20,I$9+1,FALSE))</f>
        <v>0</v>
      </c>
      <c r="J106" s="163">
        <f ca="1">IF($A106="*","",OFFSET(UPS!$C$37,AU106,SUMIF($A$10:$A$20,"*#"&amp;AS106,$AT$10:$AT$20)))</f>
        <v>23.739875247063129</v>
      </c>
      <c r="K106" s="163"/>
      <c r="AR106" s="42">
        <v>6</v>
      </c>
      <c r="AS106" s="42">
        <v>1</v>
      </c>
      <c r="AU106" s="42">
        <f ca="1">SUMIF(UPS!B$38:B$171,C106,UPS!BD$38:BD$171)</f>
        <v>65</v>
      </c>
    </row>
    <row r="107" spans="1:48">
      <c r="B107" s="440" t="str">
        <f t="shared" si="58"/>
        <v>NCAP_AFA</v>
      </c>
      <c r="C107" s="440" t="str">
        <f ca="1">IF($A107="*","",OFFSET(ITEMS_UPS!$C$8,AR107,0))</f>
        <v>UCTLCLEIN-N</v>
      </c>
      <c r="D107" s="440" t="str">
        <f ca="1">IF($A107="*","",IF(VLOOKUP("*#"&amp;$AS107,$A$10:$I$24,D$9+1,FALSE)="-","-",OFFSET(UPS!$C$37,AU107+AV107,SUMIF($A$10:$A$20,"*#"&amp;AS107,$AT$10:$AT$20))))</f>
        <v>-</v>
      </c>
      <c r="E107" s="440" t="str">
        <f t="shared" si="59"/>
        <v>-</v>
      </c>
      <c r="F107" s="440" t="str">
        <f t="shared" si="60"/>
        <v>-</v>
      </c>
      <c r="G107" s="440" t="str">
        <f t="shared" si="61"/>
        <v>ANNUAL</v>
      </c>
      <c r="H107" s="441" t="str">
        <f t="shared" si="62"/>
        <v>UP</v>
      </c>
      <c r="I107" s="441">
        <f t="shared" si="63"/>
        <v>3</v>
      </c>
      <c r="J107" s="163">
        <f ca="1">IF($A107="*","",OFFSET(UPS!$C$37,AU107,SUMIF($A$10:$A$20,"*#"&amp;AS107,$AT$10:$AT$20)))</f>
        <v>0.96</v>
      </c>
      <c r="K107" s="163"/>
      <c r="AR107" s="42">
        <f t="shared" ref="AR107:AR122" si="64">AR106</f>
        <v>6</v>
      </c>
      <c r="AS107" s="42">
        <f t="shared" ref="AS107:AS112" si="65">IF(AR107=AR106,AS106+1,1)</f>
        <v>2</v>
      </c>
      <c r="AU107" s="42">
        <f ca="1">SUMIF(UPS!B$38:B$171,C107,UPS!BD$38:BD$171)</f>
        <v>65</v>
      </c>
    </row>
    <row r="108" spans="1:48">
      <c r="B108" s="440" t="str">
        <f t="shared" si="58"/>
        <v>NCAP_AFA</v>
      </c>
      <c r="C108" s="440" t="str">
        <f ca="1">IF($A108="*","",OFFSET(ITEMS_UPS!$C$8,AR108,0))</f>
        <v>UCTLCLEIN-N</v>
      </c>
      <c r="D108" s="440" t="str">
        <f ca="1">IF($A108="*","",IF(VLOOKUP("*#"&amp;$AS108,$A$10:$I$24,D$9+1,FALSE)="-","-",OFFSET(UPS!$C$37,AU108+AV108,SUMIF($A$10:$A$20,"*#"&amp;AS108,$AT$10:$AT$20))))</f>
        <v>-</v>
      </c>
      <c r="E108" s="440" t="str">
        <f t="shared" si="59"/>
        <v>-</v>
      </c>
      <c r="F108" s="440" t="str">
        <f t="shared" si="60"/>
        <v>-</v>
      </c>
      <c r="G108" s="440" t="str">
        <f t="shared" si="61"/>
        <v>ANNUAL</v>
      </c>
      <c r="H108" s="441" t="str">
        <f t="shared" si="62"/>
        <v>LO</v>
      </c>
      <c r="I108" s="441">
        <f t="shared" si="63"/>
        <v>3</v>
      </c>
      <c r="J108" s="163" t="str">
        <f ca="1">IF($A108="*","",OFFSET(UPS!$C$37,AU108,SUMIF($A$10:$A$20,"*#"&amp;AS108,$AT$10:$AT$20)))</f>
        <v/>
      </c>
      <c r="K108" s="163"/>
      <c r="AR108" s="42">
        <f t="shared" si="64"/>
        <v>6</v>
      </c>
      <c r="AS108" s="42">
        <f t="shared" si="65"/>
        <v>3</v>
      </c>
      <c r="AU108" s="42">
        <f ca="1">SUMIF(UPS!B$38:B$171,C108,UPS!BD$38:BD$171)</f>
        <v>65</v>
      </c>
    </row>
    <row r="109" spans="1:48">
      <c r="B109" s="440" t="str">
        <f t="shared" si="58"/>
        <v>NCAP_FOM</v>
      </c>
      <c r="C109" s="440" t="str">
        <f ca="1">IF($A109="*","",OFFSET(ITEMS_UPS!$C$8,AR109,0))</f>
        <v>UCTLCLEIN-N</v>
      </c>
      <c r="D109" s="440" t="str">
        <f ca="1">IF($A109="*","",IF(VLOOKUP("*#"&amp;$AS109,$A$10:$I$24,D$9+1,FALSE)="-","-",OFFSET(UPS!$C$37,AU109+AV109,SUMIF($A$10:$A$20,"*#"&amp;AS109,$AT$10:$AT$20))))</f>
        <v>-</v>
      </c>
      <c r="E109" s="440" t="str">
        <f t="shared" si="59"/>
        <v>-</v>
      </c>
      <c r="F109" s="440" t="str">
        <f t="shared" si="60"/>
        <v>-</v>
      </c>
      <c r="G109" s="440" t="str">
        <f t="shared" si="61"/>
        <v>-</v>
      </c>
      <c r="H109" s="441" t="str">
        <f t="shared" si="62"/>
        <v>-</v>
      </c>
      <c r="I109" s="441">
        <f t="shared" si="63"/>
        <v>0</v>
      </c>
      <c r="J109" s="163">
        <f ca="1">IF($A109="*","",OFFSET(UPS!$C$37,AU109,SUMIF($A$10:$A$20,"*#"&amp;AS109,$AT$10:$AT$20)))</f>
        <v>0</v>
      </c>
      <c r="K109" s="163"/>
      <c r="AR109" s="42">
        <f t="shared" si="64"/>
        <v>6</v>
      </c>
      <c r="AS109" s="42">
        <f t="shared" si="65"/>
        <v>4</v>
      </c>
      <c r="AU109" s="42">
        <f ca="1">SUMIF(UPS!B$38:B$171,C109,UPS!BD$38:BD$171)</f>
        <v>65</v>
      </c>
    </row>
    <row r="110" spans="1:48">
      <c r="B110" s="440" t="str">
        <f t="shared" si="58"/>
        <v>NCAP_BND</v>
      </c>
      <c r="C110" s="440" t="str">
        <f ca="1">IF($A110="*","",OFFSET(ITEMS_UPS!$C$8,AR110,0))</f>
        <v>UCTLCLEIN-N</v>
      </c>
      <c r="D110" s="440" t="str">
        <f ca="1">IF($A110="*","",IF(VLOOKUP("*#"&amp;$AS110,$A$10:$I$24,D$9+1,FALSE)="-","-",OFFSET(UPS!$C$37,AU110+AV110,SUMIF($A$10:$A$20,"*#"&amp;AS110,$AT$10:$AT$20))))</f>
        <v>-</v>
      </c>
      <c r="E110" s="440" t="str">
        <f t="shared" si="59"/>
        <v>-</v>
      </c>
      <c r="F110" s="440" t="str">
        <f t="shared" si="60"/>
        <v>-</v>
      </c>
      <c r="G110" s="440" t="str">
        <f t="shared" si="61"/>
        <v>-</v>
      </c>
      <c r="H110" s="441" t="str">
        <f t="shared" si="62"/>
        <v>UP</v>
      </c>
      <c r="I110" s="441">
        <f t="shared" si="63"/>
        <v>3</v>
      </c>
      <c r="J110" s="163">
        <f ca="1">IF($A110="*","",OFFSET(UPS!$C$37,AU110,SUMIF($A$10:$A$20,"*#"&amp;AS110,$AT$10:$AT$20)))</f>
        <v>0</v>
      </c>
      <c r="K110" s="163"/>
      <c r="AR110" s="42">
        <f>AR108</f>
        <v>6</v>
      </c>
      <c r="AS110" s="42">
        <f t="shared" si="65"/>
        <v>5</v>
      </c>
      <c r="AU110" s="42">
        <f ca="1">SUMIF(UPS!B$38:B$171,C110,UPS!BD$38:BD$171)</f>
        <v>65</v>
      </c>
    </row>
    <row r="111" spans="1:48">
      <c r="B111" s="440" t="str">
        <f t="shared" si="58"/>
        <v>FLO_FUNC</v>
      </c>
      <c r="C111" s="440" t="str">
        <f ca="1">IF($A111="*","",OFFSET(ITEMS_UPS!$C$8,AR111,0))</f>
        <v>UCTLCLEIN-N</v>
      </c>
      <c r="D111" s="440" t="str">
        <f ca="1">IF($A111="*","",IF(VLOOKUP("*#"&amp;$AS111,$A$10:$I$24,D$9+1,FALSE)="-","-",OFFSET(UPS!$C$37,AU111+AV111,SUMIF($A$10:$A$20,"*#"&amp;AS111,$AT$10:$AT$20))))</f>
        <v>-</v>
      </c>
      <c r="E111" s="440" t="str">
        <f t="shared" ca="1" si="59"/>
        <v>UCTLCLEIN-N-I</v>
      </c>
      <c r="F111" s="440" t="str">
        <f t="shared" ca="1" si="60"/>
        <v>UCTLCLEIN-N-O</v>
      </c>
      <c r="G111" s="440" t="str">
        <f t="shared" si="61"/>
        <v>ANNUAL</v>
      </c>
      <c r="H111" s="441" t="str">
        <f t="shared" si="62"/>
        <v>-</v>
      </c>
      <c r="I111" s="441">
        <f t="shared" si="63"/>
        <v>0</v>
      </c>
      <c r="J111" s="163">
        <f ca="1">IF($A111="*","",OFFSET(UPS!$C$37,AU111,SUMIF($A$10:$A$20,"*#"&amp;AS111,$AT$10:$AT$20)))</f>
        <v>0.34922414801284113</v>
      </c>
      <c r="K111" s="163"/>
      <c r="AR111" s="42">
        <f>AR108</f>
        <v>6</v>
      </c>
      <c r="AS111" s="42">
        <f t="shared" si="65"/>
        <v>6</v>
      </c>
      <c r="AU111" s="42">
        <f ca="1">SUMIF(UPS!B$38:B$171,C111,UPS!BD$38:BD$171)</f>
        <v>65</v>
      </c>
    </row>
    <row r="112" spans="1:48">
      <c r="B112" s="440" t="str">
        <f t="shared" si="58"/>
        <v>FLO_SHAR</v>
      </c>
      <c r="C112" s="440" t="str">
        <f ca="1">IF($A112="*","",OFFSET(ITEMS_UPS!$C$8,AR112,0))</f>
        <v>UCTLCLEIN-N</v>
      </c>
      <c r="D112" s="440" t="str">
        <f ca="1">IF($A112="*","",IF(VLOOKUP("*#"&amp;$AS112,$A$10:$I$24,D$9+1,FALSE)="-","-",OFFSET(UPS!$C$37,AU112+AV112,SUMIF($A$10:$A$20,"*#"&amp;AS112,$AT$10:$AT$20))))</f>
        <v>UPSCLE</v>
      </c>
      <c r="E112" s="440" t="str">
        <f t="shared" ca="1" si="59"/>
        <v>UCTLCLEIN-N-I</v>
      </c>
      <c r="F112" s="440" t="str">
        <f t="shared" si="60"/>
        <v>-</v>
      </c>
      <c r="G112" s="440" t="str">
        <f t="shared" si="61"/>
        <v>ANNUAL</v>
      </c>
      <c r="H112" s="441" t="str">
        <f t="shared" si="62"/>
        <v>FX</v>
      </c>
      <c r="I112" s="441">
        <f t="shared" si="63"/>
        <v>3</v>
      </c>
      <c r="J112" s="163">
        <f ca="1">IF($A112="*","",OFFSET(UPS!$C$37,AU112+AV112,SUMIF($A$10:$A$20,"*#"&amp;AS112,$AV$10:$AV$20)))</f>
        <v>0.65963269300300886</v>
      </c>
      <c r="K112" s="163"/>
      <c r="AR112" s="42">
        <f t="shared" si="64"/>
        <v>6</v>
      </c>
      <c r="AS112" s="42">
        <f t="shared" si="65"/>
        <v>7</v>
      </c>
      <c r="AU112" s="42">
        <f ca="1">SUMIF(UPS!B$38:B$171,C112,UPS!BD$38:BD$171)</f>
        <v>65</v>
      </c>
      <c r="AV112" s="42">
        <v>0</v>
      </c>
    </row>
    <row r="113" spans="1:48">
      <c r="B113" s="440" t="str">
        <f t="shared" si="58"/>
        <v>FLO_SHAR</v>
      </c>
      <c r="C113" s="440" t="str">
        <f ca="1">IF($A113="*","",OFFSET(ITEMS_UPS!$C$8,AR113,0))</f>
        <v>UCTLCLEIN-N</v>
      </c>
      <c r="D113" s="440" t="str">
        <f ca="1">IF($A113="*","",IF(VLOOKUP("*#"&amp;$AS113,$A$10:$I$24,D$9+1,FALSE)="-","-",OFFSET(UPS!$C$37,AU113+AV113,SUMIF($A$10:$A$20,"*#"&amp;AS113,$AT$10:$AT$20))))</f>
        <v>UPSGAS</v>
      </c>
      <c r="E113" s="440" t="str">
        <f t="shared" ca="1" si="59"/>
        <v>UCTLCLEIN-N-I</v>
      </c>
      <c r="F113" s="440" t="str">
        <f t="shared" si="60"/>
        <v>-</v>
      </c>
      <c r="G113" s="440" t="str">
        <f t="shared" si="61"/>
        <v>ANNUAL</v>
      </c>
      <c r="H113" s="441" t="str">
        <f t="shared" si="62"/>
        <v>FX</v>
      </c>
      <c r="I113" s="441">
        <f t="shared" si="63"/>
        <v>3</v>
      </c>
      <c r="J113" s="163">
        <f ca="1">IF($A113="*","",OFFSET(UPS!$C$37,AU113+AV113,SUMIF($A$10:$A$20,"*#"&amp;AS113,$AV$10:$AV$20)))</f>
        <v>6.1679045115178993E-2</v>
      </c>
      <c r="K113" s="163"/>
      <c r="AR113" s="42">
        <f t="shared" si="64"/>
        <v>6</v>
      </c>
      <c r="AS113" s="42">
        <f>AS112</f>
        <v>7</v>
      </c>
      <c r="AU113" s="42">
        <f ca="1">SUMIF(UPS!B$38:B$171,C113,UPS!BD$38:BD$171)</f>
        <v>65</v>
      </c>
      <c r="AV113" s="42">
        <f>AV112+1</f>
        <v>1</v>
      </c>
    </row>
    <row r="114" spans="1:48">
      <c r="B114" s="440" t="str">
        <f t="shared" si="58"/>
        <v>FLO_SHAR</v>
      </c>
      <c r="C114" s="440" t="str">
        <f ca="1">IF($A114="*","",OFFSET(ITEMS_UPS!$C$8,AR114,0))</f>
        <v>UCTLCLEIN-N</v>
      </c>
      <c r="D114" s="440" t="str">
        <f ca="1">IF($A114="*","",IF(VLOOKUP("*#"&amp;$AS114,$A$10:$I$24,D$9+1,FALSE)="-","-",OFFSET(UPS!$C$37,AU114+AV114,SUMIF($A$10:$A$20,"*#"&amp;AS114,$AT$10:$AT$20))))</f>
        <v>UPSELC</v>
      </c>
      <c r="E114" s="440" t="str">
        <f t="shared" ca="1" si="59"/>
        <v>UCTLCLEIN-N-I</v>
      </c>
      <c r="F114" s="440" t="str">
        <f t="shared" si="60"/>
        <v>-</v>
      </c>
      <c r="G114" s="440" t="str">
        <f t="shared" si="61"/>
        <v>ANNUAL</v>
      </c>
      <c r="H114" s="441" t="str">
        <f t="shared" si="62"/>
        <v>FX</v>
      </c>
      <c r="I114" s="441">
        <f t="shared" si="63"/>
        <v>3</v>
      </c>
      <c r="J114" s="163">
        <f ca="1">IF($A114="*","",OFFSET(UPS!$C$37,AU114+AV114,SUMIF($A$10:$A$20,"*#"&amp;AS114,$AV$10:$AV$20)))</f>
        <v>4.294262361898564E-2</v>
      </c>
      <c r="K114" s="163"/>
      <c r="AR114" s="42">
        <f t="shared" si="64"/>
        <v>6</v>
      </c>
      <c r="AS114" s="42">
        <f>AS113</f>
        <v>7</v>
      </c>
      <c r="AU114" s="42">
        <f ca="1">SUMIF(UPS!B$38:B$171,C114,UPS!BD$38:BD$171)</f>
        <v>65</v>
      </c>
      <c r="AV114" s="42">
        <f>AV113+1</f>
        <v>2</v>
      </c>
    </row>
    <row r="115" spans="1:48">
      <c r="B115" s="440" t="str">
        <f t="shared" si="58"/>
        <v>FLO_SHAR</v>
      </c>
      <c r="C115" s="440" t="str">
        <f ca="1">IF($A115="*","",OFFSET(ITEMS_UPS!$C$8,AR115,0))</f>
        <v>UCTLCLEIN-N</v>
      </c>
      <c r="D115" s="440" t="str">
        <f ca="1">IF($A115="*","",IF(VLOOKUP("*#"&amp;$AS115,$A$10:$I$24,D$9+1,FALSE)="-","-",OFFSET(UPS!$C$37,AU115+AV115,SUMIF($A$10:$A$20,"*#"&amp;AS115,$AT$10:$AT$20))))</f>
        <v>UPSHEN</v>
      </c>
      <c r="E115" s="440" t="str">
        <f t="shared" ca="1" si="59"/>
        <v>UCTLCLEIN-N-I</v>
      </c>
      <c r="F115" s="440" t="str">
        <f t="shared" si="60"/>
        <v>-</v>
      </c>
      <c r="G115" s="440" t="str">
        <f t="shared" si="61"/>
        <v>ANNUAL</v>
      </c>
      <c r="H115" s="441" t="str">
        <f t="shared" si="62"/>
        <v>FX</v>
      </c>
      <c r="I115" s="441">
        <f t="shared" si="63"/>
        <v>3</v>
      </c>
      <c r="J115" s="163">
        <f ca="1">IF($A115="*","",OFFSET(UPS!$C$37,AU115+AV115,SUMIF($A$10:$A$20,"*#"&amp;AS115,$AV$10:$AV$20)))</f>
        <v>0.23574563826282655</v>
      </c>
      <c r="K115" s="163"/>
      <c r="AR115" s="42">
        <f t="shared" si="64"/>
        <v>6</v>
      </c>
      <c r="AS115" s="42">
        <f>AS114</f>
        <v>7</v>
      </c>
      <c r="AU115" s="42">
        <f ca="1">SUMIF(UPS!B$38:B$171,C115,UPS!BD$38:BD$171)</f>
        <v>65</v>
      </c>
      <c r="AV115" s="42">
        <f t="shared" ref="AV115:AV122" si="66">AV114+1</f>
        <v>3</v>
      </c>
    </row>
    <row r="116" spans="1:48">
      <c r="B116" s="440" t="str">
        <f t="shared" si="58"/>
        <v>FLO_SHAR</v>
      </c>
      <c r="C116" s="440" t="str">
        <f ca="1">IF($A116="*","",OFFSET(ITEMS_UPS!$C$8,AR116,0))</f>
        <v>UCTLCLEIN-N</v>
      </c>
      <c r="D116" s="440" t="str">
        <f ca="1">IF($A116="*","",IF(VLOOKUP("*#"&amp;$AS116,$A$10:$I$24,D$9+1,FALSE)="-","-",OFFSET(UPS!$C$37,AU116+AV116,SUMIF($A$10:$A$20,"*#"&amp;AS116,$AT$10:$AT$20))))</f>
        <v>OAG</v>
      </c>
      <c r="E116" s="440" t="str">
        <f t="shared" ca="1" si="59"/>
        <v>UCTLCLEIN-N-O</v>
      </c>
      <c r="F116" s="440" t="str">
        <f t="shared" si="60"/>
        <v>-</v>
      </c>
      <c r="G116" s="440" t="str">
        <f t="shared" si="61"/>
        <v>ANNUAL</v>
      </c>
      <c r="H116" s="441" t="str">
        <f t="shared" si="62"/>
        <v>UP</v>
      </c>
      <c r="I116" s="441">
        <f t="shared" si="63"/>
        <v>3</v>
      </c>
      <c r="J116" s="163">
        <f ca="1">IF($A116="*","",OFFSET(UPS!$C$37,AU116+AV116,SUMIF($A$10:$A$20,"*#"&amp;AS116,$AV$10:$AV$20)))</f>
        <v>0</v>
      </c>
      <c r="K116" s="163"/>
      <c r="AR116" s="42">
        <f t="shared" si="64"/>
        <v>6</v>
      </c>
      <c r="AS116" s="42">
        <f>IF(AR116=AR115,AS115+1,1)</f>
        <v>8</v>
      </c>
      <c r="AU116" s="42">
        <f ca="1">SUMIF(UPS!B$38:B$171,C116,UPS!BD$38:BD$171)</f>
        <v>65</v>
      </c>
      <c r="AV116" s="42">
        <f t="shared" si="66"/>
        <v>4</v>
      </c>
    </row>
    <row r="117" spans="1:48">
      <c r="B117" s="440" t="str">
        <f t="shared" si="58"/>
        <v>FLO_SHAR</v>
      </c>
      <c r="C117" s="440" t="str">
        <f ca="1">IF($A117="*","",OFFSET(ITEMS_UPS!$C$8,AR117,0))</f>
        <v>UCTLCLEIN-N</v>
      </c>
      <c r="D117" s="440" t="str">
        <f ca="1">IF($A117="*","",IF(VLOOKUP("*#"&amp;$AS117,$A$10:$I$24,D$9+1,FALSE)="-","-",OFFSET(UPS!$C$37,AU117+AV117,SUMIF($A$10:$A$20,"*#"&amp;AS117,$AT$10:$AT$20))))</f>
        <v>ODS</v>
      </c>
      <c r="E117" s="440" t="str">
        <f t="shared" ca="1" si="59"/>
        <v>UCTLCLEIN-N-O</v>
      </c>
      <c r="F117" s="440" t="str">
        <f t="shared" si="60"/>
        <v>-</v>
      </c>
      <c r="G117" s="440" t="str">
        <f t="shared" si="61"/>
        <v>ANNUAL</v>
      </c>
      <c r="H117" s="441" t="str">
        <f t="shared" si="62"/>
        <v>UP</v>
      </c>
      <c r="I117" s="441">
        <f t="shared" si="63"/>
        <v>3</v>
      </c>
      <c r="J117" s="163">
        <f ca="1">IF($A117="*","",OFFSET(UPS!$C$37,AU117+AV117,SUMIF($A$10:$A$20,"*#"&amp;AS117,$AV$10:$AV$20)))</f>
        <v>0.73</v>
      </c>
      <c r="K117" s="163"/>
      <c r="AR117" s="42">
        <f t="shared" si="64"/>
        <v>6</v>
      </c>
      <c r="AS117" s="42">
        <f t="shared" ref="AS117:AS122" si="67">AS116</f>
        <v>8</v>
      </c>
      <c r="AU117" s="42">
        <f ca="1">SUMIF(UPS!B$38:B$171,C117,UPS!BD$38:BD$171)</f>
        <v>65</v>
      </c>
      <c r="AV117" s="42">
        <f t="shared" si="66"/>
        <v>5</v>
      </c>
    </row>
    <row r="118" spans="1:48">
      <c r="B118" s="440" t="str">
        <f t="shared" si="58"/>
        <v>FLO_SHAR</v>
      </c>
      <c r="C118" s="440" t="str">
        <f ca="1">IF($A118="*","",OFFSET(ITEMS_UPS!$C$8,AR118,0))</f>
        <v>UCTLCLEIN-N</v>
      </c>
      <c r="D118" s="440" t="str">
        <f ca="1">IF($A118="*","",IF(VLOOKUP("*#"&amp;$AS118,$A$10:$I$24,D$9+1,FALSE)="-","-",OFFSET(UPS!$C$37,AU118+AV118,SUMIF($A$10:$A$20,"*#"&amp;AS118,$AT$10:$AT$20))))</f>
        <v>OGS</v>
      </c>
      <c r="E118" s="440" t="str">
        <f t="shared" ca="1" si="59"/>
        <v>UCTLCLEIN-N-O</v>
      </c>
      <c r="F118" s="440" t="str">
        <f t="shared" si="60"/>
        <v>-</v>
      </c>
      <c r="G118" s="440" t="str">
        <f t="shared" si="61"/>
        <v>ANNUAL</v>
      </c>
      <c r="H118" s="441" t="str">
        <f t="shared" si="62"/>
        <v>UP</v>
      </c>
      <c r="I118" s="441">
        <f t="shared" si="63"/>
        <v>3</v>
      </c>
      <c r="J118" s="163">
        <f ca="1">IF($A118="*","",OFFSET(UPS!$C$37,AU118+AV118,SUMIF($A$10:$A$20,"*#"&amp;AS118,$AV$10:$AV$20)))</f>
        <v>0.23499999999999999</v>
      </c>
      <c r="K118" s="163"/>
      <c r="AR118" s="42">
        <f t="shared" si="64"/>
        <v>6</v>
      </c>
      <c r="AS118" s="42">
        <f t="shared" si="67"/>
        <v>8</v>
      </c>
      <c r="AU118" s="42">
        <f ca="1">SUMIF(UPS!B$38:B$171,C118,UPS!BD$38:BD$171)</f>
        <v>65</v>
      </c>
      <c r="AV118" s="42">
        <f t="shared" si="66"/>
        <v>6</v>
      </c>
    </row>
    <row r="119" spans="1:48">
      <c r="B119" s="440" t="str">
        <f t="shared" si="58"/>
        <v>FLO_SHAR</v>
      </c>
      <c r="C119" s="440" t="str">
        <f ca="1">IF($A119="*","",OFFSET(ITEMS_UPS!$C$8,AR119,0))</f>
        <v>UCTLCLEIN-N</v>
      </c>
      <c r="D119" s="440" t="str">
        <f ca="1">IF($A119="*","",IF(VLOOKUP("*#"&amp;$AS119,$A$10:$I$24,D$9+1,FALSE)="-","-",OFFSET(UPS!$C$37,AU119+AV119,SUMIF($A$10:$A$20,"*#"&amp;AS119,$AT$10:$AT$20))))</f>
        <v>GIM</v>
      </c>
      <c r="E119" s="440" t="str">
        <f t="shared" ca="1" si="59"/>
        <v>UCTLCLEIN-N-O</v>
      </c>
      <c r="F119" s="440" t="str">
        <f t="shared" si="60"/>
        <v>-</v>
      </c>
      <c r="G119" s="440" t="str">
        <f t="shared" si="61"/>
        <v>ANNUAL</v>
      </c>
      <c r="H119" s="441" t="str">
        <f t="shared" si="62"/>
        <v>UP</v>
      </c>
      <c r="I119" s="441">
        <f t="shared" si="63"/>
        <v>3</v>
      </c>
      <c r="J119" s="163">
        <f ca="1">IF($A119="*","",OFFSET(UPS!$C$37,AU119+AV119,SUMIF($A$10:$A$20,"*#"&amp;AS119,$AV$10:$AV$20)))</f>
        <v>0</v>
      </c>
      <c r="K119" s="163"/>
      <c r="AR119" s="42">
        <f t="shared" si="64"/>
        <v>6</v>
      </c>
      <c r="AS119" s="42">
        <f t="shared" si="67"/>
        <v>8</v>
      </c>
      <c r="AU119" s="42">
        <f ca="1">SUMIF(UPS!B$38:B$171,C119,UPS!BD$38:BD$171)</f>
        <v>65</v>
      </c>
      <c r="AV119" s="42">
        <f t="shared" si="66"/>
        <v>7</v>
      </c>
    </row>
    <row r="120" spans="1:48">
      <c r="B120" s="440" t="str">
        <f t="shared" si="58"/>
        <v>FLO_SHAR</v>
      </c>
      <c r="C120" s="440" t="str">
        <f ca="1">IF($A120="*","",OFFSET(ITEMS_UPS!$C$8,AR120,0))</f>
        <v>UCTLCLEIN-N</v>
      </c>
      <c r="D120" s="440" t="str">
        <f ca="1">IF($A120="*","",IF(VLOOKUP("*#"&amp;$AS120,$A$10:$I$24,D$9+1,FALSE)="-","-",OFFSET(UPS!$C$37,AU120+AV120,SUMIF($A$10:$A$20,"*#"&amp;AS120,$AT$10:$AT$20))))</f>
        <v>OKE</v>
      </c>
      <c r="E120" s="440" t="str">
        <f t="shared" ca="1" si="59"/>
        <v>UCTLCLEIN-N-O</v>
      </c>
      <c r="F120" s="440" t="str">
        <f t="shared" si="60"/>
        <v>-</v>
      </c>
      <c r="G120" s="440" t="str">
        <f t="shared" si="61"/>
        <v>ANNUAL</v>
      </c>
      <c r="H120" s="441" t="str">
        <f t="shared" si="62"/>
        <v>UP</v>
      </c>
      <c r="I120" s="441">
        <f t="shared" si="63"/>
        <v>3</v>
      </c>
      <c r="J120" s="163">
        <f ca="1">IF($A120="*","",OFFSET(UPS!$C$37,AU120+AV120,SUMIF($A$10:$A$20,"*#"&amp;AS120,$AV$10:$AV$20)))</f>
        <v>0</v>
      </c>
      <c r="K120" s="163"/>
      <c r="AR120" s="42">
        <f t="shared" si="64"/>
        <v>6</v>
      </c>
      <c r="AS120" s="42">
        <f t="shared" si="67"/>
        <v>8</v>
      </c>
      <c r="AU120" s="42">
        <f ca="1">SUMIF(UPS!B$38:B$171,C120,UPS!BD$38:BD$171)</f>
        <v>65</v>
      </c>
      <c r="AV120" s="42">
        <f t="shared" si="66"/>
        <v>8</v>
      </c>
    </row>
    <row r="121" spans="1:48">
      <c r="B121" s="440" t="str">
        <f t="shared" si="58"/>
        <v>FLO_SHAR</v>
      </c>
      <c r="C121" s="440" t="str">
        <f ca="1">IF($A121="*","",OFFSET(ITEMS_UPS!$C$8,AR121,0))</f>
        <v>UCTLCLEIN-N</v>
      </c>
      <c r="D121" s="440" t="str">
        <f ca="1">IF($A121="*","",IF(VLOOKUP("*#"&amp;$AS121,$A$10:$I$24,D$9+1,FALSE)="-","-",OFFSET(UPS!$C$37,AU121+AV121,SUMIF($A$10:$A$20,"*#"&amp;AS121,$AT$10:$AT$20))))</f>
        <v>OLP</v>
      </c>
      <c r="E121" s="440" t="str">
        <f t="shared" ca="1" si="59"/>
        <v>UCTLCLEIN-N-O</v>
      </c>
      <c r="F121" s="440" t="str">
        <f t="shared" si="60"/>
        <v>-</v>
      </c>
      <c r="G121" s="440" t="str">
        <f t="shared" si="61"/>
        <v>ANNUAL</v>
      </c>
      <c r="H121" s="441" t="str">
        <f t="shared" si="62"/>
        <v>UP</v>
      </c>
      <c r="I121" s="441">
        <f t="shared" si="63"/>
        <v>3</v>
      </c>
      <c r="J121" s="163">
        <f ca="1">IF($A121="*","",OFFSET(UPS!$C$37,AU121+AV121,SUMIF($A$10:$A$20,"*#"&amp;AS121,$AV$10:$AV$20)))</f>
        <v>3.5000000000000003E-2</v>
      </c>
      <c r="K121" s="163"/>
      <c r="AR121" s="42">
        <f t="shared" si="64"/>
        <v>6</v>
      </c>
      <c r="AS121" s="42">
        <f t="shared" si="67"/>
        <v>8</v>
      </c>
      <c r="AU121" s="42">
        <f ca="1">SUMIF(UPS!B$38:B$171,C121,UPS!BD$38:BD$171)</f>
        <v>65</v>
      </c>
      <c r="AV121" s="42">
        <f t="shared" si="66"/>
        <v>9</v>
      </c>
    </row>
    <row r="122" spans="1:48">
      <c r="B122" s="440" t="str">
        <f t="shared" si="58"/>
        <v>FLO_SHAR</v>
      </c>
      <c r="C122" s="440" t="str">
        <f ca="1">IF($A122="*","",OFFSET(ITEMS_UPS!$C$8,AR122,0))</f>
        <v>UCTLCLEIN-N</v>
      </c>
      <c r="D122" s="440" t="str">
        <f ca="1">IF($A122="*","",IF(VLOOKUP("*#"&amp;$AS122,$A$10:$I$24,D$9+1,FALSE)="-","-",OFFSET(UPS!$C$37,AU122+AV122,SUMIF($A$10:$A$20,"*#"&amp;AS122,$AT$10:$AT$20))))</f>
        <v>OTH</v>
      </c>
      <c r="E122" s="440" t="str">
        <f t="shared" ca="1" si="59"/>
        <v>UCTLCLEIN-N-O</v>
      </c>
      <c r="F122" s="440" t="str">
        <f t="shared" si="60"/>
        <v>-</v>
      </c>
      <c r="G122" s="440" t="str">
        <f t="shared" si="61"/>
        <v>ANNUAL</v>
      </c>
      <c r="H122" s="441" t="str">
        <f t="shared" si="62"/>
        <v>UP</v>
      </c>
      <c r="I122" s="441">
        <f t="shared" si="63"/>
        <v>3</v>
      </c>
      <c r="J122" s="163">
        <f ca="1">IF($A122="*","",OFFSET(UPS!$C$37,AU122+AV122,SUMIF($A$10:$A$20,"*#"&amp;AS122,$AV$10:$AV$20)))</f>
        <v>0</v>
      </c>
      <c r="K122" s="163"/>
      <c r="AR122" s="42">
        <f t="shared" si="64"/>
        <v>6</v>
      </c>
      <c r="AS122" s="42">
        <f t="shared" si="67"/>
        <v>8</v>
      </c>
      <c r="AU122" s="42">
        <f ca="1">SUMIF(UPS!B$38:B$171,C122,UPS!BD$38:BD$171)</f>
        <v>65</v>
      </c>
      <c r="AV122" s="42">
        <f t="shared" si="66"/>
        <v>10</v>
      </c>
    </row>
    <row r="123" spans="1:48">
      <c r="B123" s="440" t="str">
        <f t="shared" si="58"/>
        <v>FLO_EMIS</v>
      </c>
      <c r="C123" s="440" t="str">
        <f ca="1">IF($A123="*","",OFFSET(ITEMS_UPS!$C$8,AR123,0))</f>
        <v>UCTLCLEIN-N</v>
      </c>
      <c r="D123" s="440" t="str">
        <f>ITEMS_XFEmiss!$C$5</f>
        <v>CO2SF</v>
      </c>
      <c r="E123" s="440" t="str">
        <f t="shared" ca="1" si="59"/>
        <v>UCTLCLEIN-N-O</v>
      </c>
      <c r="F123" s="440" t="str">
        <f t="shared" si="60"/>
        <v>-</v>
      </c>
      <c r="G123" s="440" t="str">
        <f t="shared" si="61"/>
        <v>ANNUAL</v>
      </c>
      <c r="H123" s="441" t="str">
        <f t="shared" si="62"/>
        <v>-</v>
      </c>
      <c r="I123" s="441">
        <f t="shared" si="63"/>
        <v>0</v>
      </c>
      <c r="J123" s="163">
        <f ca="1">IF($A123="*","",OFFSET(UPS!$C$37,AU123,SUMIF($A$10:$A$20,"*#"&amp;AS123,$AT$10:$AT$20)))</f>
        <v>99.475504974982442</v>
      </c>
      <c r="K123" s="163"/>
      <c r="AR123" s="42">
        <f>AR120</f>
        <v>6</v>
      </c>
      <c r="AS123" s="42">
        <f>AS120+1</f>
        <v>9</v>
      </c>
      <c r="AU123" s="42">
        <f ca="1">SUMIF(UPS!B$38:B$171,C123,UPS!BD$38:BD$171)</f>
        <v>65</v>
      </c>
    </row>
    <row r="124" spans="1:48">
      <c r="B124" s="440" t="str">
        <f t="shared" si="58"/>
        <v>FLO_EMIS</v>
      </c>
      <c r="C124" s="440" t="str">
        <f ca="1">IF($A124="*","",OFFSET(ITEMS_UPS!$C$8,AR124,0))</f>
        <v>UCTLCLEIN-N</v>
      </c>
      <c r="D124" s="440" t="str">
        <f>ITEMS_XFEmiss!$C$3</f>
        <v>CH4SF</v>
      </c>
      <c r="E124" s="440" t="str">
        <f t="shared" ca="1" si="59"/>
        <v>UCTLCLEIN-N-O</v>
      </c>
      <c r="F124" s="440" t="str">
        <f t="shared" si="60"/>
        <v>-</v>
      </c>
      <c r="G124" s="440" t="str">
        <f t="shared" si="61"/>
        <v>ANNUAL</v>
      </c>
      <c r="H124" s="441" t="str">
        <f t="shared" si="62"/>
        <v>-</v>
      </c>
      <c r="I124" s="441">
        <f t="shared" si="63"/>
        <v>0</v>
      </c>
      <c r="J124" s="163">
        <f ca="1">IF($A124="*","",OFFSET(UPS!$C$37,AU124,SUMIF($A$10:$A$20,"*#"&amp;AS124,$AT$10:$AT$20)))</f>
        <v>0.39733151387714233</v>
      </c>
      <c r="K124" s="163"/>
      <c r="AR124" s="42">
        <f>AR123</f>
        <v>6</v>
      </c>
      <c r="AS124" s="42">
        <f>AS123+1</f>
        <v>10</v>
      </c>
      <c r="AU124" s="42">
        <f ca="1">SUMIF(UPS!B$38:B$171,C124,UPS!BD$38:BD$171)</f>
        <v>65</v>
      </c>
    </row>
    <row r="125" spans="1:48">
      <c r="B125" s="440" t="str">
        <f t="shared" si="58"/>
        <v>NCAP_COST</v>
      </c>
      <c r="C125" s="440" t="str">
        <f ca="1">IF($A125="*","",OFFSET(ITEMS_UPS!$C$8,AR125,0))</f>
        <v>UCTLCLEIN-N</v>
      </c>
      <c r="D125" s="440" t="str">
        <f ca="1">IF($A125="*","",IF(VLOOKUP("*#"&amp;$AS125,$A$10:$I$24,D$9+1,FALSE)="-","-",OFFSET(UPS!$C$37,AU125+AV125,SUMIF($A$10:$A$20,"*#"&amp;AS125,$AT$10:$AT$20))))</f>
        <v>-</v>
      </c>
      <c r="E125" s="440" t="str">
        <f t="shared" si="59"/>
        <v>-</v>
      </c>
      <c r="F125" s="440" t="str">
        <f t="shared" si="60"/>
        <v>-</v>
      </c>
      <c r="G125" s="440" t="str">
        <f>IF($A125="*","",VLOOKUP("*#"&amp;$AS125,$A$10:$I$24,G$9+1,FALSE))</f>
        <v>-</v>
      </c>
      <c r="H125" s="441" t="str">
        <f t="shared" si="62"/>
        <v>-</v>
      </c>
      <c r="I125" s="441">
        <f>IF($A125="*","",VLOOKUP("*#"&amp;$AS125,$A$10:$I$24,I$9+1,FALSE))</f>
        <v>0</v>
      </c>
      <c r="J125" s="163">
        <f ca="1">IF($A125="*","",OFFSET(UPS!$C$37,AU125,SUMIF($A$10:$A$24,"*#"&amp;AS125,$AT$10:$AT$24)))</f>
        <v>576.20825372119009</v>
      </c>
      <c r="K125" s="163"/>
      <c r="L125" s="163"/>
      <c r="M125" s="163"/>
      <c r="N125" s="163"/>
      <c r="O125" s="163"/>
      <c r="P125" s="163"/>
      <c r="Q125" s="163"/>
      <c r="R125" s="163"/>
      <c r="S125" s="163"/>
      <c r="T125" s="163"/>
      <c r="U125" s="163"/>
      <c r="V125" s="163"/>
      <c r="W125" s="163"/>
      <c r="X125" s="163"/>
      <c r="Y125" s="163"/>
      <c r="Z125" s="163"/>
      <c r="AA125" s="163"/>
      <c r="AB125" s="163"/>
      <c r="AC125" s="163"/>
      <c r="AD125" s="163"/>
      <c r="AE125" s="163"/>
      <c r="AF125" s="163"/>
      <c r="AG125" s="163"/>
      <c r="AH125" s="163"/>
      <c r="AI125" s="163"/>
      <c r="AJ125" s="163"/>
      <c r="AK125" s="163"/>
      <c r="AL125" s="163"/>
      <c r="AM125" s="163"/>
      <c r="AN125" s="163"/>
      <c r="AO125" s="163"/>
      <c r="AP125" s="163"/>
      <c r="AR125" s="42">
        <f>AR124</f>
        <v>6</v>
      </c>
      <c r="AS125" s="42">
        <f>AS124+2</f>
        <v>12</v>
      </c>
      <c r="AU125" s="42">
        <f ca="1">SUMIF(UPS!B$38:B$171,C125,UPS!BD$38:BD$171)</f>
        <v>65</v>
      </c>
    </row>
    <row r="126" spans="1:48">
      <c r="B126" s="440" t="str">
        <f t="shared" si="58"/>
        <v>NCAP_TLIFE</v>
      </c>
      <c r="C126" s="440" t="str">
        <f ca="1">IF($A126="*","",OFFSET(ITEMS_UPS!$C$8,AR126,0))</f>
        <v>UCTLCLEIN-N</v>
      </c>
      <c r="D126" s="440" t="str">
        <f ca="1">IF($A126="*","",IF(VLOOKUP("*#"&amp;$AS126,$A$10:$I$24,D$9+1,FALSE)="-","-",OFFSET(UPS!$C$37,AU126+AV126,SUMIF($A$10:$A$20,"*#"&amp;AS126,$AT$10:$AT$20))))</f>
        <v>-</v>
      </c>
      <c r="E126" s="440" t="str">
        <f t="shared" si="59"/>
        <v>-</v>
      </c>
      <c r="F126" s="440" t="str">
        <f t="shared" si="60"/>
        <v>-</v>
      </c>
      <c r="G126" s="440" t="str">
        <f>IF($A126="*","",VLOOKUP("*#"&amp;$AS126,$A$10:$I$24,G$9+1,FALSE))</f>
        <v>-</v>
      </c>
      <c r="H126" s="441" t="str">
        <f t="shared" si="62"/>
        <v>-</v>
      </c>
      <c r="I126" s="441">
        <f>IF($A126="*","",VLOOKUP("*#"&amp;$AS126,$A$10:$I$24,I$9+1,FALSE))</f>
        <v>0</v>
      </c>
      <c r="J126" s="163">
        <f ca="1">IF($A126="*","",OFFSET(UPS!$C$37,AU126,SUMIF($A$10:$A$24,"*#"&amp;AS126,$AT$10:$AT$24)))</f>
        <v>50</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AS125+1</f>
        <v>13</v>
      </c>
      <c r="AU126" s="42">
        <f ca="1">SUMIF(UPS!B$38:B$171,C126,UPS!BD$38:BD$171)</f>
        <v>65</v>
      </c>
    </row>
    <row r="127" spans="1:48">
      <c r="B127" s="440" t="str">
        <f t="shared" si="58"/>
        <v>NCAP_ILED</v>
      </c>
      <c r="C127" s="440" t="str">
        <f ca="1">IF($A127="*","",OFFSET(ITEMS_UPS!$C$8,AR127,0))</f>
        <v>UCTLCLEIN-N</v>
      </c>
      <c r="D127" s="440" t="str">
        <f ca="1">IF($A127="*","",IF(VLOOKUP("*#"&amp;$AS127,$A$10:$I$24,D$9+1,FALSE)="-","-",OFFSET(UPS!$C$37,AU127+AV127,SUMIF($A$10:$A$20,"*#"&amp;AS127,$AT$10:$AT$20))))</f>
        <v>-</v>
      </c>
      <c r="E127" s="440" t="str">
        <f t="shared" si="59"/>
        <v>-</v>
      </c>
      <c r="F127" s="440" t="str">
        <f t="shared" si="60"/>
        <v>-</v>
      </c>
      <c r="G127" s="440" t="str">
        <f>IF($A127="*","",VLOOKUP("*#"&amp;$AS127,$A$10:$I$24,G$9+1,FALSE))</f>
        <v>-</v>
      </c>
      <c r="H127" s="441" t="str">
        <f t="shared" si="62"/>
        <v>-</v>
      </c>
      <c r="I127" s="441">
        <f>IF($A127="*","",VLOOKUP("*#"&amp;$AS127,$A$10:$I$24,I$9+1,FALSE))</f>
        <v>0</v>
      </c>
      <c r="J127" s="163">
        <f ca="1">IF($A127="*","",OFFSET(UPS!$C$37,AU127,SUMIF($A$10:$A$24,"*#"&amp;AS127,$AT$10:$AT$24)))</f>
        <v>-6</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14</v>
      </c>
      <c r="AU127" s="42">
        <f ca="1">SUMIF(UPS!B$38:B$171,C127,UPS!BD$38:BD$171)</f>
        <v>65</v>
      </c>
    </row>
    <row r="128" spans="1:48">
      <c r="A128" s="42" t="s">
        <v>310</v>
      </c>
    </row>
    <row r="129" spans="2:48">
      <c r="B129" s="440" t="str">
        <f t="shared" ref="B129:B147" si="68">IF(A129="*","",VLOOKUP("*#"&amp;AS129,$A$9:$B$24,2,FALSE))</f>
        <v>ACT_COST</v>
      </c>
      <c r="C129" s="440" t="str">
        <f ca="1">IF($A129="*","",OFFSET(ITEMS_UPS!$C$8,AR129,0))</f>
        <v>UGTLGASIN-N</v>
      </c>
      <c r="D129" s="440" t="str">
        <f ca="1">IF($A129="*","",IF(VLOOKUP("*#"&amp;$AS129,$A$10:$I$24,D$9+1,FALSE)="-","-",OFFSET(UPS!$C$37,AU129+AV129,SUMIF($A$10:$A$20,"*#"&amp;AS129,$AT$10:$AT$20))))</f>
        <v>-</v>
      </c>
      <c r="E129" s="440" t="str">
        <f t="shared" ref="E129:E147" si="69">IF($A129="*","",IF(VLOOKUP("*#"&amp;$AS129,$A$10:$I$24,E$9+1,FALSE)="-","-",C129&amp;"-"&amp;RIGHT(VLOOKUP("*#"&amp;$AS129,$A$10:$I$24,E$9+1,FALSE),1)))</f>
        <v>-</v>
      </c>
      <c r="F129" s="440" t="str">
        <f t="shared" ref="F129:F147" si="70">IF($A129="*","",IF(VLOOKUP("*#"&amp;$AS129,$A$10:$I$24,F$9+1,FALSE)="-","-",C129&amp;"-"&amp;RIGHT(VLOOKUP("*#"&amp;$AS129,$A$10:$I$24,F$9+1,FALSE),1)))</f>
        <v>-</v>
      </c>
      <c r="G129" s="440" t="str">
        <f t="shared" ref="G129:G144" si="71">IF($A129="*","",VLOOKUP("*#"&amp;$AS129,$A$10:$I$20,G$9+1,FALSE))</f>
        <v>-</v>
      </c>
      <c r="H129" s="441" t="str">
        <f t="shared" ref="H129:H147" si="72">IF($A129="*","",VLOOKUP("*#"&amp;$AS129,$A$10:$I$24,H$9+1,FALSE))</f>
        <v>-</v>
      </c>
      <c r="I129" s="441">
        <f t="shared" ref="I129:I144" si="73">IF($A129="*","",VLOOKUP("*#"&amp;$AS129,$A$10:$I$20,I$9+1,FALSE))</f>
        <v>0</v>
      </c>
      <c r="J129" s="163">
        <f ca="1">IF($A129="*","",OFFSET(UPS!$C$37,AU129,SUMIF($A$10:$A$20,"*#"&amp;AS129,$AT$10:$AT$20)))</f>
        <v>18.658556104163456</v>
      </c>
      <c r="K129" s="163"/>
      <c r="AR129" s="42">
        <f>AR127+1</f>
        <v>7</v>
      </c>
      <c r="AS129" s="42">
        <v>1</v>
      </c>
      <c r="AU129" s="42">
        <f ca="1">SUMIF(UPS!B$38:B$171,C129,UPS!BD$38:BD$171)</f>
        <v>33</v>
      </c>
    </row>
    <row r="130" spans="2:48">
      <c r="B130" s="440" t="str">
        <f t="shared" si="68"/>
        <v>NCAP_AFA</v>
      </c>
      <c r="C130" s="440" t="str">
        <f ca="1">IF($A130="*","",OFFSET(ITEMS_UPS!$C$8,AR130,0))</f>
        <v>UGTLGASIN-N</v>
      </c>
      <c r="D130" s="440" t="str">
        <f ca="1">IF($A130="*","",IF(VLOOKUP("*#"&amp;$AS130,$A$10:$I$24,D$9+1,FALSE)="-","-",OFFSET(UPS!$C$37,AU130+AV130,SUMIF($A$10:$A$20,"*#"&amp;AS130,$AT$10:$AT$20))))</f>
        <v>-</v>
      </c>
      <c r="E130" s="440" t="str">
        <f t="shared" si="69"/>
        <v>-</v>
      </c>
      <c r="F130" s="440" t="str">
        <f t="shared" si="70"/>
        <v>-</v>
      </c>
      <c r="G130" s="440" t="str">
        <f t="shared" si="71"/>
        <v>ANNUAL</v>
      </c>
      <c r="H130" s="441" t="str">
        <f t="shared" si="72"/>
        <v>UP</v>
      </c>
      <c r="I130" s="441">
        <f t="shared" si="73"/>
        <v>3</v>
      </c>
      <c r="J130" s="163">
        <f ca="1">IF($A130="*","",OFFSET(UPS!$C$37,AU130,SUMIF($A$10:$A$20,"*#"&amp;AS130,$AT$10:$AT$20)))</f>
        <v>0.46244122068025312</v>
      </c>
      <c r="K130" s="163"/>
      <c r="AR130" s="42">
        <f t="shared" ref="AR130:AR142" si="74">AR129</f>
        <v>7</v>
      </c>
      <c r="AS130" s="42">
        <f t="shared" ref="AS130:AS135" si="75">IF(AR130=AR129,AS129+1,1)</f>
        <v>2</v>
      </c>
      <c r="AU130" s="42">
        <f ca="1">SUMIF(UPS!B$38:B$171,C130,UPS!BD$38:BD$171)</f>
        <v>33</v>
      </c>
    </row>
    <row r="131" spans="2:48">
      <c r="B131" s="440" t="str">
        <f t="shared" si="68"/>
        <v>NCAP_AFA</v>
      </c>
      <c r="C131" s="440" t="str">
        <f ca="1">IF($A131="*","",OFFSET(ITEMS_UPS!$C$8,AR131,0))</f>
        <v>UGTLGASIN-N</v>
      </c>
      <c r="D131" s="440" t="str">
        <f ca="1">IF($A131="*","",IF(VLOOKUP("*#"&amp;$AS131,$A$10:$I$24,D$9+1,FALSE)="-","-",OFFSET(UPS!$C$37,AU131+AV131,SUMIF($A$10:$A$20,"*#"&amp;AS131,$AT$10:$AT$20))))</f>
        <v>-</v>
      </c>
      <c r="E131" s="440" t="str">
        <f t="shared" si="69"/>
        <v>-</v>
      </c>
      <c r="F131" s="440" t="str">
        <f t="shared" si="70"/>
        <v>-</v>
      </c>
      <c r="G131" s="440" t="str">
        <f t="shared" si="71"/>
        <v>ANNUAL</v>
      </c>
      <c r="H131" s="441" t="str">
        <f t="shared" si="72"/>
        <v>LO</v>
      </c>
      <c r="I131" s="441">
        <f t="shared" si="73"/>
        <v>3</v>
      </c>
      <c r="J131" s="163">
        <f ca="1">IF($A131="*","",OFFSET(UPS!$C$37,AU131,SUMIF($A$10:$A$20,"*#"&amp;AS131,$AT$10:$AT$20)))</f>
        <v>0.43931915964624046</v>
      </c>
      <c r="K131" s="163"/>
      <c r="AR131" s="42">
        <f t="shared" si="74"/>
        <v>7</v>
      </c>
      <c r="AS131" s="42">
        <f t="shared" si="75"/>
        <v>3</v>
      </c>
      <c r="AU131" s="42">
        <f ca="1">SUMIF(UPS!B$38:B$171,C131,UPS!BD$38:BD$171)</f>
        <v>33</v>
      </c>
    </row>
    <row r="132" spans="2:48">
      <c r="B132" s="440" t="str">
        <f t="shared" si="68"/>
        <v>NCAP_FOM</v>
      </c>
      <c r="C132" s="440" t="str">
        <f ca="1">IF($A132="*","",OFFSET(ITEMS_UPS!$C$8,AR132,0))</f>
        <v>UGTLGASIN-N</v>
      </c>
      <c r="D132" s="440" t="str">
        <f ca="1">IF($A132="*","",IF(VLOOKUP("*#"&amp;$AS132,$A$10:$I$24,D$9+1,FALSE)="-","-",OFFSET(UPS!$C$37,AU132+AV132,SUMIF($A$10:$A$20,"*#"&amp;AS132,$AT$10:$AT$20))))</f>
        <v>-</v>
      </c>
      <c r="E132" s="440" t="str">
        <f t="shared" si="69"/>
        <v>-</v>
      </c>
      <c r="F132" s="440" t="str">
        <f t="shared" si="70"/>
        <v>-</v>
      </c>
      <c r="G132" s="440" t="str">
        <f t="shared" si="71"/>
        <v>-</v>
      </c>
      <c r="H132" s="441" t="str">
        <f t="shared" si="72"/>
        <v>-</v>
      </c>
      <c r="I132" s="441">
        <f t="shared" si="73"/>
        <v>0</v>
      </c>
      <c r="J132" s="163">
        <f ca="1">IF($A132="*","",OFFSET(UPS!$C$37,AU132,SUMIF($A$10:$A$20,"*#"&amp;AS132,$AT$10:$AT$20)))</f>
        <v>16.868609235305986</v>
      </c>
      <c r="K132" s="163"/>
      <c r="AR132" s="42">
        <f t="shared" si="74"/>
        <v>7</v>
      </c>
      <c r="AS132" s="42">
        <f t="shared" si="75"/>
        <v>4</v>
      </c>
      <c r="AU132" s="42">
        <f ca="1">SUMIF(UPS!B$38:B$171,C132,UPS!BD$38:BD$171)</f>
        <v>33</v>
      </c>
    </row>
    <row r="133" spans="2:48">
      <c r="B133" s="440" t="str">
        <f t="shared" si="68"/>
        <v>NCAP_BND</v>
      </c>
      <c r="C133" s="440" t="str">
        <f ca="1">IF($A133="*","",OFFSET(ITEMS_UPS!$C$8,AR133,0))</f>
        <v>UGTLGASIN-N</v>
      </c>
      <c r="D133" s="440" t="str">
        <f ca="1">IF($A133="*","",IF(VLOOKUP("*#"&amp;$AS133,$A$10:$I$24,D$9+1,FALSE)="-","-",OFFSET(UPS!$C$37,AU133+AV133,SUMIF($A$10:$A$20,"*#"&amp;AS133,$AT$10:$AT$20))))</f>
        <v>-</v>
      </c>
      <c r="E133" s="440" t="str">
        <f>IF($A133="*","",IF(VLOOKUP("*#"&amp;$AS133,$A$10:$I$24,E$9+1,FALSE)="-","-",C133&amp;"-"&amp;RIGHT(VLOOKUP("*#"&amp;$AS133,$A$10:$I$24,E$9+1,FALSE),1)))</f>
        <v>-</v>
      </c>
      <c r="F133" s="440" t="str">
        <f t="shared" si="70"/>
        <v>-</v>
      </c>
      <c r="G133" s="440" t="str">
        <f t="shared" si="71"/>
        <v>-</v>
      </c>
      <c r="H133" s="441" t="str">
        <f t="shared" si="72"/>
        <v>UP</v>
      </c>
      <c r="I133" s="441">
        <f t="shared" si="73"/>
        <v>3</v>
      </c>
      <c r="J133" s="163" t="str">
        <f ca="1">IF($A133="*","",OFFSET(UPS!$C$37,AU133,SUMIF($A$10:$A$20,"*#"&amp;AS133,$AT$10:$AT$20)))</f>
        <v/>
      </c>
      <c r="K133" s="163"/>
      <c r="AR133" s="42">
        <f>AR131</f>
        <v>7</v>
      </c>
      <c r="AS133" s="42">
        <f t="shared" si="75"/>
        <v>5</v>
      </c>
      <c r="AU133" s="42">
        <f ca="1">SUMIF(UPS!B$38:B$171,C133,UPS!BD$38:BD$171)</f>
        <v>33</v>
      </c>
    </row>
    <row r="134" spans="2:48">
      <c r="B134" s="440" t="str">
        <f t="shared" si="68"/>
        <v>FLO_FUNC</v>
      </c>
      <c r="C134" s="440" t="str">
        <f ca="1">IF($A134="*","",OFFSET(ITEMS_UPS!$C$8,AR134,0))</f>
        <v>UGTLGASIN-N</v>
      </c>
      <c r="D134" s="440" t="str">
        <f ca="1">IF($A134="*","",IF(VLOOKUP("*#"&amp;$AS134,$A$10:$I$24,D$9+1,FALSE)="-","-",OFFSET(UPS!$C$37,AU134+AV134,SUMIF($A$10:$A$20,"*#"&amp;AS134,$AT$10:$AT$20))))</f>
        <v>-</v>
      </c>
      <c r="E134" s="440" t="str">
        <f t="shared" ca="1" si="69"/>
        <v>UGTLGASIN-N-I</v>
      </c>
      <c r="F134" s="440" t="str">
        <f t="shared" ca="1" si="70"/>
        <v>UGTLGASIN-N-O</v>
      </c>
      <c r="G134" s="440" t="str">
        <f t="shared" si="71"/>
        <v>ANNUAL</v>
      </c>
      <c r="H134" s="441" t="str">
        <f t="shared" si="72"/>
        <v>-</v>
      </c>
      <c r="I134" s="441">
        <f t="shared" si="73"/>
        <v>0</v>
      </c>
      <c r="J134" s="163">
        <f ca="1">IF($A134="*","",OFFSET(UPS!$C$37,AU134,SUMIF($A$10:$A$20,"*#"&amp;AS134,$AT$10:$AT$20)))</f>
        <v>0.80809626745744978</v>
      </c>
      <c r="K134" s="163"/>
      <c r="AR134" s="42">
        <f t="shared" si="74"/>
        <v>7</v>
      </c>
      <c r="AS134" s="42">
        <f t="shared" si="75"/>
        <v>6</v>
      </c>
      <c r="AU134" s="42">
        <f ca="1">SUMIF(UPS!B$38:B$171,C134,UPS!BD$38:BD$171)</f>
        <v>33</v>
      </c>
    </row>
    <row r="135" spans="2:48">
      <c r="B135" s="440" t="str">
        <f t="shared" si="68"/>
        <v>FLO_SHAR</v>
      </c>
      <c r="C135" s="440" t="str">
        <f ca="1">IF($A135="*","",OFFSET(ITEMS_UPS!$C$8,AR135,0))</f>
        <v>UGTLGASIN-N</v>
      </c>
      <c r="D135" s="440" t="str">
        <f ca="1">IF($A135="*","",IF(VLOOKUP("*#"&amp;$AS135,$A$10:$I$24,D$9+1,FALSE)="-","-",OFFSET(UPS!$C$37,AU135+AV135,SUMIF($A$10:$A$20,"*#"&amp;AS135,$AT$10:$AT$20))))</f>
        <v>UPSGAS</v>
      </c>
      <c r="E135" s="440" t="str">
        <f t="shared" ca="1" si="69"/>
        <v>UGTLGASIN-N-I</v>
      </c>
      <c r="F135" s="440" t="str">
        <f t="shared" si="70"/>
        <v>-</v>
      </c>
      <c r="G135" s="440" t="str">
        <f t="shared" si="71"/>
        <v>ANNUAL</v>
      </c>
      <c r="H135" s="441" t="str">
        <f t="shared" si="72"/>
        <v>FX</v>
      </c>
      <c r="I135" s="441">
        <f t="shared" si="73"/>
        <v>3</v>
      </c>
      <c r="J135" s="163">
        <f ca="1">IF($A135="*","",OFFSET(UPS!$C$37,AU135+AV135,SUMIF($A$10:$A$20,"*#"&amp;AS135,$AV$10:$AV$20)))</f>
        <v>0.76985311799533229</v>
      </c>
      <c r="K135" s="163"/>
      <c r="AR135" s="42">
        <f t="shared" si="74"/>
        <v>7</v>
      </c>
      <c r="AS135" s="42">
        <f t="shared" si="75"/>
        <v>7</v>
      </c>
      <c r="AU135" s="42">
        <f ca="1">SUMIF(UPS!B$38:B$171,C135,UPS!BD$38:BD$171)</f>
        <v>33</v>
      </c>
      <c r="AV135" s="42">
        <v>0</v>
      </c>
    </row>
    <row r="136" spans="2:48">
      <c r="B136" s="440" t="str">
        <f t="shared" si="68"/>
        <v>FLO_SHAR</v>
      </c>
      <c r="C136" s="440" t="str">
        <f ca="1">IF($A136="*","",OFFSET(ITEMS_UPS!$C$8,AR136,0))</f>
        <v>UGTLGASIN-N</v>
      </c>
      <c r="D136" s="440" t="str">
        <f ca="1">IF($A136="*","",IF(VLOOKUP("*#"&amp;$AS136,$A$10:$I$24,D$9+1,FALSE)="-","-",OFFSET(UPS!$C$37,AU136+AV136,SUMIF($A$10:$A$20,"*#"&amp;AS136,$AT$10:$AT$20))))</f>
        <v>UPSOCR</v>
      </c>
      <c r="E136" s="440" t="str">
        <f t="shared" ca="1" si="69"/>
        <v>UGTLGASIN-N-I</v>
      </c>
      <c r="F136" s="440" t="str">
        <f t="shared" si="70"/>
        <v>-</v>
      </c>
      <c r="G136" s="440" t="str">
        <f t="shared" si="71"/>
        <v>ANNUAL</v>
      </c>
      <c r="H136" s="441" t="str">
        <f t="shared" si="72"/>
        <v>FX</v>
      </c>
      <c r="I136" s="441">
        <f t="shared" si="73"/>
        <v>3</v>
      </c>
      <c r="J136" s="163">
        <f ca="1">IF($A136="*","",OFFSET(UPS!$C$37,AU136+AV136,SUMIF($A$10:$A$20,"*#"&amp;AS136,$AV$10:$AV$20)))</f>
        <v>0.19246327949883302</v>
      </c>
      <c r="K136" s="163"/>
      <c r="AR136" s="42">
        <f t="shared" si="74"/>
        <v>7</v>
      </c>
      <c r="AS136" s="42">
        <f>AS135</f>
        <v>7</v>
      </c>
      <c r="AU136" s="42">
        <f ca="1">SUMIF(UPS!B$38:B$171,C136,UPS!BD$38:BD$171)</f>
        <v>33</v>
      </c>
      <c r="AV136" s="42">
        <f t="shared" ref="AV136:AV142" si="76">AV135+1</f>
        <v>1</v>
      </c>
    </row>
    <row r="137" spans="2:48">
      <c r="B137" s="440" t="str">
        <f t="shared" si="68"/>
        <v>FLO_SHAR</v>
      </c>
      <c r="C137" s="440" t="str">
        <f ca="1">IF($A137="*","",OFFSET(ITEMS_UPS!$C$8,AR137,0))</f>
        <v>UGTLGASIN-N</v>
      </c>
      <c r="D137" s="440" t="str">
        <f ca="1">IF($A137="*","",IF(VLOOKUP("*#"&amp;$AS137,$A$10:$I$24,D$9+1,FALSE)="-","-",OFFSET(UPS!$C$37,AU137+AV137,SUMIF($A$10:$A$20,"*#"&amp;AS137,$AT$10:$AT$20))))</f>
        <v>UPSELC</v>
      </c>
      <c r="E137" s="440" t="str">
        <f t="shared" ca="1" si="69"/>
        <v>UGTLGASIN-N-I</v>
      </c>
      <c r="F137" s="440" t="str">
        <f t="shared" si="70"/>
        <v>-</v>
      </c>
      <c r="G137" s="440" t="str">
        <f t="shared" si="71"/>
        <v>ANNUAL</v>
      </c>
      <c r="H137" s="441" t="str">
        <f t="shared" si="72"/>
        <v>FX</v>
      </c>
      <c r="I137" s="441">
        <f t="shared" si="73"/>
        <v>3</v>
      </c>
      <c r="J137" s="163">
        <f ca="1">IF($A137="*","",OFFSET(UPS!$C$37,AU137+AV137,SUMIF($A$10:$A$20,"*#"&amp;AS137,$AV$10:$AV$20)))</f>
        <v>3.7683602505834655E-2</v>
      </c>
      <c r="K137" s="163"/>
      <c r="AR137" s="42">
        <f t="shared" si="74"/>
        <v>7</v>
      </c>
      <c r="AS137" s="42">
        <f>AS136</f>
        <v>7</v>
      </c>
      <c r="AU137" s="42">
        <f ca="1">SUMIF(UPS!B$38:B$171,C137,UPS!BD$38:BD$171)</f>
        <v>33</v>
      </c>
      <c r="AV137" s="42">
        <f t="shared" si="76"/>
        <v>2</v>
      </c>
    </row>
    <row r="138" spans="2:48">
      <c r="B138" s="440" t="str">
        <f t="shared" si="68"/>
        <v>FLO_SHAR</v>
      </c>
      <c r="C138" s="440" t="str">
        <f ca="1">IF($A138="*","",OFFSET(ITEMS_UPS!$C$8,AR138,0))</f>
        <v>UGTLGASIN-N</v>
      </c>
      <c r="D138" s="440" t="str">
        <f ca="1">IF($A138="*","",IF(VLOOKUP("*#"&amp;$AS138,$A$10:$I$24,D$9+1,FALSE)="-","-",OFFSET(UPS!$C$37,AU138+AV138,SUMIF($A$10:$A$20,"*#"&amp;AS138,$AT$10:$AT$20))))</f>
        <v>OAG</v>
      </c>
      <c r="E138" s="440" t="str">
        <f t="shared" ca="1" si="69"/>
        <v>UGTLGASIN-N-O</v>
      </c>
      <c r="F138" s="440" t="str">
        <f t="shared" si="70"/>
        <v>-</v>
      </c>
      <c r="G138" s="440" t="str">
        <f t="shared" si="71"/>
        <v>ANNUAL</v>
      </c>
      <c r="H138" s="441" t="str">
        <f t="shared" si="72"/>
        <v>UP</v>
      </c>
      <c r="I138" s="441">
        <f t="shared" si="73"/>
        <v>3</v>
      </c>
      <c r="J138" s="163">
        <f ca="1">IF($A138="*","",OFFSET(UPS!$C$37,AU138+AV138,SUMIF($A$10:$A$20,"*#"&amp;AS138,$AV$10:$AV$20)))</f>
        <v>0</v>
      </c>
      <c r="K138" s="163"/>
      <c r="AR138" s="42">
        <f t="shared" si="74"/>
        <v>7</v>
      </c>
      <c r="AS138" s="42">
        <v>8</v>
      </c>
      <c r="AU138" s="42">
        <f ca="1">SUMIF(UPS!B$38:B$171,C138,UPS!BD$38:BD$171)</f>
        <v>33</v>
      </c>
      <c r="AV138" s="42">
        <f t="shared" si="76"/>
        <v>3</v>
      </c>
    </row>
    <row r="139" spans="2:48">
      <c r="B139" s="440" t="str">
        <f t="shared" si="68"/>
        <v>FLO_SHAR</v>
      </c>
      <c r="C139" s="440" t="str">
        <f ca="1">IF($A139="*","",OFFSET(ITEMS_UPS!$C$8,AR139,0))</f>
        <v>UGTLGASIN-N</v>
      </c>
      <c r="D139" s="440" t="str">
        <f ca="1">IF($A139="*","",IF(VLOOKUP("*#"&amp;$AS139,$A$10:$I$24,D$9+1,FALSE)="-","-",OFFSET(UPS!$C$37,AU139+AV139,SUMIF($A$10:$A$20,"*#"&amp;AS139,$AT$10:$AT$20))))</f>
        <v>ODS</v>
      </c>
      <c r="E139" s="440" t="str">
        <f t="shared" ca="1" si="69"/>
        <v>UGTLGASIN-N-O</v>
      </c>
      <c r="F139" s="440" t="str">
        <f t="shared" si="70"/>
        <v>-</v>
      </c>
      <c r="G139" s="440" t="str">
        <f t="shared" si="71"/>
        <v>ANNUAL</v>
      </c>
      <c r="H139" s="441" t="str">
        <f t="shared" si="72"/>
        <v>UP</v>
      </c>
      <c r="I139" s="441">
        <f t="shared" si="73"/>
        <v>3</v>
      </c>
      <c r="J139" s="163">
        <f ca="1">IF($A139="*","",OFFSET(UPS!$C$37,AU139+AV139,SUMIF($A$10:$A$20,"*#"&amp;AS139,$AV$10:$AV$20)))</f>
        <v>0.28767932115906897</v>
      </c>
      <c r="K139" s="163"/>
      <c r="AR139" s="42">
        <f t="shared" si="74"/>
        <v>7</v>
      </c>
      <c r="AS139" s="42">
        <v>8</v>
      </c>
      <c r="AU139" s="42">
        <f ca="1">SUMIF(UPS!B$38:B$171,C139,UPS!BD$38:BD$171)</f>
        <v>33</v>
      </c>
      <c r="AV139" s="42">
        <f t="shared" si="76"/>
        <v>4</v>
      </c>
    </row>
    <row r="140" spans="2:48">
      <c r="B140" s="440" t="str">
        <f t="shared" si="68"/>
        <v>FLO_SHAR</v>
      </c>
      <c r="C140" s="440" t="str">
        <f ca="1">IF($A140="*","",OFFSET(ITEMS_UPS!$C$8,AR140,0))</f>
        <v>UGTLGASIN-N</v>
      </c>
      <c r="D140" s="440" t="str">
        <f ca="1">IF($A140="*","",IF(VLOOKUP("*#"&amp;$AS140,$A$10:$I$24,D$9+1,FALSE)="-","-",OFFSET(UPS!$C$37,AU140+AV140,SUMIF($A$10:$A$20,"*#"&amp;AS140,$AT$10:$AT$20))))</f>
        <v>OGS</v>
      </c>
      <c r="E140" s="440" t="str">
        <f t="shared" ca="1" si="69"/>
        <v>UGTLGASIN-N-O</v>
      </c>
      <c r="F140" s="440" t="str">
        <f t="shared" si="70"/>
        <v>-</v>
      </c>
      <c r="G140" s="440" t="str">
        <f t="shared" si="71"/>
        <v>ANNUAL</v>
      </c>
      <c r="H140" s="441" t="str">
        <f t="shared" si="72"/>
        <v>UP</v>
      </c>
      <c r="I140" s="441">
        <f t="shared" si="73"/>
        <v>3</v>
      </c>
      <c r="J140" s="163">
        <f ca="1">IF($A140="*","",OFFSET(UPS!$C$37,AU140+AV140,SUMIF($A$10:$A$20,"*#"&amp;AS140,$AV$10:$AV$20)))</f>
        <v>0.49809089633534509</v>
      </c>
      <c r="K140" s="163"/>
      <c r="AR140" s="42">
        <f t="shared" si="74"/>
        <v>7</v>
      </c>
      <c r="AS140" s="42">
        <v>8</v>
      </c>
      <c r="AU140" s="42">
        <f ca="1">SUMIF(UPS!B$38:B$171,C140,UPS!BD$38:BD$171)</f>
        <v>33</v>
      </c>
      <c r="AV140" s="42">
        <f t="shared" si="76"/>
        <v>5</v>
      </c>
    </row>
    <row r="141" spans="2:48">
      <c r="B141" s="440" t="str">
        <f t="shared" si="68"/>
        <v>FLO_SHAR</v>
      </c>
      <c r="C141" s="440" t="str">
        <f ca="1">IF($A141="*","",OFFSET(ITEMS_UPS!$C$8,AR141,0))</f>
        <v>UGTLGASIN-N</v>
      </c>
      <c r="D141" s="440" t="str">
        <f ca="1">IF($A141="*","",IF(VLOOKUP("*#"&amp;$AS141,$A$10:$I$24,D$9+1,FALSE)="-","-",OFFSET(UPS!$C$37,AU141+AV141,SUMIF($A$10:$A$20,"*#"&amp;AS141,$AT$10:$AT$20))))</f>
        <v>OKE</v>
      </c>
      <c r="E141" s="440" t="str">
        <f t="shared" ca="1" si="69"/>
        <v>UGTLGASIN-N-O</v>
      </c>
      <c r="F141" s="440" t="str">
        <f t="shared" si="70"/>
        <v>-</v>
      </c>
      <c r="G141" s="440" t="str">
        <f t="shared" si="71"/>
        <v>ANNUAL</v>
      </c>
      <c r="H141" s="441" t="str">
        <f t="shared" si="72"/>
        <v>UP</v>
      </c>
      <c r="I141" s="441">
        <f t="shared" si="73"/>
        <v>3</v>
      </c>
      <c r="J141" s="163">
        <f ca="1">IF($A141="*","",OFFSET(UPS!$C$37,AU141+AV141,SUMIF($A$10:$A$20,"*#"&amp;AS141,$AV$10:$AV$20)))</f>
        <v>0.12259168661288511</v>
      </c>
      <c r="K141" s="163"/>
      <c r="AR141" s="42">
        <f t="shared" si="74"/>
        <v>7</v>
      </c>
      <c r="AS141" s="42">
        <v>8</v>
      </c>
      <c r="AU141" s="42">
        <f ca="1">SUMIF(UPS!B$38:B$171,C141,UPS!BD$38:BD$171)</f>
        <v>33</v>
      </c>
      <c r="AV141" s="42">
        <f t="shared" si="76"/>
        <v>6</v>
      </c>
    </row>
    <row r="142" spans="2:48">
      <c r="B142" s="440" t="str">
        <f t="shared" si="68"/>
        <v>FLO_SHAR</v>
      </c>
      <c r="C142" s="440" t="str">
        <f ca="1">IF($A142="*","",OFFSET(ITEMS_UPS!$C$8,AR142,0))</f>
        <v>UGTLGASIN-N</v>
      </c>
      <c r="D142" s="440" t="str">
        <f ca="1">IF($A142="*","",IF(VLOOKUP("*#"&amp;$AS142,$A$10:$I$24,D$9+1,FALSE)="-","-",OFFSET(UPS!$C$37,AU142+AV142,SUMIF($A$10:$A$20,"*#"&amp;AS142,$AT$10:$AT$20))))</f>
        <v>OLP</v>
      </c>
      <c r="E142" s="440" t="str">
        <f t="shared" ca="1" si="69"/>
        <v>UGTLGASIN-N-O</v>
      </c>
      <c r="F142" s="440" t="str">
        <f t="shared" si="70"/>
        <v>-</v>
      </c>
      <c r="G142" s="440" t="str">
        <f t="shared" si="71"/>
        <v>ANNUAL</v>
      </c>
      <c r="H142" s="441" t="str">
        <f t="shared" si="72"/>
        <v>UP</v>
      </c>
      <c r="I142" s="441">
        <f t="shared" si="73"/>
        <v>3</v>
      </c>
      <c r="J142" s="163">
        <f ca="1">IF($A142="*","",OFFSET(UPS!$C$37,AU142+AV142,SUMIF($A$10:$A$20,"*#"&amp;AS142,$AV$10:$AV$20)))</f>
        <v>3.6696142945579213E-2</v>
      </c>
      <c r="K142" s="163"/>
      <c r="AR142" s="42">
        <f t="shared" si="74"/>
        <v>7</v>
      </c>
      <c r="AS142" s="42">
        <v>8</v>
      </c>
      <c r="AU142" s="42">
        <f ca="1">SUMIF(UPS!B$38:B$171,C142,UPS!BD$38:BD$171)</f>
        <v>33</v>
      </c>
      <c r="AV142" s="42">
        <f t="shared" si="76"/>
        <v>7</v>
      </c>
    </row>
    <row r="143" spans="2:48">
      <c r="B143" s="440" t="str">
        <f t="shared" si="68"/>
        <v>FLO_EMIS</v>
      </c>
      <c r="C143" s="440" t="str">
        <f ca="1">IF($A143="*","",OFFSET(ITEMS_UPS!$C$8,AR143,0))</f>
        <v>UGTLGASIN-N</v>
      </c>
      <c r="D143" s="440" t="str">
        <f>$D$18</f>
        <v>UPSCO2S</v>
      </c>
      <c r="E143" s="440" t="str">
        <f t="shared" ca="1" si="69"/>
        <v>UGTLGASIN-N-O</v>
      </c>
      <c r="F143" s="440" t="str">
        <f t="shared" si="70"/>
        <v>-</v>
      </c>
      <c r="G143" s="440" t="str">
        <f t="shared" si="71"/>
        <v>ANNUAL</v>
      </c>
      <c r="H143" s="441" t="str">
        <f t="shared" si="72"/>
        <v>-</v>
      </c>
      <c r="I143" s="441">
        <f t="shared" si="73"/>
        <v>0</v>
      </c>
      <c r="J143" s="163">
        <f ca="1">IF($A143="*","",OFFSET(UPS!$C$37,AU143,SUMIF($A$10:$A$20,"*#"&amp;AS143,$AT$10:$AT$20)))</f>
        <v>6.4894696089818042</v>
      </c>
      <c r="K143" s="163"/>
      <c r="AR143" s="42">
        <f>AR141</f>
        <v>7</v>
      </c>
      <c r="AS143" s="42">
        <f>AS141+1</f>
        <v>9</v>
      </c>
      <c r="AU143" s="42">
        <f ca="1">SUMIF(UPS!B$38:B$171,C143,UPS!BD$38:BD$171)</f>
        <v>33</v>
      </c>
    </row>
    <row r="144" spans="2:48">
      <c r="B144" s="440" t="str">
        <f t="shared" si="68"/>
        <v>FLO_EMIS</v>
      </c>
      <c r="C144" s="440" t="str">
        <f ca="1">IF($A144="*","",OFFSET(ITEMS_UPS!$C$8,AR144,0))</f>
        <v>UGTLGASIN-N</v>
      </c>
      <c r="D144" s="440" t="str">
        <f>$D$19</f>
        <v>UPSCH4S</v>
      </c>
      <c r="E144" s="440" t="str">
        <f t="shared" ca="1" si="69"/>
        <v>UGTLGASIN-N-O</v>
      </c>
      <c r="F144" s="440" t="str">
        <f t="shared" si="70"/>
        <v>-</v>
      </c>
      <c r="G144" s="440" t="str">
        <f t="shared" si="71"/>
        <v>ANNUAL</v>
      </c>
      <c r="H144" s="441" t="str">
        <f t="shared" si="72"/>
        <v>-</v>
      </c>
      <c r="I144" s="441">
        <f t="shared" si="73"/>
        <v>0</v>
      </c>
      <c r="J144" s="163">
        <f ca="1">IF($A144="*","",OFFSET(UPS!$C$37,AU144,SUMIF($A$10:$A$20,"*#"&amp;AS144,$AT$10:$AT$20)))</f>
        <v>4.4999999999999997E-3</v>
      </c>
      <c r="K144" s="163"/>
      <c r="AR144" s="42">
        <f>AR143</f>
        <v>7</v>
      </c>
      <c r="AS144" s="42">
        <f>AS143+1</f>
        <v>10</v>
      </c>
      <c r="AU144" s="42">
        <f ca="1">SUMIF(UPS!B$38:B$171,C144,UPS!BD$38:BD$171)</f>
        <v>33</v>
      </c>
    </row>
    <row r="145" spans="1:48">
      <c r="B145" s="440" t="str">
        <f t="shared" si="68"/>
        <v>NCAP_COST</v>
      </c>
      <c r="C145" s="440" t="str">
        <f ca="1">IF($A145="*","",OFFSET(ITEMS_UPS!$C$8,AR145,0))</f>
        <v>UGTLGASIN-N</v>
      </c>
      <c r="D145" s="440" t="str">
        <f ca="1">IF($A145="*","",IF(VLOOKUP("*#"&amp;$AS145,$A$10:$I$24,D$9+1,FALSE)="-","-",OFFSET(UPS!$C$37,AU145+AV145,SUMIF($A$10:$A$20,"*#"&amp;AS145,$AT$10:$AT$20))))</f>
        <v>-</v>
      </c>
      <c r="E145" s="440" t="str">
        <f t="shared" si="69"/>
        <v>-</v>
      </c>
      <c r="F145" s="440" t="str">
        <f t="shared" si="70"/>
        <v>-</v>
      </c>
      <c r="G145" s="440" t="str">
        <f>IF($A145="*","",VLOOKUP("*#"&amp;$AS145,$A$10:$I$24,G$9+1,FALSE))</f>
        <v>-</v>
      </c>
      <c r="H145" s="441" t="str">
        <f t="shared" si="72"/>
        <v>-</v>
      </c>
      <c r="I145" s="441">
        <f>IF($A145="*","",VLOOKUP("*#"&amp;$AS145,$A$10:$I$24,I$9+1,FALSE))</f>
        <v>0</v>
      </c>
      <c r="J145" s="163">
        <f ca="1">IF($A145="*","",OFFSET(UPS!$C$37,AU145,SUMIF($A$10:$A$24,"*#"&amp;AS145,$AT$10:$AT$24)))</f>
        <v>169.62323731057683</v>
      </c>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163"/>
      <c r="AH145" s="163"/>
      <c r="AI145" s="163"/>
      <c r="AJ145" s="163"/>
      <c r="AK145" s="163"/>
      <c r="AL145" s="163"/>
      <c r="AM145" s="163"/>
      <c r="AN145" s="163"/>
      <c r="AO145" s="163"/>
      <c r="AP145" s="163"/>
      <c r="AR145" s="42">
        <f>AR144</f>
        <v>7</v>
      </c>
      <c r="AS145" s="42">
        <f>AS144+2</f>
        <v>12</v>
      </c>
      <c r="AU145" s="42">
        <f ca="1">SUMIF(UPS!B$38:B$171,C145,UPS!BD$38:BD$171)</f>
        <v>33</v>
      </c>
    </row>
    <row r="146" spans="1:48">
      <c r="B146" s="440" t="str">
        <f t="shared" si="68"/>
        <v>NCAP_TLIFE</v>
      </c>
      <c r="C146" s="440" t="str">
        <f ca="1">IF($A146="*","",OFFSET(ITEMS_UPS!$C$8,AR146,0))</f>
        <v>UGTLGASIN-N</v>
      </c>
      <c r="D146" s="440" t="str">
        <f ca="1">IF($A146="*","",IF(VLOOKUP("*#"&amp;$AS146,$A$10:$I$24,D$9+1,FALSE)="-","-",OFFSET(UPS!$C$37,AU146+AV146,SUMIF($A$10:$A$20,"*#"&amp;AS146,$AT$10:$AT$20))))</f>
        <v>-</v>
      </c>
      <c r="E146" s="440" t="str">
        <f t="shared" si="69"/>
        <v>-</v>
      </c>
      <c r="F146" s="440" t="str">
        <f t="shared" si="70"/>
        <v>-</v>
      </c>
      <c r="G146" s="440" t="str">
        <f>IF($A146="*","",VLOOKUP("*#"&amp;$AS146,$A$10:$I$24,G$9+1,FALSE))</f>
        <v>-</v>
      </c>
      <c r="H146" s="441" t="str">
        <f t="shared" si="72"/>
        <v>-</v>
      </c>
      <c r="I146" s="441">
        <f>IF($A146="*","",VLOOKUP("*#"&amp;$AS146,$A$10:$I$24,I$9+1,FALSE))</f>
        <v>0</v>
      </c>
      <c r="J146" s="163">
        <f ca="1">IF($A146="*","",OFFSET(UPS!$C$37,AU146,SUMIF($A$10:$A$24,"*#"&amp;AS146,$AT$10:$AT$24)))</f>
        <v>50</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AS145+1</f>
        <v>13</v>
      </c>
      <c r="AU146" s="42">
        <f ca="1">SUMIF(UPS!B$38:B$171,C146,UPS!BD$38:BD$171)</f>
        <v>33</v>
      </c>
    </row>
    <row r="147" spans="1:48">
      <c r="B147" s="440" t="str">
        <f t="shared" si="68"/>
        <v>NCAP_ILED</v>
      </c>
      <c r="C147" s="440" t="str">
        <f ca="1">IF($A147="*","",OFFSET(ITEMS_UPS!$C$8,AR147,0))</f>
        <v>UGTLGASIN-N</v>
      </c>
      <c r="D147" s="440" t="str">
        <f ca="1">IF($A147="*","",IF(VLOOKUP("*#"&amp;$AS147,$A$10:$I$24,D$9+1,FALSE)="-","-",OFFSET(UPS!$C$37,AU147+AV147,SUMIF($A$10:$A$20,"*#"&amp;AS147,$AT$10:$AT$20))))</f>
        <v>-</v>
      </c>
      <c r="E147" s="440" t="str">
        <f t="shared" si="69"/>
        <v>-</v>
      </c>
      <c r="F147" s="440" t="str">
        <f t="shared" si="70"/>
        <v>-</v>
      </c>
      <c r="G147" s="440" t="str">
        <f>IF($A147="*","",VLOOKUP("*#"&amp;$AS147,$A$10:$I$24,G$9+1,FALSE))</f>
        <v>-</v>
      </c>
      <c r="H147" s="441" t="str">
        <f t="shared" si="72"/>
        <v>-</v>
      </c>
      <c r="I147" s="441">
        <f>IF($A147="*","",VLOOKUP("*#"&amp;$AS147,$A$10:$I$24,I$9+1,FALSE))</f>
        <v>0</v>
      </c>
      <c r="J147" s="163">
        <f ca="1">IF($A147="*","",OFFSET(UPS!$C$37,AU147,SUMIF($A$10:$A$24,"*#"&amp;AS147,$AT$10:$AT$24)))</f>
        <v>-6</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AR145</f>
        <v>7</v>
      </c>
      <c r="AS147" s="42">
        <f>AS146+1</f>
        <v>14</v>
      </c>
      <c r="AU147" s="42">
        <f ca="1">SUMIF(UPS!B$38:B$171,C147,UPS!BD$38:BD$171)</f>
        <v>33</v>
      </c>
    </row>
    <row r="148" spans="1:48">
      <c r="A148" s="42" t="s">
        <v>310</v>
      </c>
    </row>
    <row r="149" spans="1:48">
      <c r="B149" s="440" t="str">
        <f t="shared" ref="B149:B167" si="77">IF(A149="*","",VLOOKUP("*#"&amp;AS149,$A$9:$B$24,2,FALSE))</f>
        <v>ACT_COST</v>
      </c>
      <c r="C149" s="440" t="str">
        <f ca="1">IF($A149="*","",OFFSET(ITEMS_UPS!$C$8,AR149,0))</f>
        <v>UGTLGICCO-N</v>
      </c>
      <c r="D149" s="440" t="str">
        <f ca="1">IF($A149="*","",IF(VLOOKUP("*#"&amp;$AS149,$A$10:$I$24,D$9+1,FALSE)="-","-",OFFSET(UPS!$C$37,AU149+AV149,SUMIF($A$10:$A$20,"*#"&amp;AS149,$AT$10:$AT$20))))</f>
        <v>-</v>
      </c>
      <c r="E149" s="440" t="str">
        <f t="shared" ref="E149:E167" si="78">IF($A149="*","",IF(VLOOKUP("*#"&amp;$AS149,$A$10:$I$24,E$9+1,FALSE)="-","-",C149&amp;"-"&amp;RIGHT(VLOOKUP("*#"&amp;$AS149,$A$10:$I$24,E$9+1,FALSE),1)))</f>
        <v>-</v>
      </c>
      <c r="F149" s="440" t="str">
        <f t="shared" ref="F149:F167" si="79">IF($A149="*","",IF(VLOOKUP("*#"&amp;$AS149,$A$10:$I$24,F$9+1,FALSE)="-","-",C149&amp;"-"&amp;RIGHT(VLOOKUP("*#"&amp;$AS149,$A$10:$I$24,F$9+1,FALSE),1)))</f>
        <v>-</v>
      </c>
      <c r="G149" s="440" t="str">
        <f t="shared" ref="G149:G164" si="80">IF($A149="*","",VLOOKUP("*#"&amp;$AS149,$A$10:$I$20,G$9+1,FALSE))</f>
        <v>-</v>
      </c>
      <c r="H149" s="441" t="str">
        <f t="shared" ref="H149:H167" si="81">IF($A149="*","",VLOOKUP("*#"&amp;$AS149,$A$10:$I$24,H$9+1,FALSE))</f>
        <v>-</v>
      </c>
      <c r="I149" s="441">
        <f t="shared" ref="I149:I164" si="82">IF($A149="*","",VLOOKUP("*#"&amp;$AS149,$A$10:$I$20,I$9+1,FALSE))</f>
        <v>0</v>
      </c>
      <c r="J149" s="163">
        <f ca="1">IF($A149="*","",OFFSET(UPS!$C$37,AU149,SUMIF($A$10:$A$20,"*#"&amp;AS149,$AT$10:$AT$20)))</f>
        <v>18.658556104163456</v>
      </c>
      <c r="K149" s="163"/>
      <c r="AR149" s="42">
        <f>AR147+1</f>
        <v>8</v>
      </c>
      <c r="AS149" s="42">
        <v>1</v>
      </c>
      <c r="AU149" s="42">
        <f ca="1">SUMIF(UPS!B$38:B$171,C149,UPS!BD$38:BD$171)</f>
        <v>43</v>
      </c>
    </row>
    <row r="150" spans="1:48">
      <c r="B150" s="440" t="str">
        <f t="shared" si="77"/>
        <v>NCAP_AFA</v>
      </c>
      <c r="C150" s="440" t="str">
        <f ca="1">IF($A150="*","",OFFSET(ITEMS_UPS!$C$8,AR150,0))</f>
        <v>UGTLGICCO-N</v>
      </c>
      <c r="D150" s="440" t="str">
        <f ca="1">IF($A150="*","",IF(VLOOKUP("*#"&amp;$AS150,$A$10:$I$24,D$9+1,FALSE)="-","-",OFFSET(UPS!$C$37,AU150+AV150,SUMIF($A$10:$A$20,"*#"&amp;AS150,$AT$10:$AT$20))))</f>
        <v>-</v>
      </c>
      <c r="E150" s="440" t="str">
        <f t="shared" si="78"/>
        <v>-</v>
      </c>
      <c r="F150" s="440" t="str">
        <f t="shared" si="79"/>
        <v>-</v>
      </c>
      <c r="G150" s="440" t="str">
        <f t="shared" si="80"/>
        <v>ANNUAL</v>
      </c>
      <c r="H150" s="441" t="str">
        <f t="shared" si="81"/>
        <v>UP</v>
      </c>
      <c r="I150" s="441">
        <f t="shared" si="82"/>
        <v>3</v>
      </c>
      <c r="J150" s="163">
        <f ca="1">IF($A150="*","",OFFSET(UPS!$C$37,AU150,SUMIF($A$10:$A$20,"*#"&amp;AS150,$AT$10:$AT$20)))</f>
        <v>0.46244122068025312</v>
      </c>
      <c r="K150" s="163"/>
      <c r="AR150" s="42">
        <f t="shared" ref="AR150:AS162" si="83">AR149</f>
        <v>8</v>
      </c>
      <c r="AS150" s="42">
        <f>IF(AR150=AR149,AS149+1,1)</f>
        <v>2</v>
      </c>
      <c r="AU150" s="42">
        <f ca="1">SUMIF(UPS!B$38:B$171,C150,UPS!BD$38:BD$171)</f>
        <v>43</v>
      </c>
    </row>
    <row r="151" spans="1:48">
      <c r="B151" s="440" t="str">
        <f t="shared" si="77"/>
        <v>NCAP_AFA</v>
      </c>
      <c r="C151" s="440" t="str">
        <f ca="1">IF($A151="*","",OFFSET(ITEMS_UPS!$C$8,AR151,0))</f>
        <v>UGTLGICCO-N</v>
      </c>
      <c r="D151" s="440" t="str">
        <f ca="1">IF($A151="*","",IF(VLOOKUP("*#"&amp;$AS151,$A$10:$I$24,D$9+1,FALSE)="-","-",OFFSET(UPS!$C$37,AU151+AV151,SUMIF($A$10:$A$20,"*#"&amp;AS151,$AT$10:$AT$20))))</f>
        <v>-</v>
      </c>
      <c r="E151" s="440" t="str">
        <f t="shared" si="78"/>
        <v>-</v>
      </c>
      <c r="F151" s="440" t="str">
        <f t="shared" si="79"/>
        <v>-</v>
      </c>
      <c r="G151" s="440" t="str">
        <f t="shared" si="80"/>
        <v>ANNUAL</v>
      </c>
      <c r="H151" s="441" t="str">
        <f t="shared" si="81"/>
        <v>LO</v>
      </c>
      <c r="I151" s="441">
        <f t="shared" si="82"/>
        <v>3</v>
      </c>
      <c r="J151" s="163" t="str">
        <f ca="1">IF($A151="*","",OFFSET(UPS!$C$37,AU151,SUMIF($A$10:$A$20,"*#"&amp;AS151,$AT$10:$AT$20)))</f>
        <v/>
      </c>
      <c r="K151" s="163"/>
      <c r="AR151" s="42">
        <f t="shared" si="83"/>
        <v>8</v>
      </c>
      <c r="AS151" s="42">
        <f t="shared" ref="AS151:AS155" si="84">IF(AR151=AR150,AS150+1,1)</f>
        <v>3</v>
      </c>
      <c r="AU151" s="42">
        <f ca="1">SUMIF(UPS!B$38:B$171,C151,UPS!BD$38:BD$171)</f>
        <v>43</v>
      </c>
    </row>
    <row r="152" spans="1:48">
      <c r="B152" s="440" t="str">
        <f t="shared" si="77"/>
        <v>NCAP_FOM</v>
      </c>
      <c r="C152" s="440" t="str">
        <f ca="1">IF($A152="*","",OFFSET(ITEMS_UPS!$C$8,AR152,0))</f>
        <v>UGTLGICCO-N</v>
      </c>
      <c r="D152" s="440" t="str">
        <f ca="1">IF($A152="*","",IF(VLOOKUP("*#"&amp;$AS152,$A$10:$I$24,D$9+1,FALSE)="-","-",OFFSET(UPS!$C$37,AU152+AV152,SUMIF($A$10:$A$20,"*#"&amp;AS152,$AT$10:$AT$20))))</f>
        <v>-</v>
      </c>
      <c r="E152" s="440" t="str">
        <f t="shared" si="78"/>
        <v>-</v>
      </c>
      <c r="F152" s="440" t="str">
        <f t="shared" si="79"/>
        <v>-</v>
      </c>
      <c r="G152" s="440" t="str">
        <f t="shared" si="80"/>
        <v>-</v>
      </c>
      <c r="H152" s="441" t="str">
        <f t="shared" si="81"/>
        <v>-</v>
      </c>
      <c r="I152" s="441">
        <f t="shared" si="82"/>
        <v>0</v>
      </c>
      <c r="J152" s="163">
        <f ca="1">IF($A152="*","",OFFSET(UPS!$C$37,AU152,SUMIF($A$10:$A$20,"*#"&amp;AS152,$AT$10:$AT$20)))</f>
        <v>16.868609235305986</v>
      </c>
      <c r="K152" s="163"/>
      <c r="AR152" s="42">
        <f t="shared" si="83"/>
        <v>8</v>
      </c>
      <c r="AS152" s="42">
        <f t="shared" si="84"/>
        <v>4</v>
      </c>
      <c r="AU152" s="42">
        <f ca="1">SUMIF(UPS!B$38:B$171,C152,UPS!BD$38:BD$171)</f>
        <v>43</v>
      </c>
    </row>
    <row r="153" spans="1:48">
      <c r="B153" s="440" t="str">
        <f t="shared" si="77"/>
        <v>NCAP_BND</v>
      </c>
      <c r="C153" s="440" t="str">
        <f ca="1">IF($A153="*","",OFFSET(ITEMS_UPS!$C$8,AR153,0))</f>
        <v>UGTLGICCO-N</v>
      </c>
      <c r="D153" s="440" t="str">
        <f ca="1">IF($A153="*","",IF(VLOOKUP("*#"&amp;$AS153,$A$10:$I$24,D$9+1,FALSE)="-","-",OFFSET(UPS!$C$37,AU153+AV153,SUMIF($A$10:$A$20,"*#"&amp;AS153,$AT$10:$AT$20))))</f>
        <v>-</v>
      </c>
      <c r="E153" s="440" t="str">
        <f t="shared" si="78"/>
        <v>-</v>
      </c>
      <c r="F153" s="440" t="str">
        <f t="shared" si="79"/>
        <v>-</v>
      </c>
      <c r="G153" s="440" t="str">
        <f t="shared" si="80"/>
        <v>-</v>
      </c>
      <c r="H153" s="441" t="str">
        <f t="shared" si="81"/>
        <v>UP</v>
      </c>
      <c r="I153" s="441">
        <f t="shared" si="82"/>
        <v>3</v>
      </c>
      <c r="J153" s="163" t="str">
        <f ca="1">IF($A153="*","",OFFSET(UPS!$C$37,AU153,SUMIF($A$10:$A$20,"*#"&amp;AS153,$AT$10:$AT$20)))</f>
        <v/>
      </c>
      <c r="K153" s="163"/>
      <c r="AR153" s="42">
        <f>AR151</f>
        <v>8</v>
      </c>
      <c r="AS153" s="42">
        <f t="shared" si="84"/>
        <v>5</v>
      </c>
      <c r="AU153" s="42">
        <f ca="1">SUMIF(UPS!B$38:B$171,C153,UPS!BD$38:BD$171)</f>
        <v>43</v>
      </c>
    </row>
    <row r="154" spans="1:48">
      <c r="B154" s="440" t="str">
        <f t="shared" si="77"/>
        <v>FLO_FUNC</v>
      </c>
      <c r="C154" s="440" t="str">
        <f ca="1">IF($A154="*","",OFFSET(ITEMS_UPS!$C$8,AR154,0))</f>
        <v>UGTLGICCO-N</v>
      </c>
      <c r="D154" s="440" t="str">
        <f ca="1">IF($A154="*","",IF(VLOOKUP("*#"&amp;$AS154,$A$10:$I$24,D$9+1,FALSE)="-","-",OFFSET(UPS!$C$37,AU154+AV154,SUMIF($A$10:$A$20,"*#"&amp;AS154,$AT$10:$AT$20))))</f>
        <v>-</v>
      </c>
      <c r="E154" s="440" t="str">
        <f t="shared" ca="1" si="78"/>
        <v>UGTLGICCO-N-I</v>
      </c>
      <c r="F154" s="440" t="str">
        <f t="shared" ca="1" si="79"/>
        <v>UGTLGICCO-N-O</v>
      </c>
      <c r="G154" s="440" t="str">
        <f t="shared" si="80"/>
        <v>ANNUAL</v>
      </c>
      <c r="H154" s="441" t="str">
        <f t="shared" si="81"/>
        <v>-</v>
      </c>
      <c r="I154" s="441">
        <f t="shared" si="82"/>
        <v>0</v>
      </c>
      <c r="J154" s="163">
        <f ca="1">IF($A154="*","",OFFSET(UPS!$C$37,AU154,SUMIF($A$10:$A$20,"*#"&amp;AS154,$AT$10:$AT$20)))</f>
        <v>0.80809626745744978</v>
      </c>
      <c r="K154" s="163"/>
      <c r="AR154" s="42">
        <f t="shared" si="83"/>
        <v>8</v>
      </c>
      <c r="AS154" s="42">
        <f t="shared" si="84"/>
        <v>6</v>
      </c>
      <c r="AU154" s="42">
        <f ca="1">SUMIF(UPS!B$38:B$171,C154,UPS!BD$38:BD$171)</f>
        <v>43</v>
      </c>
    </row>
    <row r="155" spans="1:48">
      <c r="B155" s="440" t="str">
        <f t="shared" si="77"/>
        <v>FLO_SHAR</v>
      </c>
      <c r="C155" s="440" t="str">
        <f ca="1">IF($A155="*","",OFFSET(ITEMS_UPS!$C$8,AR155,0))</f>
        <v>UGTLGICCO-N</v>
      </c>
      <c r="D155" s="440" t="str">
        <f ca="1">IF($A155="*","",IF(VLOOKUP("*#"&amp;$AS155,$A$10:$I$24,D$9+1,FALSE)="-","-",OFFSET(UPS!$C$37,AU155+AV155,SUMIF($A$10:$A$20,"*#"&amp;AS155,$AT$10:$AT$20))))</f>
        <v>UPSGIC</v>
      </c>
      <c r="E155" s="440" t="str">
        <f t="shared" ca="1" si="78"/>
        <v>UGTLGICCO-N-I</v>
      </c>
      <c r="F155" s="440" t="str">
        <f t="shared" si="79"/>
        <v>-</v>
      </c>
      <c r="G155" s="440" t="str">
        <f t="shared" si="80"/>
        <v>ANNUAL</v>
      </c>
      <c r="H155" s="441" t="str">
        <f t="shared" si="81"/>
        <v>FX</v>
      </c>
      <c r="I155" s="441">
        <f t="shared" si="82"/>
        <v>3</v>
      </c>
      <c r="J155" s="163">
        <f ca="1">IF($A155="*","",OFFSET(UPS!$C$37,AU155+AV155,SUMIF($A$10:$A$20,"*#"&amp;AS155,$AV$10:$AV$20)))</f>
        <v>0.76985311799533229</v>
      </c>
      <c r="K155" s="163"/>
      <c r="AR155" s="42">
        <f t="shared" si="83"/>
        <v>8</v>
      </c>
      <c r="AS155" s="42">
        <f t="shared" si="84"/>
        <v>7</v>
      </c>
      <c r="AU155" s="42">
        <f ca="1">SUMIF(UPS!B$38:B$171,C155,UPS!BD$38:BD$171)</f>
        <v>43</v>
      </c>
      <c r="AV155" s="42">
        <v>0</v>
      </c>
    </row>
    <row r="156" spans="1:48">
      <c r="B156" s="440" t="str">
        <f t="shared" si="77"/>
        <v>FLO_SHAR</v>
      </c>
      <c r="C156" s="440" t="str">
        <f ca="1">IF($A156="*","",OFFSET(ITEMS_UPS!$C$8,AR156,0))</f>
        <v>UGTLGICCO-N</v>
      </c>
      <c r="D156" s="440" t="str">
        <f ca="1">IF($A156="*","",IF(VLOOKUP("*#"&amp;$AS156,$A$10:$I$24,D$9+1,FALSE)="-","-",OFFSET(UPS!$C$37,AU156+AV156,SUMIF($A$10:$A$20,"*#"&amp;AS156,$AT$10:$AT$20))))</f>
        <v>UPSOCR</v>
      </c>
      <c r="E156" s="440" t="str">
        <f t="shared" ca="1" si="78"/>
        <v>UGTLGICCO-N-I</v>
      </c>
      <c r="F156" s="440" t="str">
        <f t="shared" si="79"/>
        <v>-</v>
      </c>
      <c r="G156" s="440" t="str">
        <f t="shared" si="80"/>
        <v>ANNUAL</v>
      </c>
      <c r="H156" s="441" t="str">
        <f t="shared" si="81"/>
        <v>FX</v>
      </c>
      <c r="I156" s="441">
        <f t="shared" si="82"/>
        <v>3</v>
      </c>
      <c r="J156" s="163">
        <f ca="1">IF($A156="*","",OFFSET(UPS!$C$37,AU156+AV156,SUMIF($A$10:$A$20,"*#"&amp;AS156,$AV$10:$AV$20)))</f>
        <v>0.19246327949883302</v>
      </c>
      <c r="K156" s="163"/>
      <c r="AR156" s="42">
        <f t="shared" si="83"/>
        <v>8</v>
      </c>
      <c r="AS156" s="42">
        <f>AS155</f>
        <v>7</v>
      </c>
      <c r="AU156" s="42">
        <f ca="1">SUMIF(UPS!B$38:B$171,C156,UPS!BD$38:BD$171)</f>
        <v>43</v>
      </c>
      <c r="AV156" s="42">
        <f t="shared" ref="AV156:AV163" si="85">AV155+1</f>
        <v>1</v>
      </c>
    </row>
    <row r="157" spans="1:48">
      <c r="B157" s="440" t="str">
        <f t="shared" si="77"/>
        <v>FLO_SHAR</v>
      </c>
      <c r="C157" s="440" t="str">
        <f ca="1">IF($A157="*","",OFFSET(ITEMS_UPS!$C$8,AR157,0))</f>
        <v>UGTLGICCO-N</v>
      </c>
      <c r="D157" s="440" t="str">
        <f ca="1">IF($A157="*","",IF(VLOOKUP("*#"&amp;$AS157,$A$10:$I$24,D$9+1,FALSE)="-","-",OFFSET(UPS!$C$37,AU157+AV157,SUMIF($A$10:$A$20,"*#"&amp;AS157,$AT$10:$AT$20))))</f>
        <v>UPSELC</v>
      </c>
      <c r="E157" s="440" t="str">
        <f t="shared" ca="1" si="78"/>
        <v>UGTLGICCO-N-I</v>
      </c>
      <c r="F157" s="440" t="str">
        <f t="shared" si="79"/>
        <v>-</v>
      </c>
      <c r="G157" s="440" t="str">
        <f t="shared" si="80"/>
        <v>ANNUAL</v>
      </c>
      <c r="H157" s="441" t="str">
        <f t="shared" si="81"/>
        <v>FX</v>
      </c>
      <c r="I157" s="441">
        <f t="shared" si="82"/>
        <v>3</v>
      </c>
      <c r="J157" s="163">
        <f ca="1">IF($A157="*","",OFFSET(UPS!$C$37,AU157+AV157,SUMIF($A$10:$A$20,"*#"&amp;AS157,$AV$10:$AV$20)))</f>
        <v>3.7683602505834655E-2</v>
      </c>
      <c r="K157" s="163"/>
      <c r="AR157" s="42">
        <f t="shared" si="83"/>
        <v>8</v>
      </c>
      <c r="AS157" s="42">
        <f>AS156</f>
        <v>7</v>
      </c>
      <c r="AU157" s="42">
        <f ca="1">SUMIF(UPS!B$38:B$171,C157,UPS!BD$38:BD$171)</f>
        <v>43</v>
      </c>
      <c r="AV157" s="42">
        <f t="shared" si="85"/>
        <v>2</v>
      </c>
    </row>
    <row r="158" spans="1:48">
      <c r="B158" s="440" t="str">
        <f t="shared" si="77"/>
        <v>FLO_SHAR</v>
      </c>
      <c r="C158" s="440" t="str">
        <f ca="1">IF($A158="*","",OFFSET(ITEMS_UPS!$C$8,AR158,0))</f>
        <v>UGTLGICCO-N</v>
      </c>
      <c r="D158" s="440" t="str">
        <f ca="1">IF($A158="*","",IF(VLOOKUP("*#"&amp;$AS158,$A$10:$I$24,D$9+1,FALSE)="-","-",OFFSET(UPS!$C$37,AU158+AV158,SUMIF($A$10:$A$20,"*#"&amp;AS158,$AT$10:$AT$20))))</f>
        <v>OAG</v>
      </c>
      <c r="E158" s="440" t="str">
        <f t="shared" ca="1" si="78"/>
        <v>UGTLGICCO-N-O</v>
      </c>
      <c r="F158" s="440" t="str">
        <f t="shared" si="79"/>
        <v>-</v>
      </c>
      <c r="G158" s="440" t="str">
        <f t="shared" si="80"/>
        <v>ANNUAL</v>
      </c>
      <c r="H158" s="441" t="str">
        <f t="shared" si="81"/>
        <v>UP</v>
      </c>
      <c r="I158" s="441">
        <f t="shared" si="82"/>
        <v>3</v>
      </c>
      <c r="J158" s="163">
        <f ca="1">IF($A158="*","",OFFSET(UPS!$C$37,AU158+AV158,SUMIF($A$10:$A$20,"*#"&amp;AS158,$AV$10:$AV$20)))</f>
        <v>0</v>
      </c>
      <c r="K158" s="163"/>
      <c r="AR158" s="42">
        <f t="shared" si="83"/>
        <v>8</v>
      </c>
      <c r="AS158" s="42">
        <v>8</v>
      </c>
      <c r="AU158" s="42">
        <f ca="1">SUMIF(UPS!B$38:B$171,C158,UPS!BD$38:BD$171)</f>
        <v>43</v>
      </c>
      <c r="AV158" s="42">
        <f t="shared" si="85"/>
        <v>3</v>
      </c>
    </row>
    <row r="159" spans="1:48">
      <c r="B159" s="440" t="str">
        <f t="shared" si="77"/>
        <v>FLO_SHAR</v>
      </c>
      <c r="C159" s="440" t="str">
        <f ca="1">IF($A159="*","",OFFSET(ITEMS_UPS!$C$8,AR159,0))</f>
        <v>UGTLGICCO-N</v>
      </c>
      <c r="D159" s="440" t="str">
        <f ca="1">IF($A159="*","",IF(VLOOKUP("*#"&amp;$AS159,$A$10:$I$24,D$9+1,FALSE)="-","-",OFFSET(UPS!$C$37,AU159+AV159,SUMIF($A$10:$A$20,"*#"&amp;AS159,$AT$10:$AT$20))))</f>
        <v>ODS</v>
      </c>
      <c r="E159" s="440" t="str">
        <f t="shared" ca="1" si="78"/>
        <v>UGTLGICCO-N-O</v>
      </c>
      <c r="F159" s="440" t="str">
        <f t="shared" si="79"/>
        <v>-</v>
      </c>
      <c r="G159" s="440" t="str">
        <f t="shared" si="80"/>
        <v>ANNUAL</v>
      </c>
      <c r="H159" s="441" t="str">
        <f t="shared" si="81"/>
        <v>UP</v>
      </c>
      <c r="I159" s="441">
        <f t="shared" si="82"/>
        <v>3</v>
      </c>
      <c r="J159" s="163">
        <f ca="1">IF($A159="*","",OFFSET(UPS!$C$37,AU159+AV159,SUMIF($A$10:$A$20,"*#"&amp;AS159,$AV$10:$AV$20)))</f>
        <v>0.28767932115906897</v>
      </c>
      <c r="K159" s="163"/>
      <c r="AR159" s="42">
        <f t="shared" si="83"/>
        <v>8</v>
      </c>
      <c r="AS159" s="42">
        <f t="shared" si="83"/>
        <v>8</v>
      </c>
      <c r="AU159" s="42">
        <f ca="1">SUMIF(UPS!B$38:B$171,C159,UPS!BD$38:BD$171)</f>
        <v>43</v>
      </c>
      <c r="AV159" s="42">
        <f t="shared" si="85"/>
        <v>4</v>
      </c>
    </row>
    <row r="160" spans="1:48">
      <c r="B160" s="440" t="str">
        <f t="shared" si="77"/>
        <v>FLO_SHAR</v>
      </c>
      <c r="C160" s="440" t="str">
        <f ca="1">IF($A160="*","",OFFSET(ITEMS_UPS!$C$8,AR160,0))</f>
        <v>UGTLGICCO-N</v>
      </c>
      <c r="D160" s="440" t="str">
        <f ca="1">IF($A160="*","",IF(VLOOKUP("*#"&amp;$AS160,$A$10:$I$24,D$9+1,FALSE)="-","-",OFFSET(UPS!$C$37,AU160+AV160,SUMIF($A$10:$A$20,"*#"&amp;AS160,$AT$10:$AT$20))))</f>
        <v>OGS</v>
      </c>
      <c r="E160" s="440" t="str">
        <f t="shared" ca="1" si="78"/>
        <v>UGTLGICCO-N-O</v>
      </c>
      <c r="F160" s="440" t="str">
        <f t="shared" si="79"/>
        <v>-</v>
      </c>
      <c r="G160" s="440" t="str">
        <f t="shared" si="80"/>
        <v>ANNUAL</v>
      </c>
      <c r="H160" s="441" t="str">
        <f t="shared" si="81"/>
        <v>UP</v>
      </c>
      <c r="I160" s="441">
        <f t="shared" si="82"/>
        <v>3</v>
      </c>
      <c r="J160" s="163">
        <f ca="1">IF($A160="*","",OFFSET(UPS!$C$37,AU160+AV160,SUMIF($A$10:$A$20,"*#"&amp;AS160,$AV$10:$AV$20)))</f>
        <v>0.49809089633534509</v>
      </c>
      <c r="K160" s="163"/>
      <c r="AR160" s="42">
        <f t="shared" si="83"/>
        <v>8</v>
      </c>
      <c r="AS160" s="42">
        <f t="shared" si="83"/>
        <v>8</v>
      </c>
      <c r="AU160" s="42">
        <f ca="1">SUMIF(UPS!B$38:B$171,C160,UPS!BD$38:BD$171)</f>
        <v>43</v>
      </c>
      <c r="AV160" s="42">
        <f t="shared" si="85"/>
        <v>5</v>
      </c>
    </row>
    <row r="161" spans="1:48">
      <c r="B161" s="440" t="str">
        <f t="shared" si="77"/>
        <v>FLO_SHAR</v>
      </c>
      <c r="C161" s="440" t="str">
        <f ca="1">IF($A161="*","",OFFSET(ITEMS_UPS!$C$8,AR161,0))</f>
        <v>UGTLGICCO-N</v>
      </c>
      <c r="D161" s="440" t="str">
        <f ca="1">IF($A161="*","",IF(VLOOKUP("*#"&amp;$AS161,$A$10:$I$24,D$9+1,FALSE)="-","-",OFFSET(UPS!$C$37,AU161+AV161,SUMIF($A$10:$A$20,"*#"&amp;AS161,$AT$10:$AT$20))))</f>
        <v>OKE</v>
      </c>
      <c r="E161" s="440" t="str">
        <f t="shared" ca="1" si="78"/>
        <v>UGTLGICCO-N-O</v>
      </c>
      <c r="F161" s="440" t="str">
        <f t="shared" si="79"/>
        <v>-</v>
      </c>
      <c r="G161" s="440" t="str">
        <f t="shared" si="80"/>
        <v>ANNUAL</v>
      </c>
      <c r="H161" s="441" t="str">
        <f t="shared" si="81"/>
        <v>UP</v>
      </c>
      <c r="I161" s="441">
        <f t="shared" si="82"/>
        <v>3</v>
      </c>
      <c r="J161" s="163">
        <f ca="1">IF($A161="*","",OFFSET(UPS!$C$37,AU161+AV161,SUMIF($A$10:$A$20,"*#"&amp;AS161,$AV$10:$AV$20)))</f>
        <v>0.12259168661288511</v>
      </c>
      <c r="K161" s="163"/>
      <c r="AR161" s="42">
        <f t="shared" si="83"/>
        <v>8</v>
      </c>
      <c r="AS161" s="42">
        <f t="shared" si="83"/>
        <v>8</v>
      </c>
      <c r="AU161" s="42">
        <f ca="1">SUMIF(UPS!B$38:B$171,C161,UPS!BD$38:BD$171)</f>
        <v>43</v>
      </c>
      <c r="AV161" s="42">
        <f t="shared" si="85"/>
        <v>6</v>
      </c>
    </row>
    <row r="162" spans="1:48">
      <c r="B162" s="440" t="str">
        <f t="shared" si="77"/>
        <v>FLO_SHAR</v>
      </c>
      <c r="C162" s="440" t="str">
        <f ca="1">IF($A162="*","",OFFSET(ITEMS_UPS!$C$8,AR162,0))</f>
        <v>UGTLGICCO-N</v>
      </c>
      <c r="D162" s="440" t="str">
        <f ca="1">IF($A162="*","",IF(VLOOKUP("*#"&amp;$AS162,$A$10:$I$24,D$9+1,FALSE)="-","-",OFFSET(UPS!$C$37,AU162+AV162,SUMIF($A$10:$A$20,"*#"&amp;AS162,$AT$10:$AT$20))))</f>
        <v>OLP</v>
      </c>
      <c r="E162" s="440" t="str">
        <f t="shared" ca="1" si="78"/>
        <v>UGTLGICCO-N-O</v>
      </c>
      <c r="F162" s="440" t="str">
        <f t="shared" si="79"/>
        <v>-</v>
      </c>
      <c r="G162" s="440" t="str">
        <f t="shared" si="80"/>
        <v>ANNUAL</v>
      </c>
      <c r="H162" s="441" t="str">
        <f t="shared" si="81"/>
        <v>UP</v>
      </c>
      <c r="I162" s="441">
        <f t="shared" si="82"/>
        <v>3</v>
      </c>
      <c r="J162" s="163">
        <f ca="1">IF($A162="*","",OFFSET(UPS!$C$37,AU162+AV162,SUMIF($A$10:$A$20,"*#"&amp;AS162,$AV$10:$AV$20)))</f>
        <v>3.6696142945579213E-2</v>
      </c>
      <c r="K162" s="163"/>
      <c r="AR162" s="42">
        <f t="shared" si="83"/>
        <v>8</v>
      </c>
      <c r="AS162" s="42">
        <f t="shared" si="83"/>
        <v>8</v>
      </c>
      <c r="AU162" s="42">
        <f ca="1">SUMIF(UPS!B$38:B$171,C162,UPS!BD$38:BD$171)</f>
        <v>43</v>
      </c>
      <c r="AV162" s="42">
        <f t="shared" si="85"/>
        <v>7</v>
      </c>
    </row>
    <row r="163" spans="1:48">
      <c r="B163" s="440" t="str">
        <f t="shared" si="77"/>
        <v>FLO_EMIS</v>
      </c>
      <c r="C163" s="440" t="str">
        <f ca="1">IF($A163="*","",OFFSET(ITEMS_UPS!$C$8,AR163,0))</f>
        <v>UGTLGICCO-N</v>
      </c>
      <c r="D163" s="440" t="str">
        <f>$D$18</f>
        <v>UPSCO2S</v>
      </c>
      <c r="E163" s="440" t="str">
        <f t="shared" ca="1" si="78"/>
        <v>UGTLGICCO-N-O</v>
      </c>
      <c r="F163" s="440" t="str">
        <f t="shared" si="79"/>
        <v>-</v>
      </c>
      <c r="G163" s="440" t="str">
        <f t="shared" si="80"/>
        <v>ANNUAL</v>
      </c>
      <c r="H163" s="441" t="str">
        <f t="shared" si="81"/>
        <v>-</v>
      </c>
      <c r="I163" s="441">
        <f t="shared" si="82"/>
        <v>0</v>
      </c>
      <c r="J163" s="163">
        <f ca="1">IF($A163="*","",OFFSET(UPS!$C$37,AU163,SUMIF($A$10:$A$20,"*#"&amp;AS163,$AT$10:$AT$20)))</f>
        <v>6.4894696089818042</v>
      </c>
      <c r="K163" s="163"/>
      <c r="AR163" s="42">
        <f>AR161</f>
        <v>8</v>
      </c>
      <c r="AS163" s="42">
        <f>AS161+1</f>
        <v>9</v>
      </c>
      <c r="AU163" s="42">
        <f ca="1">SUMIF(UPS!B$38:B$171,C163,UPS!BD$38:BD$171)</f>
        <v>43</v>
      </c>
      <c r="AV163" s="42">
        <f t="shared" si="85"/>
        <v>8</v>
      </c>
    </row>
    <row r="164" spans="1:48">
      <c r="B164" s="440" t="str">
        <f t="shared" si="77"/>
        <v>FLO_EMIS</v>
      </c>
      <c r="C164" s="440" t="str">
        <f ca="1">IF($A164="*","",OFFSET(ITEMS_UPS!$C$8,AR164,0))</f>
        <v>UGTLGICCO-N</v>
      </c>
      <c r="D164" s="440" t="str">
        <f>$D$19</f>
        <v>UPSCH4S</v>
      </c>
      <c r="E164" s="440" t="str">
        <f t="shared" ca="1" si="78"/>
        <v>UGTLGICCO-N-O</v>
      </c>
      <c r="F164" s="440" t="str">
        <f t="shared" si="79"/>
        <v>-</v>
      </c>
      <c r="G164" s="440" t="str">
        <f t="shared" si="80"/>
        <v>ANNUAL</v>
      </c>
      <c r="H164" s="441" t="str">
        <f t="shared" si="81"/>
        <v>-</v>
      </c>
      <c r="I164" s="441">
        <f t="shared" si="82"/>
        <v>0</v>
      </c>
      <c r="J164" s="163">
        <f ca="1">IF($A164="*","",OFFSET(UPS!$C$37,AU164,SUMIF($A$10:$A$20,"*#"&amp;AS164,$AT$10:$AT$20)))</f>
        <v>4.4999999999999997E-3</v>
      </c>
      <c r="K164" s="163"/>
      <c r="AR164" s="42">
        <f>AR163</f>
        <v>8</v>
      </c>
      <c r="AS164" s="42">
        <f>AS163+1</f>
        <v>10</v>
      </c>
      <c r="AU164" s="42">
        <f ca="1">SUMIF(UPS!B$38:B$171,C164,UPS!BD$38:BD$171)</f>
        <v>43</v>
      </c>
    </row>
    <row r="165" spans="1:48">
      <c r="B165" s="440" t="str">
        <f t="shared" si="77"/>
        <v>NCAP_COST</v>
      </c>
      <c r="C165" s="440" t="str">
        <f ca="1">IF($A165="*","",OFFSET(ITEMS_UPS!$C$8,AR165,0))</f>
        <v>UGTLGICCO-N</v>
      </c>
      <c r="D165" s="440" t="str">
        <f ca="1">IF($A165="*","",IF(VLOOKUP("*#"&amp;$AS165,$A$10:$I$24,D$9+1,FALSE)="-","-",OFFSET(UPS!$C$37,AU165+AV165,SUMIF($A$10:$A$20,"*#"&amp;AS165,$AT$10:$AT$20))))</f>
        <v>-</v>
      </c>
      <c r="E165" s="440" t="str">
        <f t="shared" si="78"/>
        <v>-</v>
      </c>
      <c r="F165" s="440" t="str">
        <f t="shared" si="79"/>
        <v>-</v>
      </c>
      <c r="G165" s="440" t="str">
        <f>IF($A165="*","",VLOOKUP("*#"&amp;$AS165,$A$10:$I$24,G$9+1,FALSE))</f>
        <v>-</v>
      </c>
      <c r="H165" s="441" t="str">
        <f t="shared" si="81"/>
        <v>-</v>
      </c>
      <c r="I165" s="441">
        <f>IF($A165="*","",VLOOKUP("*#"&amp;$AS165,$A$10:$I$24,I$9+1,FALSE))</f>
        <v>0</v>
      </c>
      <c r="J165" s="163">
        <f ca="1">IF($A165="*","",OFFSET(UPS!$C$37,AU165,SUMIF($A$10:$A$24,"*#"&amp;AS165,$AT$10:$AT$24)))</f>
        <v>169.62323731057683</v>
      </c>
      <c r="K165" s="163"/>
      <c r="L165" s="163"/>
      <c r="M165" s="163"/>
      <c r="N165" s="163"/>
      <c r="O165" s="163"/>
      <c r="P165" s="163"/>
      <c r="Q165" s="163"/>
      <c r="R165" s="163"/>
      <c r="S165" s="163"/>
      <c r="T165" s="163"/>
      <c r="U165" s="163"/>
      <c r="V165" s="163"/>
      <c r="W165" s="163"/>
      <c r="X165" s="163"/>
      <c r="Y165" s="163"/>
      <c r="Z165" s="163"/>
      <c r="AA165" s="163"/>
      <c r="AB165" s="163"/>
      <c r="AC165" s="163"/>
      <c r="AD165" s="163"/>
      <c r="AE165" s="163"/>
      <c r="AF165" s="163"/>
      <c r="AG165" s="163"/>
      <c r="AH165" s="163"/>
      <c r="AI165" s="163"/>
      <c r="AJ165" s="163"/>
      <c r="AK165" s="163"/>
      <c r="AL165" s="163"/>
      <c r="AM165" s="163"/>
      <c r="AN165" s="163"/>
      <c r="AO165" s="163"/>
      <c r="AP165" s="163"/>
      <c r="AR165" s="42">
        <f>AR164</f>
        <v>8</v>
      </c>
      <c r="AS165" s="42">
        <f>AS164+2</f>
        <v>12</v>
      </c>
      <c r="AU165" s="42">
        <f ca="1">SUMIF(UPS!B$38:B$171,C165,UPS!BD$38:BD$171)</f>
        <v>43</v>
      </c>
    </row>
    <row r="166" spans="1:48">
      <c r="B166" s="440" t="str">
        <f t="shared" si="77"/>
        <v>NCAP_TLIFE</v>
      </c>
      <c r="C166" s="440" t="str">
        <f ca="1">IF($A166="*","",OFFSET(ITEMS_UPS!$C$8,AR166,0))</f>
        <v>UGTLGICCO-N</v>
      </c>
      <c r="D166" s="440" t="str">
        <f ca="1">IF($A166="*","",IF(VLOOKUP("*#"&amp;$AS166,$A$10:$I$24,D$9+1,FALSE)="-","-",OFFSET(UPS!$C$37,AU166+AV166,SUMIF($A$10:$A$20,"*#"&amp;AS166,$AT$10:$AT$20))))</f>
        <v>-</v>
      </c>
      <c r="E166" s="440" t="str">
        <f t="shared" si="78"/>
        <v>-</v>
      </c>
      <c r="F166" s="440" t="str">
        <f t="shared" si="79"/>
        <v>-</v>
      </c>
      <c r="G166" s="440" t="str">
        <f>IF($A166="*","",VLOOKUP("*#"&amp;$AS166,$A$10:$I$24,G$9+1,FALSE))</f>
        <v>-</v>
      </c>
      <c r="H166" s="441" t="str">
        <f t="shared" si="81"/>
        <v>-</v>
      </c>
      <c r="I166" s="441">
        <f>IF($A166="*","",VLOOKUP("*#"&amp;$AS166,$A$10:$I$24,I$9+1,FALSE))</f>
        <v>0</v>
      </c>
      <c r="J166" s="163">
        <f ca="1">IF($A166="*","",OFFSET(UPS!$C$37,AU166,SUMIF($A$10:$A$24,"*#"&amp;AS166,$AT$10:$AT$24)))</f>
        <v>50</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AS165+1</f>
        <v>13</v>
      </c>
      <c r="AU166" s="42">
        <f ca="1">SUMIF(UPS!B$38:B$171,C166,UPS!BD$38:BD$171)</f>
        <v>43</v>
      </c>
    </row>
    <row r="167" spans="1:48">
      <c r="B167" s="440" t="str">
        <f t="shared" si="77"/>
        <v>NCAP_ILED</v>
      </c>
      <c r="C167" s="440" t="str">
        <f ca="1">IF($A167="*","",OFFSET(ITEMS_UPS!$C$8,AR167,0))</f>
        <v>UGTLGICCO-N</v>
      </c>
      <c r="D167" s="440" t="str">
        <f ca="1">IF($A167="*","",IF(VLOOKUP("*#"&amp;$AS167,$A$10:$I$24,D$9+1,FALSE)="-","-",OFFSET(UPS!$C$37,AU167+AV167,SUMIF($A$10:$A$20,"*#"&amp;AS167,$AT$10:$AT$20))))</f>
        <v>-</v>
      </c>
      <c r="E167" s="440" t="str">
        <f t="shared" si="78"/>
        <v>-</v>
      </c>
      <c r="F167" s="440" t="str">
        <f t="shared" si="79"/>
        <v>-</v>
      </c>
      <c r="G167" s="440" t="str">
        <f>IF($A167="*","",VLOOKUP("*#"&amp;$AS167,$A$10:$I$24,G$9+1,FALSE))</f>
        <v>-</v>
      </c>
      <c r="H167" s="441" t="str">
        <f t="shared" si="81"/>
        <v>-</v>
      </c>
      <c r="I167" s="441">
        <f>IF($A167="*","",VLOOKUP("*#"&amp;$AS167,$A$10:$I$24,I$9+1,FALSE))</f>
        <v>0</v>
      </c>
      <c r="J167" s="163">
        <f ca="1">IF($A167="*","",OFFSET(UPS!$C$37,AU167,SUMIF($A$10:$A$24,"*#"&amp;AS167,$AT$10:$AT$24)))</f>
        <v>-6</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AR165</f>
        <v>8</v>
      </c>
      <c r="AS167" s="42">
        <f>AS166+1</f>
        <v>14</v>
      </c>
      <c r="AU167" s="42">
        <f ca="1">SUMIF(UPS!B$38:B$171,C167,UPS!BD$38:BD$171)</f>
        <v>43</v>
      </c>
    </row>
    <row r="168" spans="1:48">
      <c r="A168" s="42" t="s">
        <v>310</v>
      </c>
    </row>
    <row r="169" spans="1:48">
      <c r="B169" s="440" t="str">
        <f t="shared" ref="B169:B187" si="86">IF(A169="*","",VLOOKUP("*#"&amp;AS169,$A$9:$B$24,2,FALSE))</f>
        <v>ACT_COST</v>
      </c>
      <c r="C169" s="440" t="str">
        <f ca="1">IF($A169="*","",OFFSET(ITEMS_UPS!$C$8,AR169,0))</f>
        <v>UREFOCRCO-N</v>
      </c>
      <c r="D169" s="440" t="str">
        <f ca="1">IF($A169="*","",IF(VLOOKUP("*#"&amp;$AS169,$A$10:$I$24,D$9+1,FALSE)="-","-",OFFSET(UPS!$C$37,AU169+AV169,SUMIF($A$10:$A$20,"*#"&amp;AS169,$AT$10:$AT$20))))</f>
        <v>-</v>
      </c>
      <c r="E169" s="440" t="str">
        <f t="shared" ref="E169:E187" si="87">IF($A169="*","",IF(VLOOKUP("*#"&amp;$AS169,$A$10:$I$24,E$9+1,FALSE)="-","-",C169&amp;"-"&amp;RIGHT(VLOOKUP("*#"&amp;$AS169,$A$10:$I$24,E$9+1,FALSE),1)))</f>
        <v>-</v>
      </c>
      <c r="F169" s="440" t="str">
        <f t="shared" ref="F169:F187" si="88">IF($A169="*","",IF(VLOOKUP("*#"&amp;$AS169,$A$10:$I$24,F$9+1,FALSE)="-","-",C169&amp;"-"&amp;RIGHT(VLOOKUP("*#"&amp;$AS169,$A$10:$I$24,F$9+1,FALSE),1)))</f>
        <v>-</v>
      </c>
      <c r="G169" s="440" t="str">
        <f t="shared" ref="G169:G184" si="89">IF($A169="*","",VLOOKUP("*#"&amp;$AS169,$A$10:$I$20,G$9+1,FALSE))</f>
        <v>-</v>
      </c>
      <c r="H169" s="441" t="str">
        <f t="shared" ref="H169:H187" si="90">IF($A169="*","",VLOOKUP("*#"&amp;$AS169,$A$10:$I$24,H$9+1,FALSE))</f>
        <v>-</v>
      </c>
      <c r="I169" s="441">
        <f t="shared" ref="I169:I184" si="91">IF($A169="*","",VLOOKUP("*#"&amp;$AS169,$A$10:$I$20,I$9+1,FALSE))</f>
        <v>0</v>
      </c>
      <c r="J169" s="163">
        <f ca="1">IF($A169="*","",OFFSET(UPS!$C$37,AU169,SUMIF($A$10:$A$20,"*#"&amp;AS169,$AT$10:$AT$20)))</f>
        <v>19.837857647588002</v>
      </c>
      <c r="K169" s="163"/>
      <c r="AR169" s="42">
        <f>AR167+1</f>
        <v>9</v>
      </c>
      <c r="AS169" s="42">
        <v>1</v>
      </c>
      <c r="AU169" s="42">
        <f ca="1">SUMIF(UPS!B$38:B$171,C169,UPS!BD$38:BD$171)</f>
        <v>77</v>
      </c>
    </row>
    <row r="170" spans="1:48">
      <c r="B170" s="440" t="str">
        <f t="shared" si="86"/>
        <v>NCAP_AFA</v>
      </c>
      <c r="C170" s="440" t="str">
        <f ca="1">IF($A170="*","",OFFSET(ITEMS_UPS!$C$8,AR170,0))</f>
        <v>UREFOCRCO-N</v>
      </c>
      <c r="D170" s="440" t="str">
        <f ca="1">IF($A170="*","",IF(VLOOKUP("*#"&amp;$AS170,$A$10:$I$24,D$9+1,FALSE)="-","-",OFFSET(UPS!$C$37,AU170+AV170,SUMIF($A$10:$A$20,"*#"&amp;AS170,$AT$10:$AT$20))))</f>
        <v>-</v>
      </c>
      <c r="E170" s="440" t="str">
        <f t="shared" si="87"/>
        <v>-</v>
      </c>
      <c r="F170" s="440" t="str">
        <f t="shared" si="88"/>
        <v>-</v>
      </c>
      <c r="G170" s="440" t="str">
        <f t="shared" si="89"/>
        <v>ANNUAL</v>
      </c>
      <c r="H170" s="441" t="str">
        <f t="shared" si="90"/>
        <v>UP</v>
      </c>
      <c r="I170" s="441">
        <f t="shared" si="91"/>
        <v>3</v>
      </c>
      <c r="J170" s="163">
        <f ca="1">IF($A170="*","",OFFSET(UPS!$C$37,AU170,SUMIF($A$10:$A$20,"*#"&amp;AS170,$AT$10:$AT$20)))</f>
        <v>0.96</v>
      </c>
      <c r="K170" s="163"/>
      <c r="AR170" s="42">
        <f>AR169</f>
        <v>9</v>
      </c>
      <c r="AS170" s="42">
        <f t="shared" ref="AS170:AS175" si="92">IF(AR170=AR169,AS169+1,1)</f>
        <v>2</v>
      </c>
      <c r="AU170" s="42">
        <f ca="1">SUMIF(UPS!B$38:B$171,C170,UPS!BD$38:BD$171)</f>
        <v>77</v>
      </c>
    </row>
    <row r="171" spans="1:48">
      <c r="B171" s="440" t="str">
        <f t="shared" si="86"/>
        <v>NCAP_AFA</v>
      </c>
      <c r="C171" s="440" t="str">
        <f ca="1">IF($A171="*","",OFFSET(ITEMS_UPS!$C$8,AR171,0))</f>
        <v>UREFOCRCO-N</v>
      </c>
      <c r="D171" s="440" t="str">
        <f ca="1">IF($A171="*","",IF(VLOOKUP("*#"&amp;$AS171,$A$10:$I$24,D$9+1,FALSE)="-","-",OFFSET(UPS!$C$37,AU171+AV171,SUMIF($A$10:$A$20,"*#"&amp;AS171,$AT$10:$AT$20))))</f>
        <v>-</v>
      </c>
      <c r="E171" s="440" t="str">
        <f t="shared" si="87"/>
        <v>-</v>
      </c>
      <c r="F171" s="440" t="str">
        <f t="shared" si="88"/>
        <v>-</v>
      </c>
      <c r="G171" s="440" t="str">
        <f t="shared" si="89"/>
        <v>ANNUAL</v>
      </c>
      <c r="H171" s="441" t="str">
        <f t="shared" si="90"/>
        <v>LO</v>
      </c>
      <c r="I171" s="441">
        <f t="shared" si="91"/>
        <v>3</v>
      </c>
      <c r="J171" s="163" t="str">
        <f ca="1">IF($A171="*","",OFFSET(UPS!$C$37,AU171,SUMIF($A$10:$A$20,"*#"&amp;AS171,$AT$10:$AT$20)))</f>
        <v/>
      </c>
      <c r="K171" s="163"/>
      <c r="AR171" s="42">
        <f>AR170</f>
        <v>9</v>
      </c>
      <c r="AS171" s="42">
        <f t="shared" si="92"/>
        <v>3</v>
      </c>
      <c r="AU171" s="42">
        <f ca="1">SUMIF(UPS!B$38:B$171,C171,UPS!BD$38:BD$171)</f>
        <v>77</v>
      </c>
    </row>
    <row r="172" spans="1:48">
      <c r="B172" s="440" t="str">
        <f t="shared" si="86"/>
        <v>NCAP_FOM</v>
      </c>
      <c r="C172" s="440" t="str">
        <f ca="1">IF($A172="*","",OFFSET(ITEMS_UPS!$C$8,AR172,0))</f>
        <v>UREFOCRCO-N</v>
      </c>
      <c r="D172" s="440" t="str">
        <f ca="1">IF($A172="*","",IF(VLOOKUP("*#"&amp;$AS172,$A$10:$I$24,D$9+1,FALSE)="-","-",OFFSET(UPS!$C$37,AU172+AV172,SUMIF($A$10:$A$20,"*#"&amp;AS172,$AT$10:$AT$20))))</f>
        <v>-</v>
      </c>
      <c r="E172" s="440" t="str">
        <f t="shared" si="87"/>
        <v>-</v>
      </c>
      <c r="F172" s="440" t="str">
        <f t="shared" si="88"/>
        <v>-</v>
      </c>
      <c r="G172" s="440" t="str">
        <f t="shared" si="89"/>
        <v>-</v>
      </c>
      <c r="H172" s="441" t="str">
        <f t="shared" si="90"/>
        <v>-</v>
      </c>
      <c r="I172" s="441">
        <f t="shared" si="91"/>
        <v>0</v>
      </c>
      <c r="J172" s="163">
        <f ca="1">IF($A172="*","",OFFSET(UPS!$C$37,AU172,SUMIF($A$10:$A$20,"*#"&amp;AS172,$AT$10:$AT$20)))</f>
        <v>5.4964720430094216</v>
      </c>
      <c r="K172" s="163"/>
      <c r="AR172" s="42">
        <f>AR171</f>
        <v>9</v>
      </c>
      <c r="AS172" s="42">
        <f t="shared" si="92"/>
        <v>4</v>
      </c>
      <c r="AU172" s="42">
        <f ca="1">SUMIF(UPS!B$38:B$171,C172,UPS!BD$38:BD$171)</f>
        <v>77</v>
      </c>
    </row>
    <row r="173" spans="1:48">
      <c r="B173" s="440" t="str">
        <f t="shared" si="86"/>
        <v>NCAP_BND</v>
      </c>
      <c r="C173" s="440" t="str">
        <f ca="1">IF($A173="*","",OFFSET(ITEMS_UPS!$C$8,AR173,0))</f>
        <v>UREFOCRCO-N</v>
      </c>
      <c r="D173" s="440" t="str">
        <f ca="1">IF($A173="*","",IF(VLOOKUP("*#"&amp;$AS173,$A$10:$I$24,D$9+1,FALSE)="-","-",OFFSET(UPS!$C$37,AU173+AV173,SUMIF($A$10:$A$20,"*#"&amp;AS173,$AT$10:$AT$20))))</f>
        <v>-</v>
      </c>
      <c r="E173" s="440" t="str">
        <f t="shared" si="87"/>
        <v>-</v>
      </c>
      <c r="F173" s="440" t="str">
        <f t="shared" si="88"/>
        <v>-</v>
      </c>
      <c r="G173" s="440" t="str">
        <f t="shared" si="89"/>
        <v>-</v>
      </c>
      <c r="H173" s="1651" t="s">
        <v>1194</v>
      </c>
      <c r="I173" s="1651">
        <v>0</v>
      </c>
      <c r="J173" s="163" t="str">
        <f ca="1">IF($A173="*","",OFFSET(UPS!$C$37,AU173,SUMIF($A$10:$A$20,"*#"&amp;AS173,$AT$10:$AT$20)))</f>
        <v/>
      </c>
      <c r="K173" s="163"/>
      <c r="Z173" s="1044"/>
      <c r="AR173" s="42">
        <f>AR171</f>
        <v>9</v>
      </c>
      <c r="AS173" s="42">
        <f t="shared" si="92"/>
        <v>5</v>
      </c>
      <c r="AU173" s="42">
        <f ca="1">SUMIF(UPS!B$38:B$171,C173,UPS!BD$38:BD$171)</f>
        <v>77</v>
      </c>
    </row>
    <row r="174" spans="1:48">
      <c r="B174" s="440" t="str">
        <f t="shared" si="86"/>
        <v>FLO_FUNC</v>
      </c>
      <c r="C174" s="440" t="str">
        <f ca="1">IF($A174="*","",OFFSET(ITEMS_UPS!$C$8,AR174,0))</f>
        <v>UREFOCRCO-N</v>
      </c>
      <c r="D174" s="440" t="str">
        <f ca="1">IF($A174="*","",IF(VLOOKUP("*#"&amp;$AS174,$A$10:$I$24,D$9+1,FALSE)="-","-",OFFSET(UPS!$C$37,AU174+AV174,SUMIF($A$10:$A$20,"*#"&amp;AS174,$AT$10:$AT$20))))</f>
        <v>-</v>
      </c>
      <c r="E174" s="440" t="str">
        <f t="shared" ca="1" si="87"/>
        <v>UREFOCRCO-N-I</v>
      </c>
      <c r="F174" s="440" t="str">
        <f t="shared" ca="1" si="88"/>
        <v>UREFOCRCO-N-O</v>
      </c>
      <c r="G174" s="440" t="str">
        <f t="shared" si="89"/>
        <v>ANNUAL</v>
      </c>
      <c r="H174" s="441" t="str">
        <f t="shared" si="90"/>
        <v>-</v>
      </c>
      <c r="I174" s="441">
        <f t="shared" si="91"/>
        <v>0</v>
      </c>
      <c r="J174" s="163">
        <f ca="1">IF($A174="*","",OFFSET(UPS!$C$37,AU174,SUMIF($A$10:$A$20,"*#"&amp;AS174,$AT$10:$AT$20)))</f>
        <v>0.97</v>
      </c>
      <c r="K174" s="163"/>
      <c r="AR174" s="42">
        <f t="shared" ref="AR174:AR182" si="93">AR173</f>
        <v>9</v>
      </c>
      <c r="AS174" s="42">
        <f t="shared" si="92"/>
        <v>6</v>
      </c>
      <c r="AU174" s="42">
        <f ca="1">SUMIF(UPS!B$38:B$171,C174,UPS!BD$38:BD$171)</f>
        <v>77</v>
      </c>
    </row>
    <row r="175" spans="1:48">
      <c r="B175" s="440" t="str">
        <f t="shared" si="86"/>
        <v>FLO_SHAR</v>
      </c>
      <c r="C175" s="440" t="str">
        <f ca="1">IF($A175="*","",OFFSET(ITEMS_UPS!$C$8,AR175,0))</f>
        <v>UREFOCRCO-N</v>
      </c>
      <c r="D175" s="440" t="str">
        <f ca="1">IF($A175="*","",IF(VLOOKUP("*#"&amp;$AS175,$A$10:$I$24,D$9+1,FALSE)="-","-",OFFSET(UPS!$C$37,AU175+AV175,SUMIF($A$10:$A$20,"*#"&amp;AS175,$AT$10:$AT$20))))</f>
        <v>UPSOCR</v>
      </c>
      <c r="E175" s="440" t="str">
        <f t="shared" ca="1" si="87"/>
        <v>UREFOCRCO-N-I</v>
      </c>
      <c r="F175" s="440" t="str">
        <f t="shared" si="88"/>
        <v>-</v>
      </c>
      <c r="G175" s="440" t="str">
        <f t="shared" si="89"/>
        <v>ANNUAL</v>
      </c>
      <c r="H175" s="441" t="str">
        <f t="shared" si="90"/>
        <v>FX</v>
      </c>
      <c r="I175" s="441">
        <f t="shared" si="91"/>
        <v>3</v>
      </c>
      <c r="J175" s="163">
        <f ca="1">IF($A175="*","",OFFSET(UPS!$C$37,AU175+AV175,SUMIF($A$10:$A$20,"*#"&amp;AS175,$AV$10:$AV$20)))</f>
        <v>1</v>
      </c>
      <c r="K175" s="163"/>
      <c r="AR175" s="42">
        <f t="shared" si="93"/>
        <v>9</v>
      </c>
      <c r="AS175" s="42">
        <f t="shared" si="92"/>
        <v>7</v>
      </c>
      <c r="AU175" s="42">
        <f ca="1">SUMIF(UPS!B$38:B$171,C175,UPS!BD$38:BD$171)</f>
        <v>77</v>
      </c>
      <c r="AV175" s="42">
        <v>0</v>
      </c>
    </row>
    <row r="176" spans="1:48">
      <c r="B176" s="440" t="str">
        <f t="shared" si="86"/>
        <v>FLO_SHAR</v>
      </c>
      <c r="C176" s="440" t="str">
        <f ca="1">IF($A176="*","",OFFSET(ITEMS_UPS!$C$8,AR176,0))</f>
        <v>UREFOCRCO-N</v>
      </c>
      <c r="D176" s="440" t="str">
        <f ca="1">IF($A176="*","",IF(VLOOKUP("*#"&amp;$AS176,$A$10:$I$24,D$9+1,FALSE)="-","-",OFFSET(UPS!$C$37,AU176+AV176,SUMIF($A$10:$A$20,"*#"&amp;AS176,$AT$10:$AT$20))))</f>
        <v>UPSGIC</v>
      </c>
      <c r="E176" s="440" t="str">
        <f t="shared" ca="1" si="87"/>
        <v>UREFOCRCO-N-I</v>
      </c>
      <c r="F176" s="440" t="str">
        <f t="shared" si="88"/>
        <v>-</v>
      </c>
      <c r="G176" s="440" t="str">
        <f t="shared" si="89"/>
        <v>ANNUAL</v>
      </c>
      <c r="H176" s="441" t="str">
        <f t="shared" si="90"/>
        <v>FX</v>
      </c>
      <c r="I176" s="441">
        <f t="shared" si="91"/>
        <v>3</v>
      </c>
      <c r="J176" s="163">
        <f ca="1">IF($A176="*","",OFFSET(UPS!$C$37,AU176+AV176,SUMIF($A$10:$A$20,"*#"&amp;AS176,$AV$10:$AV$20)))</f>
        <v>0</v>
      </c>
      <c r="K176" s="163"/>
      <c r="AR176" s="42">
        <f t="shared" si="93"/>
        <v>9</v>
      </c>
      <c r="AS176" s="42">
        <f>AS175</f>
        <v>7</v>
      </c>
      <c r="AU176" s="42">
        <f ca="1">SUMIF(UPS!B$38:B$171,C176,UPS!BD$38:BD$171)</f>
        <v>77</v>
      </c>
      <c r="AV176" s="42">
        <f t="shared" ref="AV176:AV183" si="94">AV175+1</f>
        <v>1</v>
      </c>
    </row>
    <row r="177" spans="1:48">
      <c r="B177" s="440" t="str">
        <f t="shared" si="86"/>
        <v>FLO_SHAR</v>
      </c>
      <c r="C177" s="440" t="str">
        <f ca="1">IF($A177="*","",OFFSET(ITEMS_UPS!$C$8,AR177,0))</f>
        <v>UREFOCRCO-N</v>
      </c>
      <c r="D177" s="440" t="str">
        <f ca="1">IF($A177="*","",IF(VLOOKUP("*#"&amp;$AS177,$A$10:$I$24,D$9+1,FALSE)="-","-",OFFSET(UPS!$C$37,AU177+AV177,SUMIF($A$10:$A$20,"*#"&amp;AS177,$AT$10:$AT$20))))</f>
        <v>UPSELC</v>
      </c>
      <c r="E177" s="440" t="str">
        <f t="shared" ca="1" si="87"/>
        <v>UREFOCRCO-N-I</v>
      </c>
      <c r="F177" s="440" t="str">
        <f t="shared" si="88"/>
        <v>-</v>
      </c>
      <c r="G177" s="440" t="str">
        <f t="shared" si="89"/>
        <v>ANNUAL</v>
      </c>
      <c r="H177" s="441" t="str">
        <f t="shared" si="90"/>
        <v>FX</v>
      </c>
      <c r="I177" s="441">
        <f t="shared" si="91"/>
        <v>3</v>
      </c>
      <c r="J177" s="163">
        <f ca="1">IF($A177="*","",OFFSET(UPS!$C$37,AU177+AV177,SUMIF($A$10:$A$20,"*#"&amp;AS177,$AV$10:$AV$20)))</f>
        <v>0</v>
      </c>
      <c r="K177" s="163"/>
      <c r="AR177" s="42">
        <f t="shared" si="93"/>
        <v>9</v>
      </c>
      <c r="AS177" s="42">
        <v>7</v>
      </c>
      <c r="AU177" s="42">
        <f ca="1">SUMIF(UPS!B$38:B$171,C177,UPS!BD$38:BD$171)</f>
        <v>77</v>
      </c>
      <c r="AV177" s="42">
        <f t="shared" si="94"/>
        <v>2</v>
      </c>
    </row>
    <row r="178" spans="1:48">
      <c r="B178" s="440" t="str">
        <f t="shared" si="86"/>
        <v>FLO_SHAR</v>
      </c>
      <c r="C178" s="440" t="str">
        <f ca="1">IF($A178="*","",OFFSET(ITEMS_UPS!$C$8,AR178,0))</f>
        <v>UREFOCRCO-N</v>
      </c>
      <c r="D178" s="440" t="str">
        <f ca="1">IF($A178="*","",IF(VLOOKUP("*#"&amp;$AS178,$A$10:$I$24,D$9+1,FALSE)="-","-",OFFSET(UPS!$C$37,AU178+AV178,SUMIF($A$10:$A$20,"*#"&amp;AS178,$AT$10:$AT$20))))</f>
        <v>OAG</v>
      </c>
      <c r="E178" s="440" t="str">
        <f t="shared" ca="1" si="87"/>
        <v>UREFOCRCO-N-O</v>
      </c>
      <c r="F178" s="440" t="str">
        <f t="shared" si="88"/>
        <v>-</v>
      </c>
      <c r="G178" s="440" t="str">
        <f t="shared" si="89"/>
        <v>ANNUAL</v>
      </c>
      <c r="H178" s="441" t="str">
        <f t="shared" si="90"/>
        <v>UP</v>
      </c>
      <c r="I178" s="441">
        <f t="shared" si="91"/>
        <v>3</v>
      </c>
      <c r="J178" s="163">
        <f ca="1">IF($A178="*","",OFFSET(UPS!$C$37,AU178+AV178,SUMIF($A$10:$A$20,"*#"&amp;AS178,$AV$10:$AV$20)))</f>
        <v>0</v>
      </c>
      <c r="K178" s="163"/>
      <c r="AR178" s="42">
        <f t="shared" si="93"/>
        <v>9</v>
      </c>
      <c r="AS178" s="42">
        <v>8</v>
      </c>
      <c r="AU178" s="42">
        <f ca="1">SUMIF(UPS!B$38:B$171,C178,UPS!BD$38:BD$171)</f>
        <v>77</v>
      </c>
      <c r="AV178" s="42">
        <f t="shared" si="94"/>
        <v>3</v>
      </c>
    </row>
    <row r="179" spans="1:48">
      <c r="B179" s="440" t="str">
        <f t="shared" si="86"/>
        <v>FLO_SHAR</v>
      </c>
      <c r="C179" s="440" t="str">
        <f ca="1">IF($A179="*","",OFFSET(ITEMS_UPS!$C$8,AR179,0))</f>
        <v>UREFOCRCO-N</v>
      </c>
      <c r="D179" s="440" t="str">
        <f ca="1">IF($A179="*","",IF(VLOOKUP("*#"&amp;$AS179,$A$10:$I$24,D$9+1,FALSE)="-","-",OFFSET(UPS!$C$37,AU179+AV179,SUMIF($A$10:$A$20,"*#"&amp;AS179,$AT$10:$AT$20))))</f>
        <v>ODS</v>
      </c>
      <c r="E179" s="440" t="str">
        <f t="shared" ca="1" si="87"/>
        <v>UREFOCRCO-N-O</v>
      </c>
      <c r="F179" s="440" t="str">
        <f t="shared" si="88"/>
        <v>-</v>
      </c>
      <c r="G179" s="440" t="str">
        <f t="shared" si="89"/>
        <v>ANNUAL</v>
      </c>
      <c r="H179" s="441" t="str">
        <f t="shared" si="90"/>
        <v>UP</v>
      </c>
      <c r="I179" s="441">
        <f t="shared" si="91"/>
        <v>3</v>
      </c>
      <c r="J179" s="163">
        <f ca="1">IF($A179="*","",OFFSET(UPS!$C$37,AU179+AV179,SUMIF($A$10:$A$20,"*#"&amp;AS179,$AV$10:$AV$20)))</f>
        <v>0.36</v>
      </c>
      <c r="K179" s="163"/>
      <c r="AR179" s="42">
        <f t="shared" si="93"/>
        <v>9</v>
      </c>
      <c r="AS179" s="42">
        <f>AS178</f>
        <v>8</v>
      </c>
      <c r="AU179" s="42">
        <f ca="1">SUMIF(UPS!B$38:B$171,C179,UPS!BD$38:BD$171)</f>
        <v>77</v>
      </c>
      <c r="AV179" s="42">
        <f t="shared" si="94"/>
        <v>4</v>
      </c>
    </row>
    <row r="180" spans="1:48">
      <c r="B180" s="440" t="str">
        <f t="shared" si="86"/>
        <v>FLO_SHAR</v>
      </c>
      <c r="C180" s="440" t="str">
        <f ca="1">IF($A180="*","",OFFSET(ITEMS_UPS!$C$8,AR180,0))</f>
        <v>UREFOCRCO-N</v>
      </c>
      <c r="D180" s="440" t="str">
        <f ca="1">IF($A180="*","",IF(VLOOKUP("*#"&amp;$AS180,$A$10:$I$24,D$9+1,FALSE)="-","-",OFFSET(UPS!$C$37,AU180+AV180,SUMIF($A$10:$A$20,"*#"&amp;AS180,$AT$10:$AT$20))))</f>
        <v>OGS</v>
      </c>
      <c r="E180" s="440" t="str">
        <f t="shared" ca="1" si="87"/>
        <v>UREFOCRCO-N-O</v>
      </c>
      <c r="F180" s="440" t="str">
        <f t="shared" si="88"/>
        <v>-</v>
      </c>
      <c r="G180" s="440" t="str">
        <f t="shared" si="89"/>
        <v>ANNUAL</v>
      </c>
      <c r="H180" s="441" t="str">
        <f t="shared" si="90"/>
        <v>UP</v>
      </c>
      <c r="I180" s="441">
        <f t="shared" si="91"/>
        <v>3</v>
      </c>
      <c r="J180" s="163">
        <f ca="1">IF($A180="*","",OFFSET(UPS!$C$37,AU180+AV180,SUMIF($A$10:$A$20,"*#"&amp;AS180,$AV$10:$AV$20)))</f>
        <v>0.36</v>
      </c>
      <c r="K180" s="163"/>
      <c r="AR180" s="42">
        <f t="shared" si="93"/>
        <v>9</v>
      </c>
      <c r="AS180" s="42">
        <f>AS179</f>
        <v>8</v>
      </c>
      <c r="AU180" s="42">
        <f ca="1">SUMIF(UPS!B$38:B$171,C180,UPS!BD$38:BD$171)</f>
        <v>77</v>
      </c>
      <c r="AV180" s="42">
        <f t="shared" si="94"/>
        <v>5</v>
      </c>
    </row>
    <row r="181" spans="1:48">
      <c r="B181" s="440" t="str">
        <f t="shared" si="86"/>
        <v>FLO_SHAR</v>
      </c>
      <c r="C181" s="440" t="str">
        <f ca="1">IF($A181="*","",OFFSET(ITEMS_UPS!$C$8,AR181,0))</f>
        <v>UREFOCRCO-N</v>
      </c>
      <c r="D181" s="440" t="str">
        <f ca="1">IF($A181="*","",IF(VLOOKUP("*#"&amp;$AS181,$A$10:$I$24,D$9+1,FALSE)="-","-",OFFSET(UPS!$C$37,AU181+AV181,SUMIF($A$10:$A$20,"*#"&amp;AS181,$AT$10:$AT$20))))</f>
        <v>OHF</v>
      </c>
      <c r="E181" s="440" t="str">
        <f t="shared" ca="1" si="87"/>
        <v>UREFOCRCO-N-O</v>
      </c>
      <c r="F181" s="440" t="str">
        <f t="shared" si="88"/>
        <v>-</v>
      </c>
      <c r="G181" s="440" t="str">
        <f t="shared" si="89"/>
        <v>ANNUAL</v>
      </c>
      <c r="H181" s="441" t="str">
        <f t="shared" si="90"/>
        <v>UP</v>
      </c>
      <c r="I181" s="441">
        <f t="shared" si="91"/>
        <v>3</v>
      </c>
      <c r="J181" s="163">
        <f ca="1">IF($A181="*","",OFFSET(UPS!$C$37,AU181+AV181,SUMIF($A$10:$A$20,"*#"&amp;AS181,$AV$10:$AV$20)))</f>
        <v>0</v>
      </c>
      <c r="K181" s="163"/>
      <c r="AR181" s="42">
        <f t="shared" si="93"/>
        <v>9</v>
      </c>
      <c r="AS181" s="42">
        <f>AS180</f>
        <v>8</v>
      </c>
      <c r="AU181" s="42">
        <f ca="1">SUMIF(UPS!B$38:B$171,C181,UPS!BD$38:BD$171)</f>
        <v>77</v>
      </c>
      <c r="AV181" s="42">
        <f t="shared" si="94"/>
        <v>6</v>
      </c>
    </row>
    <row r="182" spans="1:48">
      <c r="B182" s="440" t="str">
        <f t="shared" si="86"/>
        <v>FLO_SHAR</v>
      </c>
      <c r="C182" s="440" t="str">
        <f ca="1">IF($A182="*","",OFFSET(ITEMS_UPS!$C$8,AR182,0))</f>
        <v>UREFOCRCO-N</v>
      </c>
      <c r="D182" s="440" t="str">
        <f ca="1">IF($A182="*","",IF(VLOOKUP("*#"&amp;$AS182,$A$10:$I$24,D$9+1,FALSE)="-","-",OFFSET(UPS!$C$37,AU182+AV182,SUMIF($A$10:$A$20,"*#"&amp;AS182,$AT$10:$AT$20))))</f>
        <v>OKE</v>
      </c>
      <c r="E182" s="440" t="str">
        <f t="shared" ca="1" si="87"/>
        <v>UREFOCRCO-N-O</v>
      </c>
      <c r="F182" s="440" t="str">
        <f t="shared" si="88"/>
        <v>-</v>
      </c>
      <c r="G182" s="440" t="str">
        <f t="shared" si="89"/>
        <v>ANNUAL</v>
      </c>
      <c r="H182" s="441" t="str">
        <f t="shared" si="90"/>
        <v>UP</v>
      </c>
      <c r="I182" s="441">
        <f t="shared" si="91"/>
        <v>3</v>
      </c>
      <c r="J182" s="163">
        <f ca="1">IF($A182="*","",OFFSET(UPS!$C$37,AU182+AV182,SUMIF($A$10:$A$20,"*#"&amp;AS182,$AV$10:$AV$20)))</f>
        <v>0.2</v>
      </c>
      <c r="K182" s="163"/>
      <c r="AR182" s="42">
        <f t="shared" si="93"/>
        <v>9</v>
      </c>
      <c r="AS182" s="42">
        <f>AS181</f>
        <v>8</v>
      </c>
      <c r="AU182" s="42">
        <f ca="1">SUMIF(UPS!B$38:B$171,C182,UPS!BD$38:BD$171)</f>
        <v>77</v>
      </c>
      <c r="AV182" s="42">
        <f t="shared" si="94"/>
        <v>7</v>
      </c>
    </row>
    <row r="183" spans="1:48">
      <c r="B183" s="440" t="str">
        <f t="shared" si="86"/>
        <v>FLO_EMIS</v>
      </c>
      <c r="C183" s="440" t="str">
        <f ca="1">IF($A183="*","",OFFSET(ITEMS_UPS!$C$8,AR183,0))</f>
        <v>UREFOCRCO-N</v>
      </c>
      <c r="D183" s="440" t="str">
        <f>$D$18</f>
        <v>UPSCO2S</v>
      </c>
      <c r="E183" s="440" t="str">
        <f t="shared" ca="1" si="87"/>
        <v>UREFOCRCO-N-O</v>
      </c>
      <c r="F183" s="440" t="str">
        <f t="shared" si="88"/>
        <v>-</v>
      </c>
      <c r="G183" s="440" t="str">
        <f t="shared" si="89"/>
        <v>ANNUAL</v>
      </c>
      <c r="H183" s="441" t="str">
        <f t="shared" si="90"/>
        <v>-</v>
      </c>
      <c r="I183" s="441">
        <f t="shared" si="91"/>
        <v>0</v>
      </c>
      <c r="J183" s="163">
        <f ca="1">IF($A183="*","",OFFSET(UPS!$C$37,AU183,SUMIF($A$10:$A$20,"*#"&amp;AS183,$AT$10:$AT$20)))</f>
        <v>4.2865158837537818</v>
      </c>
      <c r="K183" s="163"/>
      <c r="AR183" s="42">
        <f>AR181</f>
        <v>9</v>
      </c>
      <c r="AS183" s="42">
        <f>AS181+1</f>
        <v>9</v>
      </c>
      <c r="AU183" s="42">
        <f ca="1">SUMIF(UPS!B$38:B$171,C183,UPS!BD$38:BD$171)</f>
        <v>77</v>
      </c>
      <c r="AV183" s="42">
        <f t="shared" si="94"/>
        <v>8</v>
      </c>
    </row>
    <row r="184" spans="1:48">
      <c r="B184" s="440" t="str">
        <f t="shared" si="86"/>
        <v>FLO_EMIS</v>
      </c>
      <c r="C184" s="440" t="str">
        <f ca="1">IF($A184="*","",OFFSET(ITEMS_UPS!$C$8,AR184,0))</f>
        <v>UREFOCRCO-N</v>
      </c>
      <c r="D184" s="440" t="str">
        <f>$D$19</f>
        <v>UPSCH4S</v>
      </c>
      <c r="E184" s="440" t="str">
        <f t="shared" ca="1" si="87"/>
        <v>UREFOCRCO-N-O</v>
      </c>
      <c r="F184" s="440" t="str">
        <f t="shared" si="88"/>
        <v>-</v>
      </c>
      <c r="G184" s="440" t="str">
        <f t="shared" si="89"/>
        <v>ANNUAL</v>
      </c>
      <c r="H184" s="441" t="str">
        <f t="shared" si="90"/>
        <v>-</v>
      </c>
      <c r="I184" s="441">
        <f t="shared" si="91"/>
        <v>0</v>
      </c>
      <c r="J184" s="163">
        <f ca="1">IF($A184="*","",OFFSET(UPS!$C$37,AU184,SUMIF($A$10:$A$20,"*#"&amp;AS184,$AT$10:$AT$20)))</f>
        <v>0</v>
      </c>
      <c r="K184" s="163"/>
      <c r="AR184" s="42">
        <f>AR183</f>
        <v>9</v>
      </c>
      <c r="AS184" s="42">
        <f>AS183+1</f>
        <v>10</v>
      </c>
      <c r="AU184" s="42">
        <f ca="1">SUMIF(UPS!B$38:B$171,C184,UPS!BD$38:BD$171)</f>
        <v>77</v>
      </c>
    </row>
    <row r="185" spans="1:48">
      <c r="B185" s="440" t="str">
        <f t="shared" si="86"/>
        <v>NCAP_COST</v>
      </c>
      <c r="C185" s="440" t="str">
        <f ca="1">IF($A185="*","",OFFSET(ITEMS_UPS!$C$8,AR185,0))</f>
        <v>UREFOCRCO-N</v>
      </c>
      <c r="D185" s="440" t="str">
        <f ca="1">IF($A185="*","",IF(VLOOKUP("*#"&amp;$AS185,$A$10:$I$24,D$9+1,FALSE)="-","-",OFFSET(UPS!$C$37,AU185+AV185,SUMIF($A$10:$A$20,"*#"&amp;AS185,$AT$10:$AT$20))))</f>
        <v>-</v>
      </c>
      <c r="E185" s="440" t="str">
        <f t="shared" si="87"/>
        <v>-</v>
      </c>
      <c r="F185" s="440" t="str">
        <f t="shared" si="88"/>
        <v>-</v>
      </c>
      <c r="G185" s="440" t="str">
        <f>IF($A185="*","",VLOOKUP("*#"&amp;$AS185,$A$10:$I$24,G$9+1,FALSE))</f>
        <v>-</v>
      </c>
      <c r="H185" s="441" t="str">
        <f t="shared" si="90"/>
        <v>-</v>
      </c>
      <c r="I185" s="441">
        <f>IF($A185="*","",VLOOKUP("*#"&amp;$AS185,$A$10:$I$24,I$9+1,FALSE))</f>
        <v>0</v>
      </c>
      <c r="J185" s="163">
        <f ca="1">IF($A185="*","",OFFSET(UPS!$C$37,AU185,SUMIF($A$10:$A$24,"*#"&amp;AS185,$AT$10:$AT$24)))</f>
        <v>183.21573476698075</v>
      </c>
      <c r="K185" s="163"/>
      <c r="L185" s="163"/>
      <c r="M185" s="163"/>
      <c r="N185" s="163"/>
      <c r="O185" s="163"/>
      <c r="P185" s="163"/>
      <c r="Q185" s="163"/>
      <c r="R185" s="163"/>
      <c r="S185" s="163"/>
      <c r="T185" s="163"/>
      <c r="U185" s="163"/>
      <c r="V185" s="163"/>
      <c r="W185" s="163"/>
      <c r="X185" s="163"/>
      <c r="Y185" s="163"/>
      <c r="Z185" s="163"/>
      <c r="AA185" s="163"/>
      <c r="AB185" s="163"/>
      <c r="AC185" s="163"/>
      <c r="AD185" s="163"/>
      <c r="AE185" s="163"/>
      <c r="AF185" s="163"/>
      <c r="AG185" s="163"/>
      <c r="AH185" s="163"/>
      <c r="AI185" s="163"/>
      <c r="AJ185" s="163"/>
      <c r="AK185" s="163"/>
      <c r="AL185" s="163"/>
      <c r="AM185" s="163"/>
      <c r="AN185" s="163"/>
      <c r="AO185" s="163"/>
      <c r="AP185" s="163"/>
      <c r="AR185" s="42">
        <f>AR184</f>
        <v>9</v>
      </c>
      <c r="AS185" s="42">
        <f>AS184+2</f>
        <v>12</v>
      </c>
      <c r="AU185" s="42">
        <f ca="1">SUMIF(UPS!B$38:B$171,C185,UPS!BD$38:BD$171)</f>
        <v>77</v>
      </c>
    </row>
    <row r="186" spans="1:48">
      <c r="B186" s="440" t="str">
        <f t="shared" si="86"/>
        <v>NCAP_TLIFE</v>
      </c>
      <c r="C186" s="440" t="str">
        <f ca="1">IF($A186="*","",OFFSET(ITEMS_UPS!$C$8,AR186,0))</f>
        <v>UREFOCRCO-N</v>
      </c>
      <c r="D186" s="440" t="str">
        <f ca="1">IF($A186="*","",IF(VLOOKUP("*#"&amp;$AS186,$A$10:$I$24,D$9+1,FALSE)="-","-",OFFSET(UPS!$C$37,AU186+AV186,SUMIF($A$10:$A$20,"*#"&amp;AS186,$AT$10:$AT$20))))</f>
        <v>-</v>
      </c>
      <c r="E186" s="440" t="str">
        <f t="shared" si="87"/>
        <v>-</v>
      </c>
      <c r="F186" s="440" t="str">
        <f t="shared" si="88"/>
        <v>-</v>
      </c>
      <c r="G186" s="440" t="str">
        <f>IF($A186="*","",VLOOKUP("*#"&amp;$AS186,$A$10:$I$24,G$9+1,FALSE))</f>
        <v>-</v>
      </c>
      <c r="H186" s="441" t="str">
        <f t="shared" si="90"/>
        <v>-</v>
      </c>
      <c r="I186" s="441">
        <f>IF($A186="*","",VLOOKUP("*#"&amp;$AS186,$A$10:$I$24,I$9+1,FALSE))</f>
        <v>0</v>
      </c>
      <c r="J186" s="163">
        <f ca="1">IF($A186="*","",OFFSET(UPS!$C$37,AU186,SUMIF($A$10:$A$24,"*#"&amp;AS186,$AT$10:$AT$24)))</f>
        <v>50</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AS185+1</f>
        <v>13</v>
      </c>
      <c r="AU186" s="42">
        <f ca="1">SUMIF(UPS!B$38:B$171,C186,UPS!BD$38:BD$171)</f>
        <v>77</v>
      </c>
    </row>
    <row r="187" spans="1:48">
      <c r="B187" s="440" t="str">
        <f t="shared" si="86"/>
        <v>NCAP_ILED</v>
      </c>
      <c r="C187" s="440" t="str">
        <f ca="1">IF($A187="*","",OFFSET(ITEMS_UPS!$C$8,AR187,0))</f>
        <v>UREFOCRCO-N</v>
      </c>
      <c r="D187" s="440" t="str">
        <f ca="1">IF($A187="*","",IF(VLOOKUP("*#"&amp;$AS187,$A$10:$I$24,D$9+1,FALSE)="-","-",OFFSET(UPS!$C$37,AU187+AV187,SUMIF($A$10:$A$20,"*#"&amp;AS187,$AT$10:$AT$20))))</f>
        <v>-</v>
      </c>
      <c r="E187" s="440" t="str">
        <f t="shared" si="87"/>
        <v>-</v>
      </c>
      <c r="F187" s="440" t="str">
        <f t="shared" si="88"/>
        <v>-</v>
      </c>
      <c r="G187" s="440" t="str">
        <f>IF($A187="*","",VLOOKUP("*#"&amp;$AS187,$A$10:$I$24,G$9+1,FALSE))</f>
        <v>-</v>
      </c>
      <c r="H187" s="441" t="str">
        <f t="shared" si="90"/>
        <v>-</v>
      </c>
      <c r="I187" s="441">
        <f>IF($A187="*","",VLOOKUP("*#"&amp;$AS187,$A$10:$I$24,I$9+1,FALSE))</f>
        <v>0</v>
      </c>
      <c r="J187" s="163">
        <f ca="1">IF($A187="*","",OFFSET(UPS!$C$37,AU187,SUMIF($A$10:$A$24,"*#"&amp;AS187,$AT$10:$AT$24)))</f>
        <v>-5</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AR185</f>
        <v>9</v>
      </c>
      <c r="AS187" s="42">
        <f>AS186+1</f>
        <v>14</v>
      </c>
      <c r="AU187" s="42">
        <f ca="1">SUMIF(UPS!B$38:B$171,C187,UPS!BD$38:BD$171)</f>
        <v>77</v>
      </c>
    </row>
    <row r="188" spans="1:48">
      <c r="A188" s="42" t="s">
        <v>310</v>
      </c>
      <c r="B188" s="438" t="s">
        <v>293</v>
      </c>
    </row>
    <row r="189" spans="1:48">
      <c r="B189" s="440" t="s">
        <v>359</v>
      </c>
      <c r="C189" s="440" t="str">
        <f>UPS!B173</f>
        <v>UHETCLE-E</v>
      </c>
      <c r="D189" s="440" t="str">
        <f ca="1">IF($A189="*","",IF(VLOOKUP("*"&amp;$AS189,$A$10:$I$24,D$9+1,FALSE)="-","-",OFFSET(UPS!$C$37,AU189+AV189,SUMIF($A$10:$A$20,"*"&amp;AS189,$AT$10:$AT$20))))</f>
        <v>-</v>
      </c>
      <c r="E189" s="440" t="s">
        <v>360</v>
      </c>
      <c r="F189" s="440" t="str">
        <f t="shared" ref="F189:F196" si="95">IF($A189="*","",IF(VLOOKUP("*"&amp;$AS189,$A$10:$I$24,F$9+1,FALSE)="-","-",C189&amp;"-"&amp;RIGHT(VLOOKUP("*"&amp;$AS189,$A$10:$I$24,F$9+1,FALSE),1)))</f>
        <v>-</v>
      </c>
      <c r="G189" s="440" t="s">
        <v>337</v>
      </c>
      <c r="H189" s="441" t="str">
        <f t="shared" ref="H189:H196" si="96">IF($A189="*","",VLOOKUP("*"&amp;$AS189,$A$10:$I$24,H$9+1,FALSE))</f>
        <v>-</v>
      </c>
      <c r="I189" s="500">
        <v>0</v>
      </c>
      <c r="J189" s="499">
        <f>UPS!G173</f>
        <v>0.85097909094621615</v>
      </c>
    </row>
    <row r="190" spans="1:48">
      <c r="B190" s="42" t="s">
        <v>357</v>
      </c>
      <c r="C190" s="42" t="str">
        <f>C189</f>
        <v>UHETCLE-E</v>
      </c>
      <c r="D190" s="42" t="str">
        <f>D183</f>
        <v>UPSCO2S</v>
      </c>
      <c r="E190" s="440" t="s">
        <v>360</v>
      </c>
      <c r="F190" s="440" t="str">
        <f t="shared" si="95"/>
        <v>-</v>
      </c>
      <c r="G190" s="440" t="s">
        <v>337</v>
      </c>
      <c r="H190" s="441" t="str">
        <f t="shared" si="96"/>
        <v>-</v>
      </c>
      <c r="I190" s="500">
        <v>0</v>
      </c>
      <c r="J190" s="1115">
        <f>UPS!S173</f>
        <v>95.428011064048093</v>
      </c>
    </row>
    <row r="191" spans="1:48">
      <c r="B191" s="42" t="s">
        <v>357</v>
      </c>
      <c r="C191" s="42" t="str">
        <f>C190</f>
        <v>UHETCLE-E</v>
      </c>
      <c r="D191" s="42" t="str">
        <f>D184</f>
        <v>UPSCH4S</v>
      </c>
      <c r="E191" s="440" t="s">
        <v>360</v>
      </c>
      <c r="F191" s="440" t="str">
        <f t="shared" si="95"/>
        <v>-</v>
      </c>
      <c r="G191" s="440" t="s">
        <v>337</v>
      </c>
      <c r="H191" s="441" t="str">
        <f t="shared" si="96"/>
        <v>-</v>
      </c>
      <c r="I191" s="500">
        <v>0</v>
      </c>
      <c r="J191" s="1116">
        <f>UPS!T173</f>
        <v>1.1751170042122719E-3</v>
      </c>
    </row>
    <row r="192" spans="1:48">
      <c r="B192" s="440" t="s">
        <v>359</v>
      </c>
      <c r="C192" s="440" t="str">
        <f>UPS!B174</f>
        <v>UHETCLE-N</v>
      </c>
      <c r="D192" s="440" t="str">
        <f ca="1">IF($A192="*","",IF(VLOOKUP("*"&amp;$AS192,$A$10:$I$24,D$9+1,FALSE)="-","-",OFFSET(UPS!$C$37,AU192+AV192,SUMIF($A$10:$A$20,"*"&amp;AS192,$AT$10:$AT$20))))</f>
        <v>-</v>
      </c>
      <c r="E192" s="440" t="s">
        <v>360</v>
      </c>
      <c r="F192" s="440" t="str">
        <f t="shared" si="95"/>
        <v>-</v>
      </c>
      <c r="G192" s="440" t="s">
        <v>337</v>
      </c>
      <c r="H192" s="441" t="str">
        <f t="shared" si="96"/>
        <v>-</v>
      </c>
      <c r="I192" s="500">
        <v>0</v>
      </c>
      <c r="J192" s="499">
        <f>UPS!G174</f>
        <v>0.9009790909462162</v>
      </c>
    </row>
    <row r="193" spans="1:47">
      <c r="B193" s="42" t="s">
        <v>357</v>
      </c>
      <c r="C193" s="42" t="str">
        <f>C192</f>
        <v>UHETCLE-N</v>
      </c>
      <c r="D193" s="42" t="str">
        <f>D190</f>
        <v>UPSCO2S</v>
      </c>
      <c r="E193" s="440" t="s">
        <v>360</v>
      </c>
      <c r="F193" s="440" t="str">
        <f t="shared" si="95"/>
        <v>-</v>
      </c>
      <c r="G193" s="440" t="s">
        <v>337</v>
      </c>
      <c r="H193" s="441" t="str">
        <f t="shared" si="96"/>
        <v>-</v>
      </c>
      <c r="I193" s="500">
        <v>0</v>
      </c>
      <c r="J193" s="1115">
        <f>UPS!S174</f>
        <v>90.132216077072925</v>
      </c>
    </row>
    <row r="194" spans="1:47">
      <c r="B194" s="42" t="s">
        <v>357</v>
      </c>
      <c r="C194" s="42" t="str">
        <f>C193</f>
        <v>UHETCLE-N</v>
      </c>
      <c r="D194" s="42" t="str">
        <f>D191</f>
        <v>UPSCH4S</v>
      </c>
      <c r="E194" s="440" t="s">
        <v>360</v>
      </c>
      <c r="F194" s="440" t="str">
        <f t="shared" si="95"/>
        <v>-</v>
      </c>
      <c r="G194" s="440" t="s">
        <v>337</v>
      </c>
      <c r="H194" s="441" t="str">
        <f t="shared" si="96"/>
        <v>-</v>
      </c>
      <c r="I194" s="500">
        <v>0</v>
      </c>
      <c r="J194" s="1116">
        <f>UPS!T174</f>
        <v>1.109903670405704E-3</v>
      </c>
    </row>
    <row r="195" spans="1:47">
      <c r="B195" s="440" t="s">
        <v>850</v>
      </c>
      <c r="C195" s="440" t="str">
        <f>UPS!B174</f>
        <v>UHETCLE-N</v>
      </c>
      <c r="D195" s="440" t="s">
        <v>334</v>
      </c>
      <c r="E195" s="440" t="s">
        <v>334</v>
      </c>
      <c r="F195" s="440" t="s">
        <v>334</v>
      </c>
      <c r="G195" s="440" t="s">
        <v>334</v>
      </c>
      <c r="H195" s="441" t="s">
        <v>338</v>
      </c>
      <c r="I195" s="500">
        <v>3</v>
      </c>
      <c r="J195" s="499">
        <v>0</v>
      </c>
    </row>
    <row r="196" spans="1:47">
      <c r="B196" s="440" t="s">
        <v>359</v>
      </c>
      <c r="C196" s="440" t="str">
        <f>UPS!B175</f>
        <v>UTRNGIMGAS</v>
      </c>
      <c r="D196" s="440" t="str">
        <f ca="1">IF($A196="*","",IF(VLOOKUP("*"&amp;$AS196,$A$10:$I$24,D$9+1,FALSE)="-","-",OFFSET(UPS!$C$37,AU196+AV196,SUMIF($A$10:$A$20,"*"&amp;AS196,$AT$10:$AT$20))))</f>
        <v>-</v>
      </c>
      <c r="E196" s="440" t="s">
        <v>360</v>
      </c>
      <c r="F196" s="440" t="str">
        <f t="shared" si="95"/>
        <v>-</v>
      </c>
      <c r="G196" s="440" t="s">
        <v>337</v>
      </c>
      <c r="H196" s="441" t="str">
        <f t="shared" si="96"/>
        <v>-</v>
      </c>
      <c r="I196" s="500">
        <v>0</v>
      </c>
      <c r="J196" s="499">
        <f>UPS!G175</f>
        <v>1</v>
      </c>
    </row>
    <row r="197" spans="1:47">
      <c r="A197" s="42" t="s">
        <v>310</v>
      </c>
      <c r="B197" s="440"/>
      <c r="C197" s="440"/>
      <c r="D197" s="440"/>
      <c r="E197" s="440"/>
      <c r="F197" s="440"/>
      <c r="G197" s="440"/>
      <c r="H197" s="441"/>
      <c r="I197" s="500"/>
      <c r="J197" s="499"/>
    </row>
    <row r="198" spans="1:47">
      <c r="A198" s="42" t="s">
        <v>310</v>
      </c>
      <c r="B198" s="438" t="s">
        <v>1011</v>
      </c>
      <c r="C198" s="440"/>
      <c r="D198" s="440"/>
      <c r="E198" s="440"/>
      <c r="F198" s="440"/>
      <c r="G198" s="440"/>
      <c r="H198" s="441"/>
      <c r="I198" s="500"/>
      <c r="J198" s="499"/>
    </row>
    <row r="199" spans="1:47" s="163" customFormat="1">
      <c r="B199" s="440" t="str">
        <f t="shared" ref="B199:B204" si="97">IF(A199="*","",VLOOKUP("*#"&amp;AS199,$A$9:$B$24,2,FALSE))</f>
        <v>NCAP_AFA</v>
      </c>
      <c r="C199" s="440" t="str">
        <f ca="1">IF($A199="*","",OFFSET(ITEMS_UPS!$C$22,AR199,0))</f>
        <v>UGASGIC-N</v>
      </c>
      <c r="D199" s="440" t="str">
        <f ca="1">IF($A199="*","",IF(VLOOKUP("*#"&amp;$AS199,$A$10:$I$24,D$9+1,FALSE)="-","-",OFFSET(UPS!$C$37,AU199+AV199,SUMIF($A$10:$A$20,"*#"&amp;AS199,$AT$10:$AT$20))))</f>
        <v>-</v>
      </c>
      <c r="E199" s="440" t="str">
        <f>IF($A199="*","",IF(VLOOKUP("*#"&amp;$AS199,$A$10:$I$24,E$9+1,FALSE)="-","-",C199&amp;"-"&amp;RIGHT(VLOOKUP("*#"&amp;$AS199,$A$10:$I$24,E$9+1,FALSE),1)))</f>
        <v>-</v>
      </c>
      <c r="F199" s="440" t="str">
        <f>IF($A199="*","",IF(VLOOKUP("*#"&amp;$AS199,$A$10:$I$24,F$9+1,FALSE)="-","-",C199&amp;"-"&amp;RIGHT(VLOOKUP("*#"&amp;$AS199,$A$10:$I$24,F$9+1,FALSE),1)))</f>
        <v>-</v>
      </c>
      <c r="G199" s="440" t="str">
        <f>IF($A199="*","",VLOOKUP("*#"&amp;$AS199,$A$10:$I$20,G$9+1,FALSE))</f>
        <v>ANNUAL</v>
      </c>
      <c r="H199" s="441" t="str">
        <f t="shared" ref="H199:H204" si="98">IF($A199="*","",VLOOKUP("*#"&amp;$AS199,$A$10:$I$24,H$9+1,FALSE))</f>
        <v>UP</v>
      </c>
      <c r="I199" s="441">
        <f>IF($A199="*","",VLOOKUP("*#"&amp;$AS199,$A$10:$I$20,I$9+1,FALSE))</f>
        <v>3</v>
      </c>
      <c r="J199" s="163">
        <f ca="1">IF($A199="*","",OFFSET(UPS!$C$37,AU199,SUMIF($A$10:$A$20,"*#"&amp;AS199,$AT$10:$AT$20)))</f>
        <v>0.9</v>
      </c>
      <c r="AR199" s="163">
        <v>1</v>
      </c>
      <c r="AS199" s="163">
        <v>2</v>
      </c>
      <c r="AU199" s="163">
        <f ca="1">SUMIF(UPS!B$38:B$171,C199,UPS!BD$38:BD$171)</f>
        <v>88</v>
      </c>
    </row>
    <row r="200" spans="1:47" s="163" customFormat="1">
      <c r="B200" s="440" t="str">
        <f t="shared" si="97"/>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si="98"/>
        <v>LO</v>
      </c>
      <c r="I200" s="441">
        <f>IF($A200="*","",VLOOKUP("*#"&amp;$AS200,$A$10:$I$24,I$9+1,FALSE))</f>
        <v>3</v>
      </c>
      <c r="J200" s="163">
        <f ca="1">IF($A200="*","",OFFSET(UPS!$C$37,AU200,SUMIF($A$10:$A$24,"*#"&amp;AS200,$AT$10:$AT$24)))</f>
        <v>0.5</v>
      </c>
      <c r="AR200" s="163">
        <v>1</v>
      </c>
      <c r="AS200" s="163">
        <v>3</v>
      </c>
      <c r="AU200" s="163">
        <f ca="1">SUMIF(UPS!B$38:B$171,C200,UPS!BD$38:BD$171)</f>
        <v>88</v>
      </c>
    </row>
    <row r="201" spans="1:47" s="163" customFormat="1">
      <c r="B201" s="440" t="str">
        <f t="shared" si="97"/>
        <v>ACT_EFF</v>
      </c>
      <c r="C201" s="440" t="str">
        <f ca="1">IF($A201="*","",OFFSET(ITEMS_UPS!$C$22,AR201,0))</f>
        <v>UGASGIC-N</v>
      </c>
      <c r="D201" s="440" t="str">
        <f ca="1">IF($A201="*","",IF(VLOOKUP("*#"&amp;$AS201,$A$10:$I$24,D$9+1,FALSE)="-","-",OFFSET(UPS!$C$37,AU201+AV201,SUMIF($A$10:$A$20,"*#"&amp;AS201,$AT$10:$AT$20))))</f>
        <v>-</v>
      </c>
      <c r="E201" s="440" t="s">
        <v>360</v>
      </c>
      <c r="F201" s="440" t="str">
        <f>IF($A201="*","",IF(VLOOKUP("*"&amp;$AS201,$A$10:$I$24,F$9+1,FALSE)="-","-",C201&amp;"-"&amp;RIGHT(VLOOKUP("*"&amp;$AS201,$A$10:$I$24,F$9+1,FALSE),1)))</f>
        <v>-</v>
      </c>
      <c r="G201" s="440" t="s">
        <v>337</v>
      </c>
      <c r="H201" s="441" t="str">
        <f t="shared" si="98"/>
        <v>-</v>
      </c>
      <c r="I201" s="441">
        <f>IF($A201="*","",VLOOKUP("*#"&amp;$AS201,$A$10:$I$24,I$9+1,FALSE))</f>
        <v>0</v>
      </c>
      <c r="J201" s="163">
        <f ca="1">IF($A201="*","",OFFSET(UPS!$C$37,AU201,SUMIF($A$10:$A$24,"*#"&amp;AS201,$AT$10:$AT$24)))</f>
        <v>0.95899999999999996</v>
      </c>
      <c r="AR201" s="163">
        <v>1</v>
      </c>
      <c r="AS201" s="163">
        <v>15</v>
      </c>
      <c r="AU201" s="163">
        <f ca="1">AU199</f>
        <v>88</v>
      </c>
    </row>
    <row r="202" spans="1:47" s="163" customFormat="1">
      <c r="B202" s="440" t="str">
        <f t="shared" si="97"/>
        <v>NCAP_COST</v>
      </c>
      <c r="C202" s="440" t="str">
        <f ca="1">IF($A202="*","",OFFSET(ITEMS_UPS!$C$22,AR202,0))</f>
        <v>UGASGIC-N</v>
      </c>
      <c r="D202" s="440" t="str">
        <f ca="1">IF($A202="*","",IF(VLOOKUP("*#"&amp;$AS202,$A$10:$I$24,D$9+1,FALSE)="-","-",OFFSET(UPS!$C$37,AU202+AV202,SUMIF($A$10:$A$20,"*#"&amp;AS202,$AT$10:$AT$20))))</f>
        <v>-</v>
      </c>
      <c r="E202" s="440" t="str">
        <f>IF($A202="*","",IF(VLOOKUP("*"&amp;$AS202,$A$10:$I$23,E$9+1,FALSE)="-","-",C202&amp;"-"&amp;RIGHT(VLOOKUP("*"&amp;$AS202,$A$10:$I$23,E$9+1,FALSE),1)))</f>
        <v>-</v>
      </c>
      <c r="F202" s="440" t="str">
        <f>IF($A202="*","",IF(VLOOKUP("*"&amp;$AS202,$A$10:$I$24,F$9+1,FALSE)="-","-",C202&amp;"-"&amp;RIGHT(VLOOKUP("*"&amp;$AS202,$A$10:$I$24,F$9+1,FALSE),1)))</f>
        <v>-</v>
      </c>
      <c r="G202" s="440" t="str">
        <f>IF($A202="*","",VLOOKUP($B202,$B$10:$I$23,G$9,FALSE))</f>
        <v>-</v>
      </c>
      <c r="H202" s="441" t="str">
        <f t="shared" si="98"/>
        <v>-</v>
      </c>
      <c r="I202" s="441">
        <f>IF($A202="*","",VLOOKUP("*#"&amp;$AS202,$A$10:$I$24,I$9+1,FALSE))</f>
        <v>0</v>
      </c>
      <c r="J202" s="163">
        <f ca="1">IF($A202="*","",OFFSET(UPS!$C$37,AU202,SUMIF($A$10:$A$24,"*#"&amp;AS202,$AT$10:$AT$24)))</f>
        <v>239.70848957012083</v>
      </c>
      <c r="AR202" s="163">
        <f>+AR199</f>
        <v>1</v>
      </c>
      <c r="AS202" s="163">
        <v>12</v>
      </c>
      <c r="AU202" s="163">
        <f ca="1">AU201</f>
        <v>88</v>
      </c>
    </row>
    <row r="203" spans="1:47" s="163" customFormat="1">
      <c r="B203" s="440" t="str">
        <f t="shared" si="97"/>
        <v>NCAP_TLIFE</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IF($A203="*","",IF(VLOOKUP("*"&amp;$AS203,$A$10:$I$23,F$9+1,FALSE)="-","-",C203&amp;"-"&amp;RIGHT(VLOOKUP("*"&amp;$AS203,$A$10:$I$23,F$9+1,FALSE),1)))</f>
        <v>-</v>
      </c>
      <c r="G203" s="440" t="str">
        <f>IF($A203="*","",VLOOKUP($B203,$B$10:$I$23,G$9,FALSE))</f>
        <v>-</v>
      </c>
      <c r="H203" s="441" t="str">
        <f t="shared" si="98"/>
        <v>-</v>
      </c>
      <c r="I203" s="441">
        <f>IF($A203="*","",VLOOKUP("*#"&amp;$AS203,$A$10:$I$24,I$9+1,FALSE))</f>
        <v>0</v>
      </c>
      <c r="J203" s="163">
        <f ca="1">IF($A203="*","",OFFSET(UPS!$C$37,AU203,SUMIF($A$10:$A$24,"*#"&amp;AS203,$AT$10:$AT$24)))</f>
        <v>80</v>
      </c>
      <c r="AR203" s="163">
        <f>+AR202</f>
        <v>1</v>
      </c>
      <c r="AS203" s="163">
        <v>13</v>
      </c>
      <c r="AU203" s="163">
        <f ca="1">AU202</f>
        <v>88</v>
      </c>
    </row>
    <row r="204" spans="1:47" s="163" customFormat="1">
      <c r="B204" s="440" t="str">
        <f t="shared" si="97"/>
        <v>NCAP_ILED</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98"/>
        <v>-</v>
      </c>
      <c r="I204" s="441">
        <f>IF($A204="*","",VLOOKUP("*#"&amp;$AS204,$A$10:$I$24,I$9+1,FALSE))</f>
        <v>0</v>
      </c>
      <c r="J204" s="163">
        <f ca="1">IF($A204="*","",OFFSET(UPS!$C$37,AU204,SUMIF($A$10:$A$24,"*#"&amp;AS204,$AT$10:$AT$24)))</f>
        <v>-4</v>
      </c>
      <c r="AR204" s="163">
        <f>AR203</f>
        <v>1</v>
      </c>
      <c r="AS204" s="163">
        <v>14</v>
      </c>
      <c r="AU204" s="163">
        <f ca="1">AU203</f>
        <v>88</v>
      </c>
    </row>
    <row r="205" spans="1:47">
      <c r="A205" s="42" t="s">
        <v>310</v>
      </c>
    </row>
    <row r="206" spans="1:47">
      <c r="B206" s="440" t="str">
        <f t="shared" ref="B206:B211" si="99">IF(A206="*","",VLOOKUP("*#"&amp;AS206,$A$9:$B$24,2,FALSE))</f>
        <v>NCAP_AFA</v>
      </c>
      <c r="C206" s="440" t="str">
        <f ca="1">IF($A206="*","",OFFSET(ITEMS_UPS!$C$22,AR206,0))</f>
        <v>UGASGIB-N</v>
      </c>
      <c r="D206" s="440" t="str">
        <f ca="1">IF($A206="*","",IF(VLOOKUP("*#"&amp;$AS206,$A$10:$I$24,D$9+1,FALSE)="-","-",OFFSET(UPS!$C$37,AU206+AV206,SUMIF($A$10:$A$20,"*#"&amp;AS206,$AT$10:$AT$20))))</f>
        <v>-</v>
      </c>
      <c r="E206" s="440" t="str">
        <f>IF($A206="*","",IF(VLOOKUP("*#"&amp;$AS206,$A$10:$I$24,E$9+1,FALSE)="-","-",C206&amp;"-"&amp;RIGHT(VLOOKUP("*#"&amp;$AS206,$A$10:$I$24,E$9+1,FALSE),1)))</f>
        <v>-</v>
      </c>
      <c r="F206" s="440" t="str">
        <f>IF($A206="*","",IF(VLOOKUP("*#"&amp;$AS206,$A$10:$I$24,F$9+1,FALSE)="-","-",C206&amp;"-"&amp;RIGHT(VLOOKUP("*#"&amp;$AS206,$A$10:$I$24,F$9+1,FALSE),1)))</f>
        <v>-</v>
      </c>
      <c r="G206" s="440" t="str">
        <f>IF($A206="*","",VLOOKUP("*#"&amp;$AS206,$A$10:$I$20,G$9+1,FALSE))</f>
        <v>ANNUAL</v>
      </c>
      <c r="H206" s="441" t="str">
        <f t="shared" ref="H206:H211" si="100">IF($A206="*","",VLOOKUP("*#"&amp;$AS206,$A$10:$I$24,H$9+1,FALSE))</f>
        <v>UP</v>
      </c>
      <c r="I206" s="441">
        <f>IF($A206="*","",VLOOKUP("*#"&amp;$AS206,$A$10:$I$20,I$9+1,FALSE))</f>
        <v>3</v>
      </c>
      <c r="J206" s="163">
        <f ca="1">IF($A206="*","",OFFSET(UPS!$C$37,AU206,SUMIF($A$10:$A$20,"*#"&amp;AS206,$AT$10:$AT$20)))</f>
        <v>0.9</v>
      </c>
      <c r="K206" s="163"/>
      <c r="AR206" s="42">
        <f>AR204+1</f>
        <v>2</v>
      </c>
      <c r="AS206" s="42">
        <f t="shared" ref="AS206:AS211" si="101">AS199</f>
        <v>2</v>
      </c>
      <c r="AU206" s="42">
        <f ca="1">SUMIF(UPS!B$38:B$171,C206,UPS!BD$38:BD$171)</f>
        <v>91</v>
      </c>
    </row>
    <row r="207" spans="1:47">
      <c r="B207" s="440" t="str">
        <f t="shared" si="99"/>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si="100"/>
        <v>LO</v>
      </c>
      <c r="I207" s="441">
        <f>IF($A207="*","",VLOOKUP("*#"&amp;$AS207,$A$10:$I$24,I$9+1,FALSE))</f>
        <v>3</v>
      </c>
      <c r="J207" s="163">
        <f ca="1">IF($A207="*","",OFFSET(UPS!$C$37,AU207,SUMIF($A$10:$A$24,"*#"&amp;AS207,$AT$10:$AT$24)))</f>
        <v>0.5</v>
      </c>
      <c r="K207" s="163"/>
      <c r="AR207" s="42">
        <f>AR206</f>
        <v>2</v>
      </c>
      <c r="AS207" s="42">
        <f t="shared" si="101"/>
        <v>3</v>
      </c>
      <c r="AU207" s="42">
        <f ca="1">SUMIF(UPS!B$38:B$171,C207,UPS!BD$38:BD$171)</f>
        <v>91</v>
      </c>
    </row>
    <row r="208" spans="1:47">
      <c r="B208" s="440" t="str">
        <f t="shared" si="99"/>
        <v>ACT_EFF</v>
      </c>
      <c r="C208" s="440" t="str">
        <f ca="1">IF($A208="*","",OFFSET(ITEMS_UPS!$C$22,AR208,0))</f>
        <v>UGASGIB-N</v>
      </c>
      <c r="D208" s="440" t="str">
        <f ca="1">IF($A208="*","",IF(VLOOKUP("*#"&amp;$AS208,$A$10:$I$24,D$9+1,FALSE)="-","-",OFFSET(UPS!$C$37,AU208+AV208,SUMIF($A$10:$A$20,"*#"&amp;AS208,$AT$10:$AT$20))))</f>
        <v>-</v>
      </c>
      <c r="E208" s="440" t="s">
        <v>360</v>
      </c>
      <c r="F208" s="440" t="str">
        <f>IF($A208="*","",IF(VLOOKUP("*"&amp;$AS208,$A$10:$I$24,F$9+1,FALSE)="-","-",C208&amp;"-"&amp;RIGHT(VLOOKUP("*"&amp;$AS208,$A$10:$I$24,F$9+1,FALSE),1)))</f>
        <v>-</v>
      </c>
      <c r="G208" s="440" t="s">
        <v>337</v>
      </c>
      <c r="H208" s="441" t="str">
        <f t="shared" si="100"/>
        <v>-</v>
      </c>
      <c r="I208" s="441">
        <f>IF($A208="*","",VLOOKUP("*#"&amp;$AS208,$A$10:$I$24,I$9+1,FALSE))</f>
        <v>0</v>
      </c>
      <c r="J208" s="163">
        <f ca="1">IF($A208="*","",OFFSET(UPS!$C$37,AU208,SUMIF($A$10:$A$24,"*#"&amp;AS208,$AT$10:$AT$24)))</f>
        <v>0.95899999999999996</v>
      </c>
      <c r="K208" s="163"/>
      <c r="AR208" s="42">
        <f>AR207</f>
        <v>2</v>
      </c>
      <c r="AS208" s="42">
        <f t="shared" si="101"/>
        <v>15</v>
      </c>
      <c r="AU208" s="42">
        <f ca="1">AU206</f>
        <v>91</v>
      </c>
    </row>
    <row r="209" spans="1:47">
      <c r="B209" s="440" t="str">
        <f t="shared" si="99"/>
        <v>NCAP_COST</v>
      </c>
      <c r="C209" s="440" t="str">
        <f ca="1">IF($A209="*","",OFFSET(ITEMS_UPS!$C$22,AR209,0))</f>
        <v>UGASGIB-N</v>
      </c>
      <c r="D209" s="440" t="str">
        <f ca="1">IF($A209="*","",IF(VLOOKUP("*#"&amp;$AS209,$A$10:$I$24,D$9+1,FALSE)="-","-",OFFSET(UPS!$C$37,AU209+AV209,SUMIF($A$10:$A$20,"*#"&amp;AS209,$AT$10:$AT$20))))</f>
        <v>-</v>
      </c>
      <c r="E209" s="440" t="str">
        <f>IF($A209="*","",IF(VLOOKUP("*"&amp;$AS209,$A$10:$I$23,E$9+1,FALSE)="-","-",C209&amp;"-"&amp;RIGHT(VLOOKUP("*"&amp;$AS209,$A$10:$I$23,E$9+1,FALSE),1)))</f>
        <v>-</v>
      </c>
      <c r="F209" s="440" t="str">
        <f>IF($A209="*","",IF(VLOOKUP("*"&amp;$AS209,$A$10:$I$24,F$9+1,FALSE)="-","-",C209&amp;"-"&amp;RIGHT(VLOOKUP("*"&amp;$AS209,$A$10:$I$24,F$9+1,FALSE),1)))</f>
        <v>-</v>
      </c>
      <c r="G209" s="440" t="str">
        <f>IF($A209="*","",VLOOKUP($B209,$B$10:$I$23,G$9,FALSE))</f>
        <v>-</v>
      </c>
      <c r="H209" s="441" t="str">
        <f t="shared" si="100"/>
        <v>-</v>
      </c>
      <c r="I209" s="441">
        <f>IF($A209="*","",VLOOKUP("*#"&amp;$AS209,$A$10:$I$24,I$9+1,FALSE))</f>
        <v>0</v>
      </c>
      <c r="J209" s="163">
        <f ca="1">IF($A209="*","",OFFSET(UPS!$C$37,AU209,SUMIF($A$10:$A$24,"*#"&amp;AS209,$AT$10:$AT$24)))</f>
        <v>239.70848957012083</v>
      </c>
      <c r="AR209" s="42">
        <f>AR208</f>
        <v>2</v>
      </c>
      <c r="AS209" s="42">
        <f t="shared" si="101"/>
        <v>12</v>
      </c>
      <c r="AU209" s="42">
        <f ca="1">AU208</f>
        <v>91</v>
      </c>
    </row>
    <row r="210" spans="1:47">
      <c r="B210" s="440" t="str">
        <f t="shared" si="99"/>
        <v>NCAP_TLIFE</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IF($A210="*","",IF(VLOOKUP("*"&amp;$AS210,$A$10:$I$23,F$9+1,FALSE)="-","-",C210&amp;"-"&amp;RIGHT(VLOOKUP("*"&amp;$AS210,$A$10:$I$23,F$9+1,FALSE),1)))</f>
        <v>-</v>
      </c>
      <c r="G210" s="440" t="str">
        <f>IF($A210="*","",VLOOKUP($B210,$B$10:$I$23,G$9,FALSE))</f>
        <v>-</v>
      </c>
      <c r="H210" s="441" t="str">
        <f t="shared" si="100"/>
        <v>-</v>
      </c>
      <c r="I210" s="441">
        <f>IF($A210="*","",VLOOKUP("*#"&amp;$AS210,$A$10:$I$24,I$9+1,FALSE))</f>
        <v>0</v>
      </c>
      <c r="J210" s="163">
        <f ca="1">IF($A210="*","",OFFSET(UPS!$C$37,AU210,SUMIF($A$10:$A$24,"*#"&amp;AS210,$AT$10:$AT$24)))</f>
        <v>80</v>
      </c>
      <c r="AR210" s="42">
        <f>AR209</f>
        <v>2</v>
      </c>
      <c r="AS210" s="42">
        <f t="shared" si="101"/>
        <v>13</v>
      </c>
      <c r="AU210" s="42">
        <f ca="1">AU209</f>
        <v>91</v>
      </c>
    </row>
    <row r="211" spans="1:47">
      <c r="B211" s="440" t="str">
        <f t="shared" si="99"/>
        <v>NCAP_ILED</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0"/>
        <v>-</v>
      </c>
      <c r="I211" s="441">
        <f>IF($A211="*","",VLOOKUP("*#"&amp;$AS211,$A$10:$I$24,I$9+1,FALSE))</f>
        <v>0</v>
      </c>
      <c r="J211" s="163">
        <f ca="1">IF($A211="*","",OFFSET(UPS!$C$37,AU211,SUMIF($A$10:$A$24,"*#"&amp;AS211,$AT$10:$AT$24)))</f>
        <v>-4</v>
      </c>
      <c r="K211" s="163"/>
      <c r="L211" s="163"/>
      <c r="M211" s="163"/>
      <c r="N211" s="163"/>
      <c r="O211" s="163"/>
      <c r="P211" s="163"/>
      <c r="Q211" s="163"/>
      <c r="R211" s="163"/>
      <c r="S211" s="163"/>
      <c r="T211" s="163"/>
      <c r="U211" s="163"/>
      <c r="V211" s="163"/>
      <c r="W211" s="163"/>
      <c r="X211" s="163"/>
      <c r="Y211" s="163"/>
      <c r="Z211" s="163"/>
      <c r="AA211" s="163"/>
      <c r="AB211" s="163"/>
      <c r="AC211" s="163"/>
      <c r="AD211" s="163"/>
      <c r="AE211" s="163"/>
      <c r="AF211" s="163"/>
      <c r="AG211" s="163"/>
      <c r="AH211" s="163"/>
      <c r="AI211" s="163"/>
      <c r="AJ211" s="163"/>
      <c r="AK211" s="163"/>
      <c r="AL211" s="163"/>
      <c r="AM211" s="163"/>
      <c r="AN211" s="163"/>
      <c r="AO211" s="163"/>
      <c r="AP211" s="163"/>
      <c r="AR211" s="42">
        <f>AR210</f>
        <v>2</v>
      </c>
      <c r="AS211" s="42">
        <f t="shared" si="101"/>
        <v>14</v>
      </c>
      <c r="AU211" s="42">
        <f ca="1">AU210</f>
        <v>91</v>
      </c>
    </row>
    <row r="212" spans="1:47">
      <c r="A212" s="42" t="s">
        <v>310</v>
      </c>
    </row>
    <row r="213" spans="1:47">
      <c r="B213" s="440" t="str">
        <f t="shared" ref="B213:B218" si="102">IF(A213="*","",VLOOKUP("*#"&amp;AS213,$A$9:$B$24,2,FALSE))</f>
        <v>NCAP_AFA</v>
      </c>
      <c r="C213" s="440" t="str">
        <f ca="1">IF($A213="*","",OFFSET(ITEMS_UPS!$C$22,AR213,0))</f>
        <v>UGASGRM-N</v>
      </c>
      <c r="D213" s="440" t="str">
        <f ca="1">IF($A213="*","",IF(VLOOKUP("*#"&amp;$AS213,$A$10:$I$24,D$9+1,FALSE)="-","-",OFFSET(UPS!$C$37,AU213+AV213,SUMIF($A$10:$A$20,"*#"&amp;AS213,$AT$10:$AT$20))))</f>
        <v>-</v>
      </c>
      <c r="E213" s="440" t="str">
        <f>IF($A213="*","",IF(VLOOKUP("*#"&amp;$AS213,$A$10:$I$24,E$9+1,FALSE)="-","-",C213&amp;"-"&amp;RIGHT(VLOOKUP("*#"&amp;$AS213,$A$10:$I$24,E$9+1,FALSE),1)))</f>
        <v>-</v>
      </c>
      <c r="F213" s="440" t="str">
        <f>IF($A213="*","",IF(VLOOKUP("*#"&amp;$AS213,$A$10:$I$24,F$9+1,FALSE)="-","-",C213&amp;"-"&amp;RIGHT(VLOOKUP("*#"&amp;$AS213,$A$10:$I$24,F$9+1,FALSE),1)))</f>
        <v>-</v>
      </c>
      <c r="G213" s="440" t="str">
        <f>IF($A213="*","",VLOOKUP("*#"&amp;$AS213,$A$10:$I$20,G$9+1,FALSE))</f>
        <v>ANNUAL</v>
      </c>
      <c r="H213" s="441" t="str">
        <f t="shared" ref="H213:H218" si="103">IF($A213="*","",VLOOKUP("*#"&amp;$AS213,$A$10:$I$24,H$9+1,FALSE))</f>
        <v>UP</v>
      </c>
      <c r="I213" s="441">
        <f>IF($A213="*","",VLOOKUP("*#"&amp;$AS213,$A$10:$I$20,I$9+1,FALSE))</f>
        <v>3</v>
      </c>
      <c r="J213" s="163">
        <f ca="1">IF($A213="*","",OFFSET(UPS!$C$37,AU213,SUMIF($A$10:$A$20,"*#"&amp;AS213,$AT$10:$AT$20)))</f>
        <v>0.9</v>
      </c>
      <c r="K213" s="163"/>
      <c r="AR213" s="42">
        <f>AR211+1</f>
        <v>3</v>
      </c>
      <c r="AS213" s="42">
        <f t="shared" ref="AS213:AS218" si="104">AS206</f>
        <v>2</v>
      </c>
      <c r="AU213" s="42">
        <f ca="1">SUMIF(UPS!B$38:B$171,C213,UPS!BD$38:BD$171)</f>
        <v>94</v>
      </c>
    </row>
    <row r="214" spans="1:47">
      <c r="B214" s="440" t="str">
        <f t="shared" si="102"/>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si="103"/>
        <v>LO</v>
      </c>
      <c r="I214" s="441">
        <f>IF($A214="*","",VLOOKUP("*#"&amp;$AS214,$A$10:$I$24,I$9+1,FALSE))</f>
        <v>3</v>
      </c>
      <c r="J214" s="163">
        <f ca="1">IF($A214="*","",OFFSET(UPS!$C$37,AU214,SUMIF($A$10:$A$24,"*#"&amp;AS214,$AT$10:$AT$24)))</f>
        <v>0.5</v>
      </c>
      <c r="K214" s="163"/>
      <c r="AR214" s="42">
        <f>AR213</f>
        <v>3</v>
      </c>
      <c r="AS214" s="42">
        <f t="shared" si="104"/>
        <v>3</v>
      </c>
      <c r="AU214" s="42">
        <f ca="1">SUMIF(UPS!B$38:B$171,C214,UPS!BD$38:BD$171)</f>
        <v>94</v>
      </c>
    </row>
    <row r="215" spans="1:47">
      <c r="B215" s="440" t="str">
        <f t="shared" si="102"/>
        <v>ACT_EFF</v>
      </c>
      <c r="C215" s="440" t="str">
        <f ca="1">IF($A215="*","",OFFSET(ITEMS_UPS!$C$22,AR215,0))</f>
        <v>UGASGRM-N</v>
      </c>
      <c r="D215" s="440" t="str">
        <f ca="1">IF($A215="*","",IF(VLOOKUP("*#"&amp;$AS215,$A$10:$I$24,D$9+1,FALSE)="-","-",OFFSET(UPS!$C$37,AU215+AV215,SUMIF($A$10:$A$20,"*#"&amp;AS215,$AT$10:$AT$20))))</f>
        <v>-</v>
      </c>
      <c r="E215" s="440" t="s">
        <v>360</v>
      </c>
      <c r="F215" s="440" t="str">
        <f>IF($A215="*","",IF(VLOOKUP("*"&amp;$AS215,$A$10:$I$24,F$9+1,FALSE)="-","-",C215&amp;"-"&amp;RIGHT(VLOOKUP("*"&amp;$AS215,$A$10:$I$24,F$9+1,FALSE),1)))</f>
        <v>-</v>
      </c>
      <c r="G215" s="440" t="s">
        <v>337</v>
      </c>
      <c r="H215" s="441" t="str">
        <f t="shared" si="103"/>
        <v>-</v>
      </c>
      <c r="I215" s="441">
        <f>IF($A215="*","",VLOOKUP("*#"&amp;$AS215,$A$10:$I$24,I$9+1,FALSE))</f>
        <v>0</v>
      </c>
      <c r="J215" s="163">
        <f ca="1">IF($A215="*","",OFFSET(UPS!$C$37,AU215,SUMIF($A$10:$A$24,"*#"&amp;AS215,$AT$10:$AT$24)))</f>
        <v>0.95899999999999996</v>
      </c>
      <c r="K215" s="163"/>
      <c r="AR215" s="42">
        <f>AR214</f>
        <v>3</v>
      </c>
      <c r="AS215" s="42">
        <f t="shared" si="104"/>
        <v>15</v>
      </c>
      <c r="AU215" s="42">
        <f ca="1">AU213</f>
        <v>94</v>
      </c>
    </row>
    <row r="216" spans="1:47">
      <c r="B216" s="440" t="str">
        <f t="shared" si="102"/>
        <v>NCAP_COST</v>
      </c>
      <c r="C216" s="440" t="str">
        <f ca="1">IF($A216="*","",OFFSET(ITEMS_UPS!$C$22,AR216,0))</f>
        <v>UGASGRM-N</v>
      </c>
      <c r="D216" s="440" t="str">
        <f ca="1">IF($A216="*","",IF(VLOOKUP("*#"&amp;$AS216,$A$10:$I$24,D$9+1,FALSE)="-","-",OFFSET(UPS!$C$37,AU216+AV216,SUMIF($A$10:$A$20,"*#"&amp;AS216,$AT$10:$AT$20))))</f>
        <v>-</v>
      </c>
      <c r="E216" s="440" t="str">
        <f>IF($A216="*","",IF(VLOOKUP("*"&amp;$AS216,$A$10:$I$23,E$9+1,FALSE)="-","-",C216&amp;"-"&amp;RIGHT(VLOOKUP("*"&amp;$AS216,$A$10:$I$23,E$9+1,FALSE),1)))</f>
        <v>-</v>
      </c>
      <c r="F216" s="440" t="str">
        <f>IF($A216="*","",IF(VLOOKUP("*"&amp;$AS216,$A$10:$I$24,F$9+1,FALSE)="-","-",C216&amp;"-"&amp;RIGHT(VLOOKUP("*"&amp;$AS216,$A$10:$I$24,F$9+1,FALSE),1)))</f>
        <v>-</v>
      </c>
      <c r="G216" s="440" t="str">
        <f>IF($A216="*","",VLOOKUP($B216,$B$10:$I$23,G$9,FALSE))</f>
        <v>-</v>
      </c>
      <c r="H216" s="441" t="str">
        <f t="shared" si="103"/>
        <v>-</v>
      </c>
      <c r="I216" s="441">
        <f>IF($A216="*","",VLOOKUP("*#"&amp;$AS216,$A$10:$I$24,I$9+1,FALSE))</f>
        <v>0</v>
      </c>
      <c r="J216" s="163">
        <f ca="1">IF($A216="*","",OFFSET(UPS!$C$37,AU216,SUMIF($A$10:$A$24,"*#"&amp;AS216,$AT$10:$AT$24)))</f>
        <v>1198.5424478506043</v>
      </c>
      <c r="AR216" s="42">
        <f>AR215</f>
        <v>3</v>
      </c>
      <c r="AS216" s="42">
        <f t="shared" si="104"/>
        <v>12</v>
      </c>
      <c r="AU216" s="42">
        <f ca="1">AU215</f>
        <v>94</v>
      </c>
    </row>
    <row r="217" spans="1:47">
      <c r="B217" s="440" t="str">
        <f t="shared" si="102"/>
        <v>NCAP_TLIFE</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IF($A217="*","",IF(VLOOKUP("*"&amp;$AS217,$A$10:$I$23,F$9+1,FALSE)="-","-",C217&amp;"-"&amp;RIGHT(VLOOKUP("*"&amp;$AS217,$A$10:$I$23,F$9+1,FALSE),1)))</f>
        <v>-</v>
      </c>
      <c r="G217" s="440" t="str">
        <f>IF($A217="*","",VLOOKUP($B217,$B$10:$I$23,G$9,FALSE))</f>
        <v>-</v>
      </c>
      <c r="H217" s="441" t="str">
        <f t="shared" si="103"/>
        <v>-</v>
      </c>
      <c r="I217" s="441">
        <f>IF($A217="*","",VLOOKUP("*#"&amp;$AS217,$A$10:$I$24,I$9+1,FALSE))</f>
        <v>0</v>
      </c>
      <c r="J217" s="163">
        <f ca="1">IF($A217="*","",OFFSET(UPS!$C$37,AU217,SUMIF($A$10:$A$24,"*#"&amp;AS217,$AT$10:$AT$24)))</f>
        <v>80</v>
      </c>
      <c r="AR217" s="42">
        <f>AR216</f>
        <v>3</v>
      </c>
      <c r="AS217" s="42">
        <f t="shared" si="104"/>
        <v>13</v>
      </c>
      <c r="AU217" s="42">
        <f ca="1">AU216</f>
        <v>94</v>
      </c>
    </row>
    <row r="218" spans="1:47">
      <c r="B218" s="440" t="str">
        <f t="shared" si="102"/>
        <v>NCAP_ILED</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3"/>
        <v>-</v>
      </c>
      <c r="I218" s="441">
        <f>IF($A218="*","",VLOOKUP("*#"&amp;$AS218,$A$10:$I$24,I$9+1,FALSE))</f>
        <v>0</v>
      </c>
      <c r="J218" s="163">
        <f ca="1">IF($A218="*","",OFFSET(UPS!$C$37,AU218,SUMIF($A$10:$A$24,"*#"&amp;AS218,$AT$10:$AT$24)))</f>
        <v>-4</v>
      </c>
      <c r="K218" s="163"/>
      <c r="L218" s="163"/>
      <c r="M218" s="163"/>
      <c r="N218" s="163"/>
      <c r="O218" s="163"/>
      <c r="P218" s="163"/>
      <c r="Q218" s="163"/>
      <c r="R218" s="163"/>
      <c r="S218" s="163"/>
      <c r="T218" s="163"/>
      <c r="U218" s="163"/>
      <c r="V218" s="163"/>
      <c r="W218" s="163"/>
      <c r="X218" s="163"/>
      <c r="Y218" s="163"/>
      <c r="Z218" s="163"/>
      <c r="AA218" s="163"/>
      <c r="AB218" s="163"/>
      <c r="AC218" s="163"/>
      <c r="AD218" s="163"/>
      <c r="AE218" s="163"/>
      <c r="AF218" s="163"/>
      <c r="AG218" s="163"/>
      <c r="AH218" s="163"/>
      <c r="AI218" s="163"/>
      <c r="AJ218" s="163"/>
      <c r="AK218" s="163"/>
      <c r="AL218" s="163"/>
      <c r="AM218" s="163"/>
      <c r="AN218" s="163"/>
      <c r="AO218" s="163"/>
      <c r="AP218" s="163"/>
      <c r="AR218" s="42">
        <f>AR217</f>
        <v>3</v>
      </c>
      <c r="AS218" s="42">
        <f t="shared" si="104"/>
        <v>14</v>
      </c>
      <c r="AU218" s="42">
        <f ca="1">AU217</f>
        <v>94</v>
      </c>
    </row>
    <row r="219" spans="1:47">
      <c r="A219" s="42" t="s">
        <v>310</v>
      </c>
    </row>
    <row r="220" spans="1:47">
      <c r="B220" s="440" t="str">
        <f>IF(A220="*","",VLOOKUP("*#"&amp;AS220,$A$9:$B$24,2,FALSE))</f>
        <v>NCAP_AFA</v>
      </c>
      <c r="C220" s="440" t="str">
        <f ca="1">IF($A220="*","",OFFSET(ITEMS_UPS!$C$22,AR220,0))</f>
        <v>UGASGRS-N</v>
      </c>
      <c r="D220" s="440" t="str">
        <f ca="1">IF($A220="*","",IF(VLOOKUP("*#"&amp;$AS220,$A$10:$I$24,D$9+1,FALSE)="-","-",OFFSET(UPS!$C$37,AU220+AV220,SUMIF($A$10:$A$20,"*#"&amp;AS220,$AT$10:$AT$20))))</f>
        <v>-</v>
      </c>
      <c r="E220" s="440" t="str">
        <f>IF($A220="*","",IF(VLOOKUP("*#"&amp;$AS220,$A$10:$I$24,E$9+1,FALSE)="-","-",C220&amp;"-"&amp;RIGHT(VLOOKUP("*#"&amp;$AS220,$A$10:$I$24,E$9+1,FALSE),1)))</f>
        <v>-</v>
      </c>
      <c r="F220" s="440" t="str">
        <f>IF($A220="*","",IF(VLOOKUP("*#"&amp;$AS220,$A$10:$I$24,F$9+1,FALSE)="-","-",C220&amp;"-"&amp;RIGHT(VLOOKUP("*#"&amp;$AS220,$A$10:$I$24,F$9+1,FALSE),1)))</f>
        <v>-</v>
      </c>
      <c r="G220" s="440" t="str">
        <f>IF($A220="*","",VLOOKUP("*#"&amp;$AS220,$A$10:$I$20,G$9+1,FALSE))</f>
        <v>ANNUAL</v>
      </c>
      <c r="H220" s="441" t="str">
        <f>IF($A220="*","",VLOOKUP("*#"&amp;$AS220,$A$10:$I$24,H$9+1,FALSE))</f>
        <v>UP</v>
      </c>
      <c r="I220" s="441">
        <f>IF($A220="*","",VLOOKUP("*#"&amp;$AS220,$A$10:$I$20,I$9+1,FALSE))</f>
        <v>3</v>
      </c>
      <c r="J220" s="163">
        <f ca="1">IF($A220="*","",OFFSET(UPS!$C$37,AU220,SUMIF($A$10:$A$20,"*#"&amp;AS220,$AT$10:$AT$20)))</f>
        <v>0.9</v>
      </c>
      <c r="K220" s="163"/>
      <c r="AR220" s="42">
        <f>AR218+1</f>
        <v>4</v>
      </c>
      <c r="AS220" s="42">
        <f t="shared" ref="AS220:AS225" si="105">AS213</f>
        <v>2</v>
      </c>
      <c r="AU220" s="42">
        <f ca="1">SUMIF(UPS!B$38:B$171,C220,UPS!BD$38:BD$171)</f>
        <v>97</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LO</v>
      </c>
      <c r="I221" s="441">
        <f>IF($A221="*","",VLOOKUP("*#"&amp;$AS221,$A$10:$I$24,I$9+1,FALSE))</f>
        <v>3</v>
      </c>
      <c r="J221" s="163">
        <f ca="1">IF($A221="*","",OFFSET(UPS!$C$37,AU221,SUMIF($A$10:$A$24,"*#"&amp;AS221,$AT$10:$AT$24)))</f>
        <v>0.5</v>
      </c>
      <c r="K221" s="163"/>
      <c r="AR221" s="42">
        <f>AR220</f>
        <v>4</v>
      </c>
      <c r="AS221" s="42">
        <f t="shared" si="105"/>
        <v>3</v>
      </c>
      <c r="AU221" s="42">
        <f ca="1">SUMIF(UPS!B$38:B$171,C221,UPS!BD$38:BD$171)</f>
        <v>97</v>
      </c>
    </row>
    <row r="222" spans="1:47">
      <c r="B222" s="440" t="str">
        <f>IF(A222="*","",VLOOKUP("*#"&amp;AS222,$A$9:$B$24,2,FALSE))</f>
        <v>ACT_EFF</v>
      </c>
      <c r="C222" s="440" t="str">
        <f ca="1">IF($A222="*","",OFFSET(ITEMS_UPS!$C$22,AR222,0))</f>
        <v>UGASGRS-N</v>
      </c>
      <c r="D222" s="440" t="str">
        <f ca="1">IF($A222="*","",IF(VLOOKUP("*#"&amp;$AS222,$A$10:$I$24,D$9+1,FALSE)="-","-",OFFSET(UPS!$C$37,AU222+AV222,SUMIF($A$10:$A$20,"*#"&amp;AS222,$AT$10:$AT$20))))</f>
        <v>-</v>
      </c>
      <c r="E222" s="440" t="s">
        <v>360</v>
      </c>
      <c r="F222" s="440" t="str">
        <f>IF($A222="*","",IF(VLOOKUP("*"&amp;$AS222,$A$10:$I$24,F$9+1,FALSE)="-","-",C222&amp;"-"&amp;RIGHT(VLOOKUP("*"&amp;$AS222,$A$10:$I$24,F$9+1,FALSE),1)))</f>
        <v>-</v>
      </c>
      <c r="G222" s="440" t="s">
        <v>337</v>
      </c>
      <c r="H222" s="441" t="str">
        <f>IF($A222="*","",VLOOKUP("*#"&amp;$AS222,$A$10:$I$24,H$9+1,FALSE))</f>
        <v>-</v>
      </c>
      <c r="I222" s="441">
        <f>IF($A222="*","",VLOOKUP("*#"&amp;$AS222,$A$10:$I$24,I$9+1,FALSE))</f>
        <v>0</v>
      </c>
      <c r="J222" s="163">
        <f ca="1">IF($A222="*","",OFFSET(UPS!$C$37,AU222,SUMIF($A$10:$A$24,"*#"&amp;AS222,$AT$10:$AT$24)))</f>
        <v>0.95899999999999996</v>
      </c>
      <c r="K222" s="163"/>
      <c r="AR222" s="42">
        <f>AR221</f>
        <v>4</v>
      </c>
      <c r="AS222" s="42">
        <f t="shared" si="105"/>
        <v>15</v>
      </c>
      <c r="AU222" s="42">
        <f ca="1">AU220</f>
        <v>97</v>
      </c>
    </row>
    <row r="223" spans="1:47">
      <c r="B223" s="440" t="str">
        <f>IF(A223="*","",VLOOKUP("*#"&amp;AS223,$A$9:$B$24,2,FALSE))</f>
        <v>NCAP_COST</v>
      </c>
      <c r="C223" s="440" t="str">
        <f ca="1">IF($A223="*","",OFFSET(ITEMS_UPS!$C$22,AR223,0))</f>
        <v>UGASGRS-N</v>
      </c>
      <c r="D223" s="440" t="str">
        <f ca="1">IF($A223="*","",IF(VLOOKUP("*#"&amp;$AS223,$A$10:$I$24,D$9+1,FALSE)="-","-",OFFSET(UPS!$C$37,AU223+AV223,SUMIF($A$10:$A$20,"*#"&amp;AS223,$AT$10:$AT$20))))</f>
        <v>-</v>
      </c>
      <c r="E223" s="440" t="str">
        <f>IF($A223="*","",IF(VLOOKUP("*"&amp;$AS223,$A$10:$I$23,E$9+1,FALSE)="-","-",C223&amp;"-"&amp;RIGHT(VLOOKUP("*"&amp;$AS223,$A$10:$I$23,E$9+1,FALSE),1)))</f>
        <v>-</v>
      </c>
      <c r="F223" s="440" t="str">
        <f>IF($A223="*","",IF(VLOOKUP("*"&amp;$AS223,$A$10:$I$24,F$9+1,FALSE)="-","-",C223&amp;"-"&amp;RIGHT(VLOOKUP("*"&amp;$AS223,$A$10:$I$24,F$9+1,FALSE),1)))</f>
        <v>-</v>
      </c>
      <c r="G223" s="440" t="str">
        <f>IF($A223="*","",VLOOKUP($B223,$B$10:$I$23,G$9,FALSE))</f>
        <v>-</v>
      </c>
      <c r="H223" s="441" t="str">
        <f>IF($A223="*","",VLOOKUP("*#"&amp;$AS223,$A$10:$I$24,H$9+1,FALSE))</f>
        <v>-</v>
      </c>
      <c r="I223" s="441">
        <f>IF($A223="*","",VLOOKUP("*#"&amp;$AS223,$A$10:$I$24,I$9+1,FALSE))</f>
        <v>0</v>
      </c>
      <c r="J223" s="163" t="str">
        <f ca="1">IF($A223="*","",OFFSET(UPS!$C$37,AU223,SUMIF($A$10:$A$24,"*#"&amp;AS223,$AT$10:$AT$24)))</f>
        <v/>
      </c>
      <c r="AR223" s="42">
        <f>AR222</f>
        <v>4</v>
      </c>
      <c r="AS223" s="42">
        <f t="shared" si="105"/>
        <v>12</v>
      </c>
      <c r="AU223" s="42">
        <f ca="1">AU222</f>
        <v>97</v>
      </c>
    </row>
    <row r="224" spans="1:47">
      <c r="B224" s="440" t="str">
        <f>IF(A224="*","",VLOOKUP("*#"&amp;AS224,$A$9:$B$24,2,FALSE))</f>
        <v>NCAP_TLIFE</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IF($A224="*","",IF(VLOOKUP("*"&amp;$AS224,$A$10:$I$23,F$9+1,FALSE)="-","-",C224&amp;"-"&amp;RIGHT(VLOOKUP("*"&amp;$AS224,$A$10:$I$23,F$9+1,FALSE),1)))</f>
        <v>-</v>
      </c>
      <c r="G224" s="440" t="str">
        <f>IF($A224="*","",VLOOKUP($B224,$B$10:$I$23,G$9,FALSE))</f>
        <v>-</v>
      </c>
      <c r="H224" s="441" t="str">
        <f>IF($A224="*","",VLOOKUP("*#"&amp;$AS224,$A$10:$I$24,H$9+1,FALSE))</f>
        <v>-</v>
      </c>
      <c r="I224" s="441">
        <f>IF($A224="*","",VLOOKUP("*#"&amp;$AS224,$A$10:$I$24,I$9+1,FALSE))</f>
        <v>0</v>
      </c>
      <c r="J224" s="163">
        <f ca="1">IF($A224="*","",OFFSET(UPS!$C$37,AU224,SUMIF($A$10:$A$24,"*#"&amp;AS224,$AT$10:$AT$24)))</f>
        <v>80</v>
      </c>
      <c r="AR224" s="42">
        <f>AR223</f>
        <v>4</v>
      </c>
      <c r="AS224" s="42">
        <f t="shared" si="105"/>
        <v>13</v>
      </c>
      <c r="AU224" s="42">
        <f ca="1">AU223</f>
        <v>97</v>
      </c>
    </row>
    <row r="225" spans="1:47" s="39" customFormat="1" ht="15">
      <c r="B225" s="39" t="s">
        <v>860</v>
      </c>
      <c r="C225" s="39" t="str">
        <f ca="1">IF($A225="*","",OFFSET(ITEMS_UPS!$C$22,AR225,0))</f>
        <v>UGASGRS-N</v>
      </c>
      <c r="D225" s="39" t="str">
        <f ca="1">IF($A225="*","",IF(VLOOKUP("*"&amp;$AS225,$A$10:$I$23,D$9+1,FALSE)="-","-",OFFSET(UPS!$C$37,AU225+AV225,SUMIF($A$10:$A$23,"*"&amp;AS225,$AT$10:$AT$23))))</f>
        <v>-</v>
      </c>
      <c r="E225" s="39" t="str">
        <f>IF($A225="*","",IF(VLOOKUP("*"&amp;$AS225,$A$10:$I$23,E$9+1,FALSE)="-","-",C225&amp;"-"&amp;RIGHT(VLOOKUP("*"&amp;$AS225,$A$10:$I$23,E$9+1,FALSE),1)))</f>
        <v>-</v>
      </c>
      <c r="F225" s="39" t="str">
        <f>IF($A225="*","",IF(VLOOKUP("*"&amp;$AS225,$A$10:$I$23,F$9+1,FALSE)="-","-",C225&amp;"-"&amp;RIGHT(VLOOKUP("*"&amp;$AS225,$A$10:$I$23,F$9+1,FALSE),1)))</f>
        <v>-</v>
      </c>
      <c r="G225" s="39" t="str">
        <f>IF($A225="*","",VLOOKUP($B225,$B$10:$I$23,G$9,FALSE))</f>
        <v>-</v>
      </c>
      <c r="H225" s="838" t="str">
        <f>IF($A225="*","",VLOOKUP("*"&amp;$AS225,$A$10:$I$23,H$9+1,FALSE))</f>
        <v>-</v>
      </c>
      <c r="I225" s="838">
        <f>IF($A225="*","",VLOOKUP($B225,$B$10:$I$23,I$9,FALSE))</f>
        <v>0</v>
      </c>
      <c r="J225" s="39">
        <f>SUP!N92</f>
        <v>116</v>
      </c>
      <c r="AR225" s="42">
        <f>AR224</f>
        <v>4</v>
      </c>
      <c r="AS225" s="42">
        <f t="shared" si="105"/>
        <v>14</v>
      </c>
      <c r="AU225" s="39">
        <f ca="1">AU224</f>
        <v>97</v>
      </c>
    </row>
    <row r="226" spans="1:47">
      <c r="A226" s="42" t="s">
        <v>310</v>
      </c>
      <c r="C226" s="440" t="str">
        <f ca="1">IF($A226="*","",OFFSET(ITEMS_UPS!$C$22,AR226,0))</f>
        <v/>
      </c>
    </row>
    <row r="227" spans="1:47">
      <c r="B227" s="440" t="str">
        <f t="shared" ref="B227:B232" si="106">IF(A227="*","",VLOOKUP("*#"&amp;AS227,$A$9:$B$24,2,FALSE))</f>
        <v>NCAP_AFA</v>
      </c>
      <c r="C227" s="440" t="str">
        <f ca="1">IF($A227="*","",OFFSET(ITEMS_UPS!$C$22,AR227,0))</f>
        <v>UGASGIH-N</v>
      </c>
      <c r="D227" s="440" t="str">
        <f ca="1">IF($A227="*","",IF(VLOOKUP("*#"&amp;$AS227,$A$10:$I$24,D$9+1,FALSE)="-","-",OFFSET(UPS!$C$37,AU227+AV227,SUMIF($A$10:$A$20,"*#"&amp;AS227,$AT$10:$AT$20))))</f>
        <v>-</v>
      </c>
      <c r="E227" s="440" t="str">
        <f>IF($A227="*","",IF(VLOOKUP("*#"&amp;$AS227,$A$10:$I$24,E$9+1,FALSE)="-","-",C227&amp;"-"&amp;RIGHT(VLOOKUP("*#"&amp;$AS227,$A$10:$I$24,E$9+1,FALSE),1)))</f>
        <v>-</v>
      </c>
      <c r="F227" s="440" t="str">
        <f>IF($A227="*","",IF(VLOOKUP("*#"&amp;$AS227,$A$10:$I$24,F$9+1,FALSE)="-","-",C227&amp;"-"&amp;RIGHT(VLOOKUP("*#"&amp;$AS227,$A$10:$I$24,F$9+1,FALSE),1)))</f>
        <v>-</v>
      </c>
      <c r="G227" s="440" t="str">
        <f>IF($A227="*","",VLOOKUP("*#"&amp;$AS227,$A$10:$I$20,G$9+1,FALSE))</f>
        <v>ANNUAL</v>
      </c>
      <c r="H227" s="441" t="str">
        <f t="shared" ref="H227:H232" si="107">IF($A227="*","",VLOOKUP("*#"&amp;$AS227,$A$10:$I$24,H$9+1,FALSE))</f>
        <v>UP</v>
      </c>
      <c r="I227" s="441">
        <f>IF($A227="*","",VLOOKUP("*#"&amp;$AS227,$A$10:$I$20,I$9+1,FALSE))</f>
        <v>3</v>
      </c>
      <c r="J227" s="163">
        <f ca="1">IF($A227="*","",OFFSET(UPS!$C$37,AU227,SUMIF($A$10:$A$20,"*#"&amp;AS227,$AT$10:$AT$20)))</f>
        <v>0.9</v>
      </c>
      <c r="K227" s="163"/>
      <c r="AR227" s="42">
        <f>AR225+1</f>
        <v>5</v>
      </c>
      <c r="AS227" s="42">
        <f t="shared" ref="AS227:AS232" si="108">AS220</f>
        <v>2</v>
      </c>
      <c r="AU227" s="42">
        <f ca="1">SUMIF(UPS!B$38:B$171,C227,UPS!BD$38:BD$171)</f>
        <v>100</v>
      </c>
    </row>
    <row r="228" spans="1:47">
      <c r="B228" s="440" t="str">
        <f t="shared" si="106"/>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si="107"/>
        <v>LO</v>
      </c>
      <c r="I228" s="441">
        <f>IF($A228="*","",VLOOKUP("*#"&amp;$AS228,$A$10:$I$24,I$9+1,FALSE))</f>
        <v>3</v>
      </c>
      <c r="J228" s="163">
        <f ca="1">IF($A228="*","",OFFSET(UPS!$C$37,AU228,SUMIF($A$10:$A$24,"*#"&amp;AS228,$AT$10:$AT$24)))</f>
        <v>0.5</v>
      </c>
      <c r="K228" s="163"/>
      <c r="AR228" s="42">
        <f>AR227</f>
        <v>5</v>
      </c>
      <c r="AS228" s="42">
        <f t="shared" si="108"/>
        <v>3</v>
      </c>
      <c r="AU228" s="42">
        <f ca="1">SUMIF(UPS!B$38:B$171,C228,UPS!BD$38:BD$171)</f>
        <v>100</v>
      </c>
    </row>
    <row r="229" spans="1:47">
      <c r="B229" s="440" t="str">
        <f t="shared" si="106"/>
        <v>ACT_EFF</v>
      </c>
      <c r="C229" s="440" t="str">
        <f ca="1">IF($A229="*","",OFFSET(ITEMS_UPS!$C$22,AR229,0))</f>
        <v>UGASGIH-N</v>
      </c>
      <c r="D229" s="440" t="str">
        <f ca="1">IF($A229="*","",IF(VLOOKUP("*#"&amp;$AS229,$A$10:$I$24,D$9+1,FALSE)="-","-",OFFSET(UPS!$C$37,AU229+AV229,SUMIF($A$10:$A$20,"*#"&amp;AS229,$AT$10:$AT$20))))</f>
        <v>-</v>
      </c>
      <c r="E229" s="440" t="s">
        <v>360</v>
      </c>
      <c r="F229" s="440" t="str">
        <f>IF($A229="*","",IF(VLOOKUP("*"&amp;$AS229,$A$10:$I$24,F$9+1,FALSE)="-","-",C229&amp;"-"&amp;RIGHT(VLOOKUP("*"&amp;$AS229,$A$10:$I$24,F$9+1,FALSE),1)))</f>
        <v>-</v>
      </c>
      <c r="G229" s="440" t="s">
        <v>337</v>
      </c>
      <c r="H229" s="441" t="str">
        <f t="shared" si="107"/>
        <v>-</v>
      </c>
      <c r="I229" s="441">
        <f>IF($A229="*","",VLOOKUP("*#"&amp;$AS229,$A$10:$I$24,I$9+1,FALSE))</f>
        <v>0</v>
      </c>
      <c r="J229" s="163">
        <f ca="1">IF($A229="*","",OFFSET(UPS!$C$37,AU229,SUMIF($A$10:$A$24,"*#"&amp;AS229,$AT$10:$AT$24)))</f>
        <v>0.95899999999999996</v>
      </c>
      <c r="K229" s="163"/>
      <c r="AR229" s="42">
        <f>AR228</f>
        <v>5</v>
      </c>
      <c r="AS229" s="42">
        <f t="shared" si="108"/>
        <v>15</v>
      </c>
      <c r="AU229" s="42">
        <f ca="1">AU227</f>
        <v>100</v>
      </c>
    </row>
    <row r="230" spans="1:47">
      <c r="B230" s="440" t="str">
        <f t="shared" si="106"/>
        <v>NCAP_COST</v>
      </c>
      <c r="C230" s="440" t="str">
        <f ca="1">IF($A230="*","",OFFSET(ITEMS_UPS!$C$22,AR230,0))</f>
        <v>UGASGIH-N</v>
      </c>
      <c r="D230" s="440" t="str">
        <f ca="1">IF($A230="*","",IF(VLOOKUP("*#"&amp;$AS230,$A$10:$I$24,D$9+1,FALSE)="-","-",OFFSET(UPS!$C$37,AU230+AV230,SUMIF($A$10:$A$20,"*#"&amp;AS230,$AT$10:$AT$20))))</f>
        <v>-</v>
      </c>
      <c r="E230" s="440" t="str">
        <f>IF($A230="*","",IF(VLOOKUP("*"&amp;$AS230,$A$10:$I$23,E$9+1,FALSE)="-","-",C230&amp;"-"&amp;RIGHT(VLOOKUP("*"&amp;$AS230,$A$10:$I$23,E$9+1,FALSE),1)))</f>
        <v>-</v>
      </c>
      <c r="F230" s="440" t="str">
        <f>IF($A230="*","",IF(VLOOKUP("*"&amp;$AS230,$A$10:$I$24,F$9+1,FALSE)="-","-",C230&amp;"-"&amp;RIGHT(VLOOKUP("*"&amp;$AS230,$A$10:$I$24,F$9+1,FALSE),1)))</f>
        <v>-</v>
      </c>
      <c r="G230" s="440" t="str">
        <f>IF($A230="*","",VLOOKUP($B230,$B$10:$I$23,G$9,FALSE))</f>
        <v>-</v>
      </c>
      <c r="H230" s="441" t="str">
        <f t="shared" si="107"/>
        <v>-</v>
      </c>
      <c r="I230" s="441">
        <f>IF($A230="*","",VLOOKUP("*#"&amp;$AS230,$A$10:$I$24,I$9+1,FALSE))</f>
        <v>0</v>
      </c>
      <c r="J230" s="163">
        <f ca="1">IF($A230="*","",OFFSET(UPS!$C$37,AU230,SUMIF($A$10:$A$24,"*#"&amp;AS230,$AT$10:$AT$24)))</f>
        <v>239.70848957012083</v>
      </c>
      <c r="AR230" s="42">
        <f>AR229</f>
        <v>5</v>
      </c>
      <c r="AS230" s="42">
        <f t="shared" si="108"/>
        <v>12</v>
      </c>
      <c r="AU230" s="42">
        <f ca="1">AU229</f>
        <v>100</v>
      </c>
    </row>
    <row r="231" spans="1:47">
      <c r="B231" s="440" t="str">
        <f t="shared" si="106"/>
        <v>NCAP_TLIFE</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IF($A231="*","",IF(VLOOKUP("*"&amp;$AS231,$A$10:$I$23,F$9+1,FALSE)="-","-",C231&amp;"-"&amp;RIGHT(VLOOKUP("*"&amp;$AS231,$A$10:$I$23,F$9+1,FALSE),1)))</f>
        <v>-</v>
      </c>
      <c r="G231" s="440" t="str">
        <f>IF($A231="*","",VLOOKUP($B231,$B$10:$I$23,G$9,FALSE))</f>
        <v>-</v>
      </c>
      <c r="H231" s="441" t="str">
        <f t="shared" si="107"/>
        <v>-</v>
      </c>
      <c r="I231" s="441">
        <f>IF($A231="*","",VLOOKUP("*#"&amp;$AS231,$A$10:$I$24,I$9+1,FALSE))</f>
        <v>0</v>
      </c>
      <c r="J231" s="163">
        <f ca="1">IF($A231="*","",OFFSET(UPS!$C$37,AU231,SUMIF($A$10:$A$24,"*#"&amp;AS231,$AT$10:$AT$24)))</f>
        <v>80</v>
      </c>
      <c r="AR231" s="42">
        <f>AR230</f>
        <v>5</v>
      </c>
      <c r="AS231" s="42">
        <f t="shared" si="108"/>
        <v>13</v>
      </c>
      <c r="AU231" s="42">
        <f ca="1">AU230</f>
        <v>100</v>
      </c>
    </row>
    <row r="232" spans="1:47">
      <c r="B232" s="440" t="str">
        <f t="shared" si="106"/>
        <v>NCAP_ILED</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7"/>
        <v>-</v>
      </c>
      <c r="I232" s="441">
        <f>IF($A232="*","",VLOOKUP("*#"&amp;$AS232,$A$10:$I$24,I$9+1,FALSE))</f>
        <v>0</v>
      </c>
      <c r="J232" s="163">
        <f ca="1">IF($A232="*","",OFFSET(UPS!$C$37,AU232,SUMIF($A$10:$A$24,"*#"&amp;AS232,$AT$10:$AT$24)))</f>
        <v>-4</v>
      </c>
      <c r="K232" s="163"/>
      <c r="L232" s="163"/>
      <c r="M232" s="163"/>
      <c r="N232" s="163"/>
      <c r="O232" s="163"/>
      <c r="P232" s="163"/>
      <c r="Q232" s="163"/>
      <c r="R232" s="163"/>
      <c r="S232" s="163"/>
      <c r="T232" s="163"/>
      <c r="U232" s="163"/>
      <c r="V232" s="163"/>
      <c r="W232" s="163"/>
      <c r="X232" s="163"/>
      <c r="Y232" s="163"/>
      <c r="Z232" s="163"/>
      <c r="AA232" s="163"/>
      <c r="AB232" s="163"/>
      <c r="AC232" s="163"/>
      <c r="AD232" s="163"/>
      <c r="AE232" s="163"/>
      <c r="AF232" s="163"/>
      <c r="AG232" s="163"/>
      <c r="AH232" s="163"/>
      <c r="AI232" s="163"/>
      <c r="AJ232" s="163"/>
      <c r="AK232" s="163"/>
      <c r="AL232" s="163"/>
      <c r="AM232" s="163"/>
      <c r="AN232" s="163"/>
      <c r="AO232" s="163"/>
      <c r="AP232" s="163"/>
      <c r="AR232" s="42">
        <f>AR231</f>
        <v>5</v>
      </c>
      <c r="AS232" s="42">
        <f t="shared" si="108"/>
        <v>14</v>
      </c>
      <c r="AU232" s="42">
        <f ca="1">AU231</f>
        <v>100</v>
      </c>
    </row>
    <row r="233" spans="1:47">
      <c r="A233" s="42" t="s">
        <v>310</v>
      </c>
      <c r="C233" s="440" t="str">
        <f ca="1">IF($A233="*","",OFFSET(ITEMS_UPS!$C$22,AR233,0))</f>
        <v/>
      </c>
    </row>
    <row r="234" spans="1:47">
      <c r="B234" s="440" t="str">
        <f t="shared" ref="B234:B239" si="109">IF(A234="*","",VLOOKUP("*#"&amp;AS234,$A$9:$B$24,2,FALSE))</f>
        <v>NCAP_AFA</v>
      </c>
      <c r="C234" s="440" t="str">
        <f ca="1">IF($A234="*","",OFFSET(ITEMS_UPS!$C$22,AR234,0))</f>
        <v>ULGTGRL-N</v>
      </c>
      <c r="D234" s="440" t="str">
        <f ca="1">IF($A234="*","",IF(VLOOKUP("*#"&amp;$AS234,$A$10:$I$24,D$9+1,FALSE)="-","-",OFFSET(UPS!$C$37,AU234+AV234,SUMIF($A$10:$A$20,"*#"&amp;AS234,$AT$10:$AT$20))))</f>
        <v>-</v>
      </c>
      <c r="E234" s="440" t="str">
        <f>IF($A234="*","",IF(VLOOKUP("*#"&amp;$AS234,$A$10:$I$24,E$9+1,FALSE)="-","-",C234&amp;"-"&amp;RIGHT(VLOOKUP("*#"&amp;$AS234,$A$10:$I$24,E$9+1,FALSE),1)))</f>
        <v>-</v>
      </c>
      <c r="F234" s="440" t="str">
        <f>IF($A234="*","",IF(VLOOKUP("*#"&amp;$AS234,$A$10:$I$24,F$9+1,FALSE)="-","-",C234&amp;"-"&amp;RIGHT(VLOOKUP("*#"&amp;$AS234,$A$10:$I$24,F$9+1,FALSE),1)))</f>
        <v>-</v>
      </c>
      <c r="G234" s="440" t="str">
        <f>IF($A234="*","",VLOOKUP("*#"&amp;$AS234,$A$10:$I$20,G$9+1,FALSE))</f>
        <v>ANNUAL</v>
      </c>
      <c r="H234" s="441" t="str">
        <f t="shared" ref="H234:H239" si="110">IF($A234="*","",VLOOKUP("*#"&amp;$AS234,$A$10:$I$24,H$9+1,FALSE))</f>
        <v>UP</v>
      </c>
      <c r="I234" s="441">
        <f>IF($A234="*","",VLOOKUP("*#"&amp;$AS234,$A$10:$I$20,I$9+1,FALSE))</f>
        <v>3</v>
      </c>
      <c r="J234" s="163">
        <f ca="1">IF($A234="*","",OFFSET(UPS!$C$37,AU234,SUMIF($A$10:$A$20,"*#"&amp;AS234,$AT$10:$AT$20)))</f>
        <v>0.9</v>
      </c>
      <c r="K234" s="163"/>
      <c r="AR234" s="42">
        <f>AR232+1</f>
        <v>6</v>
      </c>
      <c r="AS234" s="42">
        <f t="shared" ref="AS234:AS239" si="111">AS227</f>
        <v>2</v>
      </c>
      <c r="AU234" s="42">
        <f ca="1">SUMIF(UPS!B$38:B$171,C234,UPS!BD$38:BD$171)</f>
        <v>103</v>
      </c>
    </row>
    <row r="235" spans="1:47">
      <c r="B235" s="440" t="str">
        <f t="shared" si="109"/>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si="110"/>
        <v>LO</v>
      </c>
      <c r="I235" s="441">
        <f>IF($A235="*","",VLOOKUP("*#"&amp;$AS235,$A$10:$I$24,I$9+1,FALSE))</f>
        <v>3</v>
      </c>
      <c r="J235" s="163">
        <f ca="1">IF($A235="*","",OFFSET(UPS!$C$37,AU235,SUMIF($A$10:$A$24,"*#"&amp;AS235,$AT$10:$AT$24)))</f>
        <v>0.05</v>
      </c>
      <c r="K235" s="163"/>
      <c r="AR235" s="42">
        <f>AR234</f>
        <v>6</v>
      </c>
      <c r="AS235" s="42">
        <f t="shared" si="111"/>
        <v>3</v>
      </c>
      <c r="AU235" s="42">
        <f ca="1">SUMIF(UPS!B$38:B$171,C235,UPS!BD$38:BD$171)</f>
        <v>103</v>
      </c>
    </row>
    <row r="236" spans="1:47">
      <c r="B236" s="440" t="str">
        <f t="shared" si="109"/>
        <v>ACT_EFF</v>
      </c>
      <c r="C236" s="440" t="str">
        <f ca="1">IF($A236="*","",OFFSET(ITEMS_UPS!$C$22,AR236,0))</f>
        <v>ULGTGRL-N</v>
      </c>
      <c r="D236" s="440" t="str">
        <f ca="1">IF($A236="*","",IF(VLOOKUP("*#"&amp;$AS236,$A$10:$I$24,D$9+1,FALSE)="-","-",OFFSET(UPS!$C$37,AU236+AV236,SUMIF($A$10:$A$20,"*#"&amp;AS236,$AT$10:$AT$20))))</f>
        <v>-</v>
      </c>
      <c r="E236" s="440" t="s">
        <v>360</v>
      </c>
      <c r="F236" s="440" t="str">
        <f>IF($A236="*","",IF(VLOOKUP("*"&amp;$AS236,$A$10:$I$24,F$9+1,FALSE)="-","-",C236&amp;"-"&amp;RIGHT(VLOOKUP("*"&amp;$AS236,$A$10:$I$24,F$9+1,FALSE),1)))</f>
        <v>-</v>
      </c>
      <c r="G236" s="440" t="s">
        <v>337</v>
      </c>
      <c r="H236" s="441" t="str">
        <f t="shared" si="110"/>
        <v>-</v>
      </c>
      <c r="I236" s="441">
        <f>IF($A236="*","",VLOOKUP("*#"&amp;$AS236,$A$10:$I$24,I$9+1,FALSE))</f>
        <v>0</v>
      </c>
      <c r="J236" s="163">
        <f ca="1">IF($A236="*","",OFFSET(UPS!$C$37,AU236,SUMIF($A$10:$A$24,"*#"&amp;AS236,$AT$10:$AT$24)))</f>
        <v>0.95899999999999996</v>
      </c>
      <c r="K236" s="163"/>
      <c r="AR236" s="42">
        <f>AR235</f>
        <v>6</v>
      </c>
      <c r="AS236" s="42">
        <f t="shared" si="111"/>
        <v>15</v>
      </c>
      <c r="AU236" s="42">
        <f ca="1">AU234</f>
        <v>103</v>
      </c>
    </row>
    <row r="237" spans="1:47">
      <c r="B237" s="440" t="str">
        <f t="shared" si="109"/>
        <v>NCAP_COST</v>
      </c>
      <c r="C237" s="440" t="str">
        <f ca="1">IF($A237="*","",OFFSET(ITEMS_UPS!$C$22,AR237,0))</f>
        <v>ULGTGRL-N</v>
      </c>
      <c r="D237" s="440" t="str">
        <f ca="1">IF($A237="*","",IF(VLOOKUP("*#"&amp;$AS237,$A$10:$I$24,D$9+1,FALSE)="-","-",OFFSET(UPS!$C$37,AU237+AV237,SUMIF($A$10:$A$20,"*#"&amp;AS237,$AT$10:$AT$20))))</f>
        <v>-</v>
      </c>
      <c r="E237" s="440" t="str">
        <f>IF($A237="*","",IF(VLOOKUP("*"&amp;$AS237,$A$10:$I$23,E$9+1,FALSE)="-","-",C237&amp;"-"&amp;RIGHT(VLOOKUP("*"&amp;$AS237,$A$10:$I$23,E$9+1,FALSE),1)))</f>
        <v>-</v>
      </c>
      <c r="F237" s="440" t="str">
        <f>IF($A237="*","",IF(VLOOKUP("*"&amp;$AS237,$A$10:$I$24,F$9+1,FALSE)="-","-",C237&amp;"-"&amp;RIGHT(VLOOKUP("*"&amp;$AS237,$A$10:$I$24,F$9+1,FALSE),1)))</f>
        <v>-</v>
      </c>
      <c r="G237" s="440" t="str">
        <f>IF($A237="*","",VLOOKUP($B237,$B$10:$I$23,G$9,FALSE))</f>
        <v>-</v>
      </c>
      <c r="H237" s="441" t="str">
        <f t="shared" si="110"/>
        <v>-</v>
      </c>
      <c r="I237" s="441">
        <f>IF($A237="*","",VLOOKUP("*#"&amp;$AS237,$A$10:$I$24,I$9+1,FALSE))</f>
        <v>0</v>
      </c>
      <c r="J237" s="163">
        <f ca="1">IF($A237="*","",OFFSET(UPS!$C$37,AU237,SUMIF($A$10:$A$24,"*#"&amp;AS237,$AT$10:$AT$24)))</f>
        <v>69.134925781250004</v>
      </c>
      <c r="AR237" s="42">
        <f>AR236</f>
        <v>6</v>
      </c>
      <c r="AS237" s="42">
        <f t="shared" si="111"/>
        <v>12</v>
      </c>
      <c r="AU237" s="42">
        <f ca="1">AU236</f>
        <v>103</v>
      </c>
    </row>
    <row r="238" spans="1:47">
      <c r="B238" s="440" t="str">
        <f t="shared" si="109"/>
        <v>NCAP_TLIFE</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IF($A238="*","",IF(VLOOKUP("*"&amp;$AS238,$A$10:$I$23,F$9+1,FALSE)="-","-",C238&amp;"-"&amp;RIGHT(VLOOKUP("*"&amp;$AS238,$A$10:$I$23,F$9+1,FALSE),1)))</f>
        <v>-</v>
      </c>
      <c r="G238" s="440" t="str">
        <f>IF($A238="*","",VLOOKUP($B238,$B$10:$I$23,G$9,FALSE))</f>
        <v>-</v>
      </c>
      <c r="H238" s="441" t="str">
        <f t="shared" si="110"/>
        <v>-</v>
      </c>
      <c r="I238" s="441">
        <f>IF($A238="*","",VLOOKUP("*#"&amp;$AS238,$A$10:$I$24,I$9+1,FALSE))</f>
        <v>0</v>
      </c>
      <c r="J238" s="163">
        <f ca="1">IF($A238="*","",OFFSET(UPS!$C$37,AU238,SUMIF($A$10:$A$24,"*#"&amp;AS238,$AT$10:$AT$24)))</f>
        <v>30</v>
      </c>
      <c r="AR238" s="42">
        <f>AR237</f>
        <v>6</v>
      </c>
      <c r="AS238" s="42">
        <f t="shared" si="111"/>
        <v>13</v>
      </c>
      <c r="AU238" s="42">
        <f ca="1">AU237</f>
        <v>103</v>
      </c>
    </row>
    <row r="239" spans="1:47">
      <c r="B239" s="440" t="str">
        <f t="shared" si="109"/>
        <v>NCAP_ILED</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0"/>
        <v>-</v>
      </c>
      <c r="I239" s="441">
        <f>IF($A239="*","",VLOOKUP("*#"&amp;$AS239,$A$10:$I$24,I$9+1,FALSE))</f>
        <v>0</v>
      </c>
      <c r="J239" s="163">
        <f ca="1">IF($A239="*","",OFFSET(UPS!$C$37,AU239,SUMIF($A$10:$A$24,"*#"&amp;AS239,$AT$10:$AT$24)))</f>
        <v>-4</v>
      </c>
      <c r="K239" s="163"/>
      <c r="L239" s="163"/>
      <c r="M239" s="163"/>
      <c r="N239" s="163"/>
      <c r="O239" s="163"/>
      <c r="P239" s="163"/>
      <c r="Q239" s="163"/>
      <c r="R239" s="163"/>
      <c r="S239" s="163"/>
      <c r="T239" s="163"/>
      <c r="U239" s="163"/>
      <c r="V239" s="163"/>
      <c r="W239" s="163"/>
      <c r="X239" s="163"/>
      <c r="Y239" s="163"/>
      <c r="Z239" s="163"/>
      <c r="AA239" s="163"/>
      <c r="AB239" s="163"/>
      <c r="AC239" s="163"/>
      <c r="AD239" s="163"/>
      <c r="AE239" s="163"/>
      <c r="AF239" s="163"/>
      <c r="AG239" s="163"/>
      <c r="AH239" s="163"/>
      <c r="AI239" s="163"/>
      <c r="AJ239" s="163"/>
      <c r="AK239" s="163"/>
      <c r="AL239" s="163"/>
      <c r="AM239" s="163"/>
      <c r="AN239" s="163"/>
      <c r="AO239" s="163"/>
      <c r="AP239" s="163"/>
      <c r="AR239" s="42">
        <f>AR238</f>
        <v>6</v>
      </c>
      <c r="AS239" s="42">
        <f t="shared" si="111"/>
        <v>14</v>
      </c>
      <c r="AU239" s="42">
        <f ca="1">AU238</f>
        <v>103</v>
      </c>
    </row>
    <row r="240" spans="1:47">
      <c r="A240" s="42" t="s">
        <v>310</v>
      </c>
      <c r="C240" s="440" t="str">
        <f ca="1">IF($A240="*","",OFFSET(ITEMS_UPS!$C$22,AR240,0))</f>
        <v/>
      </c>
    </row>
    <row r="241" spans="1:48">
      <c r="B241" s="440" t="str">
        <f t="shared" ref="B241:B246" si="112">IF(A241="*","",VLOOKUP("*#"&amp;AS241,$A$9:$B$24,2,FALSE))</f>
        <v>NCAP_AFA</v>
      </c>
      <c r="C241" s="440" t="str">
        <f ca="1">IF($A241="*","",OFFSET(ITEMS_UPS!$C$22,AR241,0))</f>
        <v>ULGTGRLFSRU-N</v>
      </c>
      <c r="D241" s="440" t="str">
        <f ca="1">IF($A241="*","",IF(VLOOKUP("*#"&amp;$AS241,$A$10:$I$24,D$9+1,FALSE)="-","-",OFFSET(UPS!$C$37,AU241+AV241,SUMIF($A$10:$A$20,"*#"&amp;AS241,$AT$10:$AT$20))))</f>
        <v>-</v>
      </c>
      <c r="E241" s="440" t="str">
        <f>IF($A241="*","",IF(VLOOKUP("*#"&amp;$AS241,$A$10:$I$24,E$9+1,FALSE)="-","-",C241&amp;"-"&amp;RIGHT(VLOOKUP("*#"&amp;$AS241,$A$10:$I$24,E$9+1,FALSE),1)))</f>
        <v>-</v>
      </c>
      <c r="F241" s="440" t="str">
        <f>IF($A241="*","",IF(VLOOKUP("*#"&amp;$AS241,$A$10:$I$24,F$9+1,FALSE)="-","-",C241&amp;"-"&amp;RIGHT(VLOOKUP("*#"&amp;$AS241,$A$10:$I$24,F$9+1,FALSE),1)))</f>
        <v>-</v>
      </c>
      <c r="G241" s="440" t="str">
        <f>IF($A241="*","",VLOOKUP("*#"&amp;$AS241,$A$10:$I$20,G$9+1,FALSE))</f>
        <v>ANNUAL</v>
      </c>
      <c r="H241" s="441" t="str">
        <f t="shared" ref="H241:H246" si="113">IF($A241="*","",VLOOKUP("*#"&amp;$AS241,$A$10:$I$24,H$9+1,FALSE))</f>
        <v>UP</v>
      </c>
      <c r="I241" s="441">
        <f>IF($A241="*","",VLOOKUP("*#"&amp;$AS241,$A$10:$I$20,I$9+1,FALSE))</f>
        <v>3</v>
      </c>
      <c r="J241" s="163">
        <f ca="1">IF($A241="*","",OFFSET(UPS!$C$37,AU241,SUMIF($A$10:$A$20,"*#"&amp;AS241,$AT$10:$AT$20)))</f>
        <v>0.9</v>
      </c>
      <c r="K241" s="163"/>
      <c r="AR241" s="42">
        <f>AR239+1</f>
        <v>7</v>
      </c>
      <c r="AS241" s="42">
        <f t="shared" ref="AS241:AS246" si="114">AS234</f>
        <v>2</v>
      </c>
      <c r="AU241" s="42">
        <f ca="1">SUMIF(UPS!B$38:B$171,C241,UPS!BD$38:BD$171)</f>
        <v>106</v>
      </c>
    </row>
    <row r="242" spans="1:48">
      <c r="B242" s="440" t="str">
        <f t="shared" si="112"/>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si="113"/>
        <v>LO</v>
      </c>
      <c r="I242" s="441">
        <f>IF($A242="*","",VLOOKUP("*#"&amp;$AS242,$A$10:$I$24,I$9+1,FALSE))</f>
        <v>3</v>
      </c>
      <c r="J242" s="163">
        <f ca="1">IF($A242="*","",OFFSET(UPS!$C$37,AU242,SUMIF($A$10:$A$24,"*#"&amp;AS242,$AT$10:$AT$24)))</f>
        <v>0.05</v>
      </c>
      <c r="K242" s="163"/>
      <c r="AR242" s="42">
        <f>AR241</f>
        <v>7</v>
      </c>
      <c r="AS242" s="42">
        <f t="shared" si="114"/>
        <v>3</v>
      </c>
      <c r="AU242" s="42">
        <f ca="1">SUMIF(UPS!B$38:B$171,C242,UPS!BD$38:BD$171)</f>
        <v>106</v>
      </c>
    </row>
    <row r="243" spans="1:48">
      <c r="B243" s="440" t="str">
        <f t="shared" si="112"/>
        <v>ACT_EFF</v>
      </c>
      <c r="C243" s="440" t="str">
        <f ca="1">IF($A243="*","",OFFSET(ITEMS_UPS!$C$22,AR243,0))</f>
        <v>ULGTGRLFSRU-N</v>
      </c>
      <c r="D243" s="440" t="str">
        <f ca="1">IF($A243="*","",IF(VLOOKUP("*#"&amp;$AS243,$A$10:$I$24,D$9+1,FALSE)="-","-",OFFSET(UPS!$C$37,AU243+AV243,SUMIF($A$10:$A$20,"*#"&amp;AS243,$AT$10:$AT$20))))</f>
        <v>-</v>
      </c>
      <c r="E243" s="440" t="s">
        <v>360</v>
      </c>
      <c r="F243" s="440" t="str">
        <f>IF($A243="*","",IF(VLOOKUP("*"&amp;$AS243,$A$10:$I$24,F$9+1,FALSE)="-","-",C243&amp;"-"&amp;RIGHT(VLOOKUP("*"&amp;$AS243,$A$10:$I$24,F$9+1,FALSE),1)))</f>
        <v>-</v>
      </c>
      <c r="G243" s="440" t="s">
        <v>337</v>
      </c>
      <c r="H243" s="441" t="str">
        <f t="shared" si="113"/>
        <v>-</v>
      </c>
      <c r="I243" s="441">
        <f>IF($A243="*","",VLOOKUP("*#"&amp;$AS243,$A$10:$I$24,I$9+1,FALSE))</f>
        <v>0</v>
      </c>
      <c r="J243" s="163">
        <f ca="1">IF($A243="*","",OFFSET(UPS!$C$37,AU243,SUMIF($A$10:$A$24,"*#"&amp;AS243,$AT$10:$AT$24)))</f>
        <v>0.95899999999999996</v>
      </c>
      <c r="K243" s="163"/>
      <c r="AR243" s="42">
        <f>AR242</f>
        <v>7</v>
      </c>
      <c r="AS243" s="42">
        <f t="shared" si="114"/>
        <v>15</v>
      </c>
      <c r="AU243" s="42">
        <f ca="1">AU241</f>
        <v>106</v>
      </c>
    </row>
    <row r="244" spans="1:48">
      <c r="B244" s="440" t="str">
        <f t="shared" si="112"/>
        <v>NCAP_COST</v>
      </c>
      <c r="C244" s="440" t="str">
        <f ca="1">IF($A244="*","",OFFSET(ITEMS_UPS!$C$22,AR244,0))</f>
        <v>ULGTGRLFSRU-N</v>
      </c>
      <c r="D244" s="440" t="str">
        <f ca="1">IF($A244="*","",IF(VLOOKUP("*#"&amp;$AS244,$A$10:$I$24,D$9+1,FALSE)="-","-",OFFSET(UPS!$C$37,AU244+AV244,SUMIF($A$10:$A$20,"*#"&amp;AS244,$AT$10:$AT$20))))</f>
        <v>-</v>
      </c>
      <c r="E244" s="440" t="str">
        <f>IF($A244="*","",IF(VLOOKUP("*"&amp;$AS244,$A$10:$I$23,E$9+1,FALSE)="-","-",C244&amp;"-"&amp;RIGHT(VLOOKUP("*"&amp;$AS244,$A$10:$I$23,E$9+1,FALSE),1)))</f>
        <v>-</v>
      </c>
      <c r="F244" s="440" t="str">
        <f>IF($A244="*","",IF(VLOOKUP("*"&amp;$AS244,$A$10:$I$24,F$9+1,FALSE)="-","-",C244&amp;"-"&amp;RIGHT(VLOOKUP("*"&amp;$AS244,$A$10:$I$24,F$9+1,FALSE),1)))</f>
        <v>-</v>
      </c>
      <c r="G244" s="440" t="str">
        <f>IF($A244="*","",VLOOKUP($B244,$B$10:$I$23,G$9,FALSE))</f>
        <v>-</v>
      </c>
      <c r="H244" s="441" t="str">
        <f t="shared" si="113"/>
        <v>-</v>
      </c>
      <c r="I244" s="441">
        <f>IF($A244="*","",VLOOKUP("*#"&amp;$AS244,$A$10:$I$24,I$9+1,FALSE))</f>
        <v>0</v>
      </c>
      <c r="J244" s="163">
        <f ca="1">IF($A244="*","",OFFSET(UPS!$C$37,AU244,SUMIF($A$10:$A$24,"*#"&amp;AS244,$AT$10:$AT$24)))</f>
        <v>92.820735398860336</v>
      </c>
      <c r="AR244" s="42">
        <f>AR243</f>
        <v>7</v>
      </c>
      <c r="AS244" s="42">
        <f t="shared" si="114"/>
        <v>12</v>
      </c>
      <c r="AU244" s="42">
        <f ca="1">AU243</f>
        <v>106</v>
      </c>
    </row>
    <row r="245" spans="1:48">
      <c r="B245" s="440" t="str">
        <f t="shared" si="112"/>
        <v>NCAP_TLIFE</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IF($A245="*","",IF(VLOOKUP("*"&amp;$AS245,$A$10:$I$23,F$9+1,FALSE)="-","-",C245&amp;"-"&amp;RIGHT(VLOOKUP("*"&amp;$AS245,$A$10:$I$23,F$9+1,FALSE),1)))</f>
        <v>-</v>
      </c>
      <c r="G245" s="440" t="str">
        <f>IF($A245="*","",VLOOKUP($B245,$B$10:$I$23,G$9,FALSE))</f>
        <v>-</v>
      </c>
      <c r="H245" s="441" t="str">
        <f t="shared" si="113"/>
        <v>-</v>
      </c>
      <c r="I245" s="441">
        <f>IF($A245="*","",VLOOKUP("*#"&amp;$AS245,$A$10:$I$24,I$9+1,FALSE))</f>
        <v>0</v>
      </c>
      <c r="J245" s="163">
        <f ca="1">IF($A245="*","",OFFSET(UPS!$C$37,AU245,SUMIF($A$10:$A$24,"*#"&amp;AS245,$AT$10:$AT$24)))</f>
        <v>15</v>
      </c>
      <c r="AR245" s="42">
        <f>AR244</f>
        <v>7</v>
      </c>
      <c r="AS245" s="42">
        <f t="shared" si="114"/>
        <v>13</v>
      </c>
      <c r="AU245" s="42">
        <f ca="1">AU244</f>
        <v>106</v>
      </c>
    </row>
    <row r="246" spans="1:48">
      <c r="B246" s="440" t="str">
        <f t="shared" si="112"/>
        <v>NCAP_ILED</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3"/>
        <v>-</v>
      </c>
      <c r="I246" s="441">
        <f>IF($A246="*","",VLOOKUP("*#"&amp;$AS246,$A$10:$I$24,I$9+1,FALSE))</f>
        <v>0</v>
      </c>
      <c r="J246" s="163">
        <f ca="1">IF($A246="*","",OFFSET(UPS!$C$37,AU246,SUMIF($A$10:$A$24,"*#"&amp;AS246,$AT$10:$AT$24)))</f>
        <v>-2</v>
      </c>
      <c r="K246" s="163"/>
      <c r="L246" s="163"/>
      <c r="M246" s="163"/>
      <c r="N246" s="163"/>
      <c r="O246" s="163"/>
      <c r="P246" s="163"/>
      <c r="Q246" s="163"/>
      <c r="R246" s="163"/>
      <c r="S246" s="163"/>
      <c r="T246" s="163"/>
      <c r="U246" s="163"/>
      <c r="V246" s="163"/>
      <c r="W246" s="163"/>
      <c r="X246" s="163"/>
      <c r="Y246" s="163"/>
      <c r="Z246" s="163"/>
      <c r="AA246" s="163"/>
      <c r="AB246" s="163"/>
      <c r="AC246" s="163"/>
      <c r="AD246" s="163"/>
      <c r="AE246" s="163"/>
      <c r="AF246" s="163"/>
      <c r="AG246" s="163"/>
      <c r="AH246" s="163"/>
      <c r="AI246" s="163"/>
      <c r="AJ246" s="163"/>
      <c r="AK246" s="163"/>
      <c r="AL246" s="163"/>
      <c r="AM246" s="163"/>
      <c r="AN246" s="163"/>
      <c r="AO246" s="163"/>
      <c r="AP246" s="163"/>
      <c r="AR246" s="42">
        <f>AR245</f>
        <v>7</v>
      </c>
      <c r="AS246" s="42">
        <f t="shared" si="114"/>
        <v>14</v>
      </c>
      <c r="AU246" s="42">
        <f ca="1">AU245</f>
        <v>106</v>
      </c>
    </row>
    <row r="247" spans="1:48">
      <c r="A247" s="42" t="s">
        <v>310</v>
      </c>
      <c r="B247" s="440"/>
      <c r="C247" s="440"/>
      <c r="D247" s="440"/>
      <c r="E247" s="440"/>
      <c r="F247" s="440"/>
      <c r="G247" s="440"/>
      <c r="H247" s="441"/>
      <c r="I247" s="441"/>
      <c r="J247" s="163"/>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row>
    <row r="248" spans="1:48">
      <c r="A248" s="42" t="s">
        <v>310</v>
      </c>
      <c r="B248" s="438" t="s">
        <v>1392</v>
      </c>
    </row>
    <row r="249" spans="1:48">
      <c r="B249" s="440" t="str">
        <f t="shared" ref="B249:B263" si="115">IF(A249="*","",VLOOKUP("*#"&amp;AS249,$A$9:$B$24,2,FALSE))</f>
        <v>ACT_COST</v>
      </c>
      <c r="C249" s="440" t="str">
        <f ca="1">IF($A249="*","",OFFSET(ITEMS_UPS!$C$8,AR249,0))</f>
        <v>USMRGASHGN</v>
      </c>
      <c r="D249" s="440" t="str">
        <f ca="1">IF($A249="*","",IF(VLOOKUP("*#"&amp;$AS249,$A$10:$I$24,D$9+1,FALSE)="-","-",OFFSET(UPS!$C$37,AU249+AV249,SUMIF($A$10:$A$20,"*#"&amp;AS249,$AT$10:$AT$20))))</f>
        <v>-</v>
      </c>
      <c r="E249" s="440" t="str">
        <f t="shared" ref="E249:E263" si="116">IF($A249="*","",IF(VLOOKUP("*#"&amp;$AS249,$A$10:$I$24,E$9+1,FALSE)="-","-",C249&amp;"-"&amp;RIGHT(VLOOKUP("*#"&amp;$AS249,$A$10:$I$24,E$9+1,FALSE),1)))</f>
        <v>-</v>
      </c>
      <c r="F249" s="440" t="str">
        <f t="shared" ref="F249:F263" si="117">IF($A249="*","",IF(VLOOKUP("*#"&amp;$AS249,$A$10:$I$24,F$9+1,FALSE)="-","-",C249&amp;"-"&amp;RIGHT(VLOOKUP("*#"&amp;$AS249,$A$10:$I$24,F$9+1,FALSE),1)))</f>
        <v>-</v>
      </c>
      <c r="G249" s="440" t="str">
        <f t="shared" ref="G249:G260" si="118">IF($A249="*","",VLOOKUP("*#"&amp;$AS249,$A$10:$I$20,G$9+1,FALSE))</f>
        <v>-</v>
      </c>
      <c r="H249" s="441" t="str">
        <f t="shared" ref="H249:H263" si="119">IF($A249="*","",VLOOKUP("*#"&amp;$AS249,$A$10:$I$24,H$9+1,FALSE))</f>
        <v>-</v>
      </c>
      <c r="I249" s="441">
        <f t="shared" ref="I249:I260" si="120">IF($A249="*","",VLOOKUP("*#"&amp;$AS249,$A$10:$I$20,I$9+1,FALSE))</f>
        <v>0</v>
      </c>
      <c r="J249" s="163">
        <f ca="1">IF($A249="*","",OFFSET(UPS!$C$37,AU249,SUMIF($A$10:$A$20,"*#"&amp;AS249,$AT$10:$AT$20)))</f>
        <v>0</v>
      </c>
      <c r="K249" s="163"/>
      <c r="AR249" s="42">
        <f>ROW(ITEMS_UPS!C31)-ROW(ITEMS_UPS!C8)</f>
        <v>23</v>
      </c>
      <c r="AS249" s="42">
        <v>1</v>
      </c>
      <c r="AU249" s="42">
        <f ca="1">SUMIF(UPS!B$38:B$171,C249,UPS!BD$38:BD$171)</f>
        <v>110</v>
      </c>
    </row>
    <row r="250" spans="1:48">
      <c r="B250" s="440" t="str">
        <f t="shared" si="115"/>
        <v>NCAP_AFA</v>
      </c>
      <c r="C250" s="440" t="str">
        <f ca="1">IF($A250="*","",OFFSET(ITEMS_UPS!$C$8,AR250,0))</f>
        <v>USMRGASHGN</v>
      </c>
      <c r="D250" s="440" t="str">
        <f ca="1">IF($A250="*","",IF(VLOOKUP("*#"&amp;$AS250,$A$10:$I$24,D$9+1,FALSE)="-","-",OFFSET(UPS!$C$37,AU250+AV250,SUMIF($A$10:$A$20,"*#"&amp;AS250,$AT$10:$AT$20))))</f>
        <v>-</v>
      </c>
      <c r="E250" s="440" t="str">
        <f t="shared" si="116"/>
        <v>-</v>
      </c>
      <c r="F250" s="440" t="str">
        <f t="shared" si="117"/>
        <v>-</v>
      </c>
      <c r="G250" s="440" t="str">
        <f t="shared" si="118"/>
        <v>ANNUAL</v>
      </c>
      <c r="H250" s="441" t="str">
        <f t="shared" si="119"/>
        <v>UP</v>
      </c>
      <c r="I250" s="441">
        <f t="shared" si="120"/>
        <v>3</v>
      </c>
      <c r="J250" s="163">
        <f ca="1">IF($A250="*","",OFFSET(UPS!$C$37,AU250,SUMIF($A$10:$A$20,"*#"&amp;AS250,$AT$10:$AT$20)))</f>
        <v>0.9</v>
      </c>
      <c r="K250" s="163"/>
      <c r="AR250" s="42">
        <f t="shared" ref="AR250:AR258" si="121">AR249</f>
        <v>23</v>
      </c>
      <c r="AS250" s="42">
        <f t="shared" ref="AS250:AS255" si="122">IF(AR250=AR249,AS249+1,1)</f>
        <v>2</v>
      </c>
      <c r="AU250" s="42">
        <f ca="1">SUMIF(UPS!B$38:B$171,C250,UPS!BD$38:BD$171)</f>
        <v>110</v>
      </c>
    </row>
    <row r="251" spans="1:48">
      <c r="B251" s="440" t="str">
        <f t="shared" si="115"/>
        <v>NCAP_AFA</v>
      </c>
      <c r="C251" s="440" t="str">
        <f ca="1">IF($A251="*","",OFFSET(ITEMS_UPS!$C$8,AR251,0))</f>
        <v>USMRGASHGN</v>
      </c>
      <c r="D251" s="440" t="str">
        <f ca="1">IF($A251="*","",IF(VLOOKUP("*#"&amp;$AS251,$A$10:$I$24,D$9+1,FALSE)="-","-",OFFSET(UPS!$C$37,AU251+AV251,SUMIF($A$10:$A$20,"*#"&amp;AS251,$AT$10:$AT$20))))</f>
        <v>-</v>
      </c>
      <c r="E251" s="440" t="str">
        <f t="shared" si="116"/>
        <v>-</v>
      </c>
      <c r="F251" s="440" t="str">
        <f t="shared" si="117"/>
        <v>-</v>
      </c>
      <c r="G251" s="440" t="str">
        <f t="shared" si="118"/>
        <v>ANNUAL</v>
      </c>
      <c r="H251" s="441" t="str">
        <f t="shared" si="119"/>
        <v>LO</v>
      </c>
      <c r="I251" s="441">
        <f t="shared" si="120"/>
        <v>3</v>
      </c>
      <c r="J251" s="163" t="str">
        <f ca="1">IF($A251="*","",OFFSET(UPS!$C$37,AU251,SUMIF($A$10:$A$20,"*#"&amp;AS251,$AT$10:$AT$20)))</f>
        <v/>
      </c>
      <c r="K251" s="163"/>
      <c r="AR251" s="42">
        <f t="shared" si="121"/>
        <v>23</v>
      </c>
      <c r="AS251" s="42">
        <f t="shared" si="122"/>
        <v>3</v>
      </c>
      <c r="AU251" s="42">
        <f ca="1">SUMIF(UPS!B$38:B$171,C251,UPS!BD$38:BD$171)</f>
        <v>110</v>
      </c>
    </row>
    <row r="252" spans="1:48">
      <c r="B252" s="440" t="str">
        <f t="shared" si="115"/>
        <v>NCAP_FOM</v>
      </c>
      <c r="C252" s="440" t="str">
        <f ca="1">IF($A252="*","",OFFSET(ITEMS_UPS!$C$8,AR252,0))</f>
        <v>USMRGASHGN</v>
      </c>
      <c r="D252" s="440" t="str">
        <f ca="1">IF($A252="*","",IF(VLOOKUP("*#"&amp;$AS252,$A$10:$I$24,D$9+1,FALSE)="-","-",OFFSET(UPS!$C$37,AU252+AV252,SUMIF($A$10:$A$20,"*#"&amp;AS252,$AT$10:$AT$20))))</f>
        <v>-</v>
      </c>
      <c r="E252" s="440" t="str">
        <f t="shared" si="116"/>
        <v>-</v>
      </c>
      <c r="F252" s="440" t="str">
        <f t="shared" si="117"/>
        <v>-</v>
      </c>
      <c r="G252" s="440" t="str">
        <f t="shared" si="118"/>
        <v>-</v>
      </c>
      <c r="H252" s="441" t="str">
        <f t="shared" si="119"/>
        <v>-</v>
      </c>
      <c r="I252" s="441">
        <f t="shared" si="120"/>
        <v>0</v>
      </c>
      <c r="J252" s="163">
        <f ca="1">IF($A252="*","",OFFSET(UPS!$C$37,AU252,SUMIF($A$10:$A$20,"*#"&amp;AS252,$AT$10:$AT$20)))</f>
        <v>5.6165845756230484</v>
      </c>
      <c r="K252" s="163"/>
      <c r="AR252" s="42">
        <f t="shared" si="121"/>
        <v>23</v>
      </c>
      <c r="AS252" s="42">
        <f t="shared" si="122"/>
        <v>4</v>
      </c>
      <c r="AU252" s="42">
        <f ca="1">SUMIF(UPS!B$38:B$171,C252,UPS!BD$38:BD$171)</f>
        <v>110</v>
      </c>
    </row>
    <row r="253" spans="1:48">
      <c r="B253" s="440" t="str">
        <f t="shared" si="115"/>
        <v>NCAP_BND</v>
      </c>
      <c r="C253" s="440" t="str">
        <f ca="1">IF($A253="*","",OFFSET(ITEMS_UPS!$C$8,AR253,0))</f>
        <v>USMRGASHGN</v>
      </c>
      <c r="D253" s="440" t="str">
        <f ca="1">IF($A253="*","",IF(VLOOKUP("*#"&amp;$AS253,$A$10:$I$24,D$9+1,FALSE)="-","-",OFFSET(UPS!$C$37,AU253+AV253,SUMIF($A$10:$A$20,"*#"&amp;AS253,$AT$10:$AT$20))))</f>
        <v>-</v>
      </c>
      <c r="E253" s="440" t="str">
        <f t="shared" si="116"/>
        <v>-</v>
      </c>
      <c r="F253" s="440" t="str">
        <f t="shared" si="117"/>
        <v>-</v>
      </c>
      <c r="G253" s="440" t="str">
        <f t="shared" si="118"/>
        <v>-</v>
      </c>
      <c r="H253" s="441" t="str">
        <f t="shared" si="119"/>
        <v>UP</v>
      </c>
      <c r="I253" s="441">
        <f t="shared" si="120"/>
        <v>3</v>
      </c>
      <c r="J253" s="163" t="str">
        <f ca="1">IF($A253="*","",OFFSET(UPS!$C$37,AU253,SUMIF($A$10:$A$20,"*#"&amp;AS253,$AT$10:$AT$20)))</f>
        <v/>
      </c>
      <c r="K253" s="163"/>
      <c r="M253" s="872"/>
      <c r="AR253" s="42">
        <f>AR251</f>
        <v>23</v>
      </c>
      <c r="AS253" s="42">
        <f t="shared" si="122"/>
        <v>5</v>
      </c>
      <c r="AU253" s="42">
        <f ca="1">SUMIF(UPS!B$38:B$171,C253,UPS!BD$38:BD$171)</f>
        <v>110</v>
      </c>
    </row>
    <row r="254" spans="1:48">
      <c r="B254" s="440" t="str">
        <f t="shared" si="115"/>
        <v>FLO_FUNC</v>
      </c>
      <c r="C254" s="440" t="str">
        <f ca="1">IF($A254="*","",OFFSET(ITEMS_UPS!$C$8,AR254,0))</f>
        <v>USMRGASHGN</v>
      </c>
      <c r="D254" s="440" t="str">
        <f ca="1">IF($A254="*","",IF(VLOOKUP("*#"&amp;$AS254,$A$10:$I$24,D$9+1,FALSE)="-","-",OFFSET(UPS!$C$37,AU254+AV254,SUMIF($A$10:$A$20,"*#"&amp;AS254,$AT$10:$AT$20))))</f>
        <v>-</v>
      </c>
      <c r="E254" s="440" t="str">
        <f t="shared" ca="1" si="116"/>
        <v>USMRGASHGN-I</v>
      </c>
      <c r="F254" s="440" t="str">
        <f t="shared" ca="1" si="117"/>
        <v>USMRGASHGN-O</v>
      </c>
      <c r="G254" s="440" t="str">
        <f t="shared" si="118"/>
        <v>ANNUAL</v>
      </c>
      <c r="H254" s="441" t="str">
        <f t="shared" si="119"/>
        <v>-</v>
      </c>
      <c r="I254" s="441">
        <f t="shared" si="120"/>
        <v>0</v>
      </c>
      <c r="J254" s="163">
        <f ca="1">IF($A254="*","",OFFSET(UPS!$C$37,AU254,SUMIF($A$10:$A$20,"*#"&amp;AS254,$AT$10:$AT$20)))</f>
        <v>0.8</v>
      </c>
      <c r="K254" s="163"/>
      <c r="AR254" s="42">
        <f t="shared" si="121"/>
        <v>23</v>
      </c>
      <c r="AS254" s="42">
        <f t="shared" si="122"/>
        <v>6</v>
      </c>
      <c r="AU254" s="42">
        <f ca="1">SUMIF(UPS!B$38:B$171,C254,UPS!BD$38:BD$171)</f>
        <v>110</v>
      </c>
    </row>
    <row r="255" spans="1:48">
      <c r="B255" s="440" t="str">
        <f t="shared" si="115"/>
        <v>FLO_SHAR</v>
      </c>
      <c r="C255" s="440" t="str">
        <f ca="1">IF($A255="*","",OFFSET(ITEMS_UPS!$C$8,AR255,0))</f>
        <v>USMRGASHGN</v>
      </c>
      <c r="D255" s="440" t="str">
        <f ca="1">IF($A255="*","",IF(VLOOKUP("*#"&amp;$AS255,$A$10:$I$24,D$9+1,FALSE)="-","-",OFFSET(UPS!$C$37,AU255+AV255,SUMIF($A$10:$A$20,"*#"&amp;AS255,$AT$10:$AT$20))))</f>
        <v>UPSGAS</v>
      </c>
      <c r="E255" s="440" t="str">
        <f t="shared" ca="1" si="116"/>
        <v>USMRGASHGN-I</v>
      </c>
      <c r="F255" s="440" t="str">
        <f t="shared" si="117"/>
        <v>-</v>
      </c>
      <c r="G255" s="440" t="str">
        <f t="shared" si="118"/>
        <v>ANNUAL</v>
      </c>
      <c r="H255" s="441" t="str">
        <f t="shared" si="119"/>
        <v>FX</v>
      </c>
      <c r="I255" s="441">
        <f t="shared" si="120"/>
        <v>3</v>
      </c>
      <c r="J255" s="163">
        <f ca="1">IF($A255="*","",OFFSET(UPS!$C$37,AU255+AV255,SUMIF($A$10:$A$20,"*#"&amp;AS255,$AV$10:$AV$20)))</f>
        <v>0.93659535804320382</v>
      </c>
      <c r="K255" s="163"/>
      <c r="AR255" s="42">
        <f t="shared" si="121"/>
        <v>23</v>
      </c>
      <c r="AS255" s="42">
        <f t="shared" si="122"/>
        <v>7</v>
      </c>
      <c r="AU255" s="42">
        <f ca="1">SUMIF(UPS!B$38:B$171,C255,UPS!BD$38:BD$171)</f>
        <v>110</v>
      </c>
      <c r="AV255" s="42">
        <v>0</v>
      </c>
    </row>
    <row r="256" spans="1:48">
      <c r="B256" s="440" t="str">
        <f t="shared" si="115"/>
        <v>FLO_SHAR</v>
      </c>
      <c r="C256" s="440" t="str">
        <f ca="1">IF($A256="*","",OFFSET(ITEMS_UPS!$C$8,AR256,0))</f>
        <v>USMRGASHGN</v>
      </c>
      <c r="D256" s="440" t="str">
        <f ca="1">IF($A256="*","",IF(VLOOKUP("*#"&amp;$AS256,$A$10:$I$24,D$9+1,FALSE)="-","-",OFFSET(UPS!$C$37,AU256+AV256,SUMIF($A$10:$A$20,"*#"&amp;AS256,$AT$10:$AT$20))))</f>
        <v>UPSHEN</v>
      </c>
      <c r="E256" s="440" t="str">
        <f t="shared" ca="1" si="116"/>
        <v>USMRGASHGN-I</v>
      </c>
      <c r="F256" s="440" t="str">
        <f t="shared" si="117"/>
        <v>-</v>
      </c>
      <c r="G256" s="440" t="str">
        <f t="shared" si="118"/>
        <v>ANNUAL</v>
      </c>
      <c r="H256" s="441" t="str">
        <f t="shared" si="119"/>
        <v>FX</v>
      </c>
      <c r="I256" s="441">
        <f t="shared" si="120"/>
        <v>3</v>
      </c>
      <c r="J256" s="163">
        <f ca="1">IF($A256="*","",OFFSET(UPS!$C$37,AU256+AV256,SUMIF($A$10:$A$20,"*#"&amp;AS256,$AV$10:$AV$20)))</f>
        <v>0</v>
      </c>
      <c r="K256" s="163"/>
      <c r="AR256" s="42">
        <f t="shared" si="121"/>
        <v>23</v>
      </c>
      <c r="AS256" s="42">
        <f>AS255</f>
        <v>7</v>
      </c>
      <c r="AU256" s="42">
        <f ca="1">SUMIF(UPS!B$38:B$171,C256,UPS!BD$38:BD$171)</f>
        <v>110</v>
      </c>
      <c r="AV256" s="42">
        <f>AV255+1</f>
        <v>1</v>
      </c>
    </row>
    <row r="257" spans="1:48">
      <c r="B257" s="440" t="str">
        <f t="shared" si="115"/>
        <v>FLO_SHAR</v>
      </c>
      <c r="C257" s="440" t="str">
        <f ca="1">IF($A257="*","",OFFSET(ITEMS_UPS!$C$8,AR257,0))</f>
        <v>USMRGASHGN</v>
      </c>
      <c r="D257" s="440" t="str">
        <f ca="1">IF($A257="*","",IF(VLOOKUP("*#"&amp;$AS257,$A$10:$I$24,D$9+1,FALSE)="-","-",OFFSET(UPS!$C$37,AU257+AV257,SUMIF($A$10:$A$20,"*#"&amp;AS257,$AT$10:$AT$20))))</f>
        <v>UPSELC</v>
      </c>
      <c r="E257" s="440" t="str">
        <f t="shared" ca="1" si="116"/>
        <v>USMRGASHGN-I</v>
      </c>
      <c r="F257" s="440" t="str">
        <f t="shared" si="117"/>
        <v>-</v>
      </c>
      <c r="G257" s="440" t="str">
        <f t="shared" si="118"/>
        <v>ANNUAL</v>
      </c>
      <c r="H257" s="441" t="str">
        <f t="shared" si="119"/>
        <v>FX</v>
      </c>
      <c r="I257" s="441">
        <f t="shared" si="120"/>
        <v>3</v>
      </c>
      <c r="J257" s="163">
        <f ca="1">IF($A257="*","",OFFSET(UPS!$C$37,AU257+AV257,SUMIF($A$10:$A$20,"*#"&amp;AS257,$AV$10:$AV$20)))</f>
        <v>6.3404641956796237E-2</v>
      </c>
      <c r="K257" s="163"/>
      <c r="AR257" s="42">
        <f t="shared" si="121"/>
        <v>23</v>
      </c>
      <c r="AS257" s="42">
        <v>7</v>
      </c>
      <c r="AU257" s="42">
        <f ca="1">SUMIF(UPS!B$38:B$171,C257,UPS!BD$38:BD$171)</f>
        <v>110</v>
      </c>
      <c r="AV257" s="42">
        <f>AV256+1</f>
        <v>2</v>
      </c>
    </row>
    <row r="258" spans="1:48">
      <c r="B258" s="440" t="str">
        <f t="shared" si="115"/>
        <v>FLO_SHAR</v>
      </c>
      <c r="C258" s="440" t="str">
        <f ca="1">IF($A258="*","",OFFSET(ITEMS_UPS!$C$8,AR258,0))</f>
        <v>USMRGASHGN</v>
      </c>
      <c r="D258" s="440" t="str">
        <f ca="1">IF($A258="*","",IF(VLOOKUP("*#"&amp;$AS258,$A$10:$I$24,D$9+1,FALSE)="-","-",OFFSET(UPS!$C$37,AU258+AV258,SUMIF($A$10:$A$20,"*#"&amp;AS258,$AT$10:$AT$20))))</f>
        <v>UPSHGN</v>
      </c>
      <c r="E258" s="440" t="str">
        <f t="shared" ca="1" si="116"/>
        <v>USMRGASHGN-O</v>
      </c>
      <c r="F258" s="440" t="str">
        <f t="shared" si="117"/>
        <v>-</v>
      </c>
      <c r="G258" s="440" t="str">
        <f t="shared" si="118"/>
        <v>ANNUAL</v>
      </c>
      <c r="H258" s="441" t="str">
        <f t="shared" si="119"/>
        <v>UP</v>
      </c>
      <c r="I258" s="441">
        <f t="shared" si="120"/>
        <v>3</v>
      </c>
      <c r="J258" s="163">
        <f ca="1">IF($A258="*","",OFFSET(UPS!$C$37,AU258+AV258,SUMIF($A$10:$A$20,"*#"&amp;AS258,$AV$10:$AV$20)))</f>
        <v>1</v>
      </c>
      <c r="K258" s="163"/>
      <c r="AR258" s="42">
        <f t="shared" si="121"/>
        <v>23</v>
      </c>
      <c r="AS258" s="42">
        <v>8</v>
      </c>
      <c r="AU258" s="42">
        <f ca="1">SUMIF(UPS!B$38:B$171,C258,UPS!BD$38:BD$171)</f>
        <v>110</v>
      </c>
      <c r="AV258" s="42">
        <f>AV257+1</f>
        <v>3</v>
      </c>
    </row>
    <row r="259" spans="1:48">
      <c r="B259" s="440" t="str">
        <f t="shared" si="115"/>
        <v>FLO_EMIS</v>
      </c>
      <c r="C259" s="440" t="str">
        <f ca="1">IF($A259="*","",OFFSET(ITEMS_UPS!$C$8,AR259,0))</f>
        <v>USMRGASHGN</v>
      </c>
      <c r="D259" s="440" t="str">
        <f>$D$18</f>
        <v>UPSCO2S</v>
      </c>
      <c r="E259" s="440" t="str">
        <f t="shared" ca="1" si="116"/>
        <v>USMRGASHGN-O</v>
      </c>
      <c r="F259" s="440" t="str">
        <f t="shared" si="117"/>
        <v>-</v>
      </c>
      <c r="G259" s="440" t="str">
        <f t="shared" si="118"/>
        <v>ANNUAL</v>
      </c>
      <c r="H259" s="441" t="str">
        <f t="shared" si="119"/>
        <v>-</v>
      </c>
      <c r="I259" s="441">
        <f t="shared" si="120"/>
        <v>0</v>
      </c>
      <c r="J259" s="163">
        <f ca="1">IF($A259="*","",OFFSET(UPS!$C$37,AU259,SUMIF($A$10:$A$20,"*#"&amp;AS259,$AT$10:$AT$20)))</f>
        <v>88.593333333333334</v>
      </c>
      <c r="K259" s="163"/>
      <c r="AR259" s="42">
        <f>AR258</f>
        <v>23</v>
      </c>
      <c r="AS259" s="42">
        <f>AS258+1</f>
        <v>9</v>
      </c>
      <c r="AU259" s="42">
        <f ca="1">SUMIF(UPS!B$38:B$171,C259,UPS!BD$38:BD$171)</f>
        <v>110</v>
      </c>
      <c r="AV259" s="42">
        <f t="shared" ref="AV259:AV260" si="123">AV258+1</f>
        <v>4</v>
      </c>
    </row>
    <row r="260" spans="1:48">
      <c r="B260" s="440" t="str">
        <f t="shared" si="115"/>
        <v>FLO_EMIS</v>
      </c>
      <c r="C260" s="440" t="str">
        <f ca="1">IF($A260="*","",OFFSET(ITEMS_UPS!$C$8,AR260,0))</f>
        <v>USMRGASHGN</v>
      </c>
      <c r="D260" s="440" t="str">
        <f>$D$19</f>
        <v>UPSCH4S</v>
      </c>
      <c r="E260" s="440" t="str">
        <f t="shared" ca="1" si="116"/>
        <v>USMRGASHGN-O</v>
      </c>
      <c r="F260" s="440" t="str">
        <f t="shared" si="117"/>
        <v>-</v>
      </c>
      <c r="G260" s="440" t="str">
        <f t="shared" si="118"/>
        <v>ANNUAL</v>
      </c>
      <c r="H260" s="441" t="str">
        <f t="shared" si="119"/>
        <v>-</v>
      </c>
      <c r="I260" s="441">
        <f t="shared" si="120"/>
        <v>0</v>
      </c>
      <c r="J260" s="163">
        <f ca="1">IF($A260="*","",OFFSET(UPS!$C$37,AU260,SUMIF($A$10:$A$20,"*#"&amp;AS260,$AT$10:$AT$20)))</f>
        <v>1.2177777777777774</v>
      </c>
      <c r="K260" s="163"/>
      <c r="AR260" s="42">
        <f>AR259</f>
        <v>23</v>
      </c>
      <c r="AS260" s="42">
        <f>AS259+1</f>
        <v>10</v>
      </c>
      <c r="AU260" s="42">
        <f ca="1">SUMIF(UPS!B$38:B$171,C260,UPS!BD$38:BD$171)</f>
        <v>110</v>
      </c>
      <c r="AV260" s="42">
        <f t="shared" si="123"/>
        <v>5</v>
      </c>
    </row>
    <row r="261" spans="1:48">
      <c r="B261" s="440" t="str">
        <f t="shared" si="115"/>
        <v>NCAP_COST</v>
      </c>
      <c r="C261" s="440" t="str">
        <f ca="1">IF($A261="*","",OFFSET(ITEMS_UPS!$C$8,AR261,0))</f>
        <v>USMRGASHGN</v>
      </c>
      <c r="D261" s="440" t="str">
        <f ca="1">IF($A261="*","",IF(VLOOKUP("*#"&amp;$AS261,$A$10:$I$24,D$9+1,FALSE)="-","-",OFFSET(UPS!$C$37,AU261+AV261,SUMIF($A$10:$A$20,"*#"&amp;AS261,$AT$10:$AT$20))))</f>
        <v>-</v>
      </c>
      <c r="E261" s="440" t="str">
        <f t="shared" si="116"/>
        <v>-</v>
      </c>
      <c r="F261" s="440" t="str">
        <f t="shared" si="117"/>
        <v>-</v>
      </c>
      <c r="G261" s="440" t="str">
        <f>IF($A261="*","",VLOOKUP("*#"&amp;$AS261,$A$10:$I$24,G$9+1,FALSE))</f>
        <v>-</v>
      </c>
      <c r="H261" s="441" t="str">
        <f t="shared" si="119"/>
        <v>-</v>
      </c>
      <c r="I261" s="441">
        <f>IF($A261="*","",VLOOKUP("*#"&amp;$AS261,$A$10:$I$24,I$9+1,FALSE))</f>
        <v>0</v>
      </c>
      <c r="J261" s="163">
        <f ca="1">IF($A261="*","",OFFSET(UPS!$C$37,AU261,SUMIF($A$10:$A$24,"*#"&amp;AS261,$AT$10:$AT$24)))</f>
        <v>128.68199999999999</v>
      </c>
      <c r="K261" s="163"/>
      <c r="L261" s="163"/>
      <c r="M261" s="163"/>
      <c r="N261" s="163"/>
      <c r="O261" s="163"/>
      <c r="P261" s="163"/>
      <c r="Q261" s="163"/>
      <c r="R261" s="163"/>
      <c r="S261" s="163"/>
      <c r="T261" s="163"/>
      <c r="U261" s="163"/>
      <c r="V261" s="163"/>
      <c r="W261" s="163"/>
      <c r="X261" s="163"/>
      <c r="Y261" s="163"/>
      <c r="Z261" s="163"/>
      <c r="AA261" s="163"/>
      <c r="AB261" s="163"/>
      <c r="AC261" s="163"/>
      <c r="AD261" s="163"/>
      <c r="AE261" s="163"/>
      <c r="AF261" s="163"/>
      <c r="AG261" s="163"/>
      <c r="AH261" s="163"/>
      <c r="AI261" s="163"/>
      <c r="AJ261" s="163"/>
      <c r="AK261" s="163"/>
      <c r="AL261" s="163"/>
      <c r="AM261" s="163"/>
      <c r="AN261" s="163"/>
      <c r="AO261" s="163"/>
      <c r="AP261" s="163"/>
      <c r="AR261" s="42">
        <f>AR260</f>
        <v>23</v>
      </c>
      <c r="AS261" s="42">
        <f>AS260+2</f>
        <v>12</v>
      </c>
      <c r="AU261" s="42">
        <f ca="1">SUMIF(UPS!B$38:B$171,C261,UPS!BD$38:BD$171)</f>
        <v>110</v>
      </c>
    </row>
    <row r="262" spans="1:48">
      <c r="B262" s="440" t="str">
        <f t="shared" si="115"/>
        <v>NCAP_TLIFE</v>
      </c>
      <c r="C262" s="440" t="str">
        <f ca="1">IF($A262="*","",OFFSET(ITEMS_UPS!$C$8,AR262,0))</f>
        <v>USMRGASHGN</v>
      </c>
      <c r="D262" s="440" t="str">
        <f ca="1">IF($A262="*","",IF(VLOOKUP("*#"&amp;$AS262,$A$10:$I$24,D$9+1,FALSE)="-","-",OFFSET(UPS!$C$37,AU262+AV262,SUMIF($A$10:$A$20,"*#"&amp;AS262,$AT$10:$AT$20))))</f>
        <v>-</v>
      </c>
      <c r="E262" s="440" t="str">
        <f t="shared" si="116"/>
        <v>-</v>
      </c>
      <c r="F262" s="440" t="str">
        <f t="shared" si="117"/>
        <v>-</v>
      </c>
      <c r="G262" s="440" t="str">
        <f>IF($A262="*","",VLOOKUP("*#"&amp;$AS262,$A$10:$I$24,G$9+1,FALSE))</f>
        <v>-</v>
      </c>
      <c r="H262" s="441" t="str">
        <f t="shared" si="119"/>
        <v>-</v>
      </c>
      <c r="I262" s="441">
        <f>IF($A262="*","",VLOOKUP("*#"&amp;$AS262,$A$10:$I$24,I$9+1,FALSE))</f>
        <v>0</v>
      </c>
      <c r="J262" s="163">
        <f ca="1">IF($A262="*","",OFFSET(UPS!$C$37,AU262,SUMIF($A$10:$A$24,"*#"&amp;AS262,$AT$10:$AT$24)))</f>
        <v>40</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AS261+1</f>
        <v>13</v>
      </c>
      <c r="AU262" s="42">
        <f ca="1">SUMIF(UPS!B$38:B$171,C262,UPS!BD$38:BD$171)</f>
        <v>110</v>
      </c>
    </row>
    <row r="263" spans="1:48">
      <c r="B263" s="440" t="str">
        <f t="shared" si="115"/>
        <v>NCAP_ILED</v>
      </c>
      <c r="C263" s="440" t="str">
        <f ca="1">IF($A263="*","",OFFSET(ITEMS_UPS!$C$8,AR263,0))</f>
        <v>USMRGASHGN</v>
      </c>
      <c r="D263" s="440" t="str">
        <f ca="1">IF($A263="*","",IF(VLOOKUP("*#"&amp;$AS263,$A$10:$I$24,D$9+1,FALSE)="-","-",OFFSET(UPS!$C$37,AU263+AV263,SUMIF($A$10:$A$20,"*#"&amp;AS263,$AT$10:$AT$20))))</f>
        <v>-</v>
      </c>
      <c r="E263" s="440" t="str">
        <f t="shared" si="116"/>
        <v>-</v>
      </c>
      <c r="F263" s="440" t="str">
        <f t="shared" si="117"/>
        <v>-</v>
      </c>
      <c r="G263" s="440" t="str">
        <f>IF($A263="*","",VLOOKUP("*#"&amp;$AS263,$A$10:$I$24,G$9+1,FALSE))</f>
        <v>-</v>
      </c>
      <c r="H263" s="441" t="str">
        <f t="shared" si="119"/>
        <v>-</v>
      </c>
      <c r="I263" s="441">
        <f>IF($A263="*","",VLOOKUP("*#"&amp;$AS263,$A$10:$I$24,I$9+1,FALSE))</f>
        <v>0</v>
      </c>
      <c r="J263" s="163">
        <f ca="1">IF($A263="*","",OFFSET(UPS!$C$37,AU263,SUMIF($A$10:$A$24,"*#"&amp;AS263,$AT$10:$AT$24)))</f>
        <v>-4</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AR261</f>
        <v>23</v>
      </c>
      <c r="AS263" s="42">
        <f>AS262+1</f>
        <v>14</v>
      </c>
      <c r="AU263" s="42">
        <f ca="1">SUMIF(UPS!B$38:B$171,C263,UPS!BD$38:BD$171)</f>
        <v>110</v>
      </c>
    </row>
    <row r="264" spans="1:48">
      <c r="A264" s="42" t="s">
        <v>310</v>
      </c>
    </row>
    <row r="265" spans="1:48">
      <c r="B265" s="440" t="str">
        <f t="shared" ref="B265:B279" si="124">IF(A265="*","",VLOOKUP("*#"&amp;AS265,$A$9:$B$24,2,FALSE))</f>
        <v>ACT_COST</v>
      </c>
      <c r="C265" s="440" t="str">
        <f ca="1">IF($A265="*","",OFFSET(ITEMS_UPS!$C$8,AR265,0))</f>
        <v>USMRGICHGN</v>
      </c>
      <c r="D265" s="440" t="str">
        <f ca="1">IF($A265="*","",IF(VLOOKUP("*#"&amp;$AS265,$A$10:$I$24,D$9+1,FALSE)="-","-",OFFSET(UPS!$C$37,AU265+AV265,SUMIF($A$10:$A$20,"*#"&amp;AS265,$AT$10:$AT$20))))</f>
        <v>-</v>
      </c>
      <c r="E265" s="440" t="str">
        <f t="shared" ref="E265:E279" si="125">IF($A265="*","",IF(VLOOKUP("*#"&amp;$AS265,$A$10:$I$24,E$9+1,FALSE)="-","-",C265&amp;"-"&amp;RIGHT(VLOOKUP("*#"&amp;$AS265,$A$10:$I$24,E$9+1,FALSE),1)))</f>
        <v>-</v>
      </c>
      <c r="F265" s="440" t="str">
        <f t="shared" ref="F265:F279" si="126">IF($A265="*","",IF(VLOOKUP("*#"&amp;$AS265,$A$10:$I$24,F$9+1,FALSE)="-","-",C265&amp;"-"&amp;RIGHT(VLOOKUP("*#"&amp;$AS265,$A$10:$I$24,F$9+1,FALSE),1)))</f>
        <v>-</v>
      </c>
      <c r="G265" s="440" t="str">
        <f t="shared" ref="G265:G276" si="127">IF($A265="*","",VLOOKUP("*#"&amp;$AS265,$A$10:$I$20,G$9+1,FALSE))</f>
        <v>-</v>
      </c>
      <c r="H265" s="441" t="str">
        <f t="shared" ref="H265:H279" si="128">IF($A265="*","",VLOOKUP("*#"&amp;$AS265,$A$10:$I$24,H$9+1,FALSE))</f>
        <v>-</v>
      </c>
      <c r="I265" s="441">
        <f t="shared" ref="I265:I276" si="129">IF($A265="*","",VLOOKUP("*#"&amp;$AS265,$A$10:$I$20,I$9+1,FALSE))</f>
        <v>0</v>
      </c>
      <c r="J265" s="163">
        <f ca="1">IF($A265="*","",OFFSET(UPS!$C$37,AU265,SUMIF($A$10:$A$20,"*#"&amp;AS265,$AT$10:$AT$20)))</f>
        <v>0</v>
      </c>
      <c r="K265" s="163"/>
      <c r="AR265" s="42">
        <f>AR263+1</f>
        <v>24</v>
      </c>
      <c r="AS265" s="42">
        <v>1</v>
      </c>
      <c r="AU265" s="42">
        <f ca="1">SUMIF(UPS!B$38:B$171,C265,UPS!BD$38:BD$171)</f>
        <v>116</v>
      </c>
    </row>
    <row r="266" spans="1:48">
      <c r="B266" s="440" t="str">
        <f t="shared" si="124"/>
        <v>NCAP_AFA</v>
      </c>
      <c r="C266" s="440" t="str">
        <f ca="1">IF($A266="*","",OFFSET(ITEMS_UPS!$C$8,AR266,0))</f>
        <v>USMRGICHGN</v>
      </c>
      <c r="D266" s="440" t="str">
        <f ca="1">IF($A266="*","",IF(VLOOKUP("*#"&amp;$AS266,$A$10:$I$24,D$9+1,FALSE)="-","-",OFFSET(UPS!$C$37,AU266+AV266,SUMIF($A$10:$A$20,"*#"&amp;AS266,$AT$10:$AT$20))))</f>
        <v>-</v>
      </c>
      <c r="E266" s="440" t="str">
        <f t="shared" si="125"/>
        <v>-</v>
      </c>
      <c r="F266" s="440" t="str">
        <f t="shared" si="126"/>
        <v>-</v>
      </c>
      <c r="G266" s="440" t="str">
        <f t="shared" si="127"/>
        <v>ANNUAL</v>
      </c>
      <c r="H266" s="441" t="str">
        <f t="shared" si="128"/>
        <v>UP</v>
      </c>
      <c r="I266" s="441">
        <f t="shared" si="129"/>
        <v>3</v>
      </c>
      <c r="J266" s="163">
        <f ca="1">IF($A266="*","",OFFSET(UPS!$C$37,AU266,SUMIF($A$10:$A$20,"*#"&amp;AS266,$AT$10:$AT$20)))</f>
        <v>0.9</v>
      </c>
      <c r="K266" s="163"/>
      <c r="AR266" s="42">
        <f t="shared" ref="AR266:AR276" si="130">AR265</f>
        <v>24</v>
      </c>
      <c r="AS266" s="42">
        <f t="shared" ref="AS266:AS271" si="131">IF(AR266=AR265,AS265+1,1)</f>
        <v>2</v>
      </c>
      <c r="AU266" s="42">
        <f ca="1">SUMIF(UPS!B$38:B$171,C266,UPS!BD$38:BD$171)</f>
        <v>116</v>
      </c>
    </row>
    <row r="267" spans="1:48">
      <c r="B267" s="440" t="str">
        <f t="shared" si="124"/>
        <v>NCAP_AFA</v>
      </c>
      <c r="C267" s="440" t="str">
        <f ca="1">IF($A267="*","",OFFSET(ITEMS_UPS!$C$8,AR267,0))</f>
        <v>USMRGICHGN</v>
      </c>
      <c r="D267" s="440" t="str">
        <f ca="1">IF($A267="*","",IF(VLOOKUP("*#"&amp;$AS267,$A$10:$I$24,D$9+1,FALSE)="-","-",OFFSET(UPS!$C$37,AU267+AV267,SUMIF($A$10:$A$20,"*#"&amp;AS267,$AT$10:$AT$20))))</f>
        <v>-</v>
      </c>
      <c r="E267" s="440" t="str">
        <f t="shared" si="125"/>
        <v>-</v>
      </c>
      <c r="F267" s="440" t="str">
        <f t="shared" si="126"/>
        <v>-</v>
      </c>
      <c r="G267" s="440" t="str">
        <f t="shared" si="127"/>
        <v>ANNUAL</v>
      </c>
      <c r="H267" s="441" t="str">
        <f t="shared" si="128"/>
        <v>LO</v>
      </c>
      <c r="I267" s="441">
        <f t="shared" si="129"/>
        <v>3</v>
      </c>
      <c r="J267" s="163" t="str">
        <f ca="1">IF($A267="*","",OFFSET(UPS!$C$37,AU267,SUMIF($A$10:$A$20,"*#"&amp;AS267,$AT$10:$AT$20)))</f>
        <v/>
      </c>
      <c r="K267" s="163"/>
      <c r="AR267" s="42">
        <f t="shared" si="130"/>
        <v>24</v>
      </c>
      <c r="AS267" s="42">
        <f t="shared" si="131"/>
        <v>3</v>
      </c>
      <c r="AU267" s="42">
        <f ca="1">SUMIF(UPS!B$38:B$171,C267,UPS!BD$38:BD$171)</f>
        <v>116</v>
      </c>
    </row>
    <row r="268" spans="1:48">
      <c r="B268" s="440" t="str">
        <f t="shared" si="124"/>
        <v>NCAP_FOM</v>
      </c>
      <c r="C268" s="440" t="str">
        <f ca="1">IF($A268="*","",OFFSET(ITEMS_UPS!$C$8,AR268,0))</f>
        <v>USMRGICHGN</v>
      </c>
      <c r="D268" s="440" t="str">
        <f ca="1">IF($A268="*","",IF(VLOOKUP("*#"&amp;$AS268,$A$10:$I$24,D$9+1,FALSE)="-","-",OFFSET(UPS!$C$37,AU268+AV268,SUMIF($A$10:$A$20,"*#"&amp;AS268,$AT$10:$AT$20))))</f>
        <v>-</v>
      </c>
      <c r="E268" s="440" t="str">
        <f t="shared" si="125"/>
        <v>-</v>
      </c>
      <c r="F268" s="440" t="str">
        <f t="shared" si="126"/>
        <v>-</v>
      </c>
      <c r="G268" s="440" t="str">
        <f t="shared" si="127"/>
        <v>-</v>
      </c>
      <c r="H268" s="441" t="str">
        <f t="shared" si="128"/>
        <v>-</v>
      </c>
      <c r="I268" s="441">
        <f t="shared" si="129"/>
        <v>0</v>
      </c>
      <c r="J268" s="163">
        <f ca="1">IF($A268="*","",OFFSET(UPS!$C$37,AU268,SUMIF($A$10:$A$20,"*#"&amp;AS268,$AT$10:$AT$20)))</f>
        <v>5.6165845756230484</v>
      </c>
      <c r="K268" s="163"/>
      <c r="AR268" s="42">
        <f t="shared" si="130"/>
        <v>24</v>
      </c>
      <c r="AS268" s="42">
        <f t="shared" si="131"/>
        <v>4</v>
      </c>
      <c r="AU268" s="42">
        <f ca="1">SUMIF(UPS!B$38:B$171,C268,UPS!BD$38:BD$171)</f>
        <v>116</v>
      </c>
    </row>
    <row r="269" spans="1:48">
      <c r="B269" s="440" t="str">
        <f t="shared" si="124"/>
        <v>NCAP_BND</v>
      </c>
      <c r="C269" s="440" t="str">
        <f ca="1">IF($A269="*","",OFFSET(ITEMS_UPS!$C$8,AR269,0))</f>
        <v>USMRGICHGN</v>
      </c>
      <c r="D269" s="440" t="str">
        <f ca="1">IF($A269="*","",IF(VLOOKUP("*#"&amp;$AS269,$A$10:$I$24,D$9+1,FALSE)="-","-",OFFSET(UPS!$C$37,AU269+AV269,SUMIF($A$10:$A$20,"*#"&amp;AS269,$AT$10:$AT$20))))</f>
        <v>-</v>
      </c>
      <c r="E269" s="440" t="str">
        <f t="shared" si="125"/>
        <v>-</v>
      </c>
      <c r="F269" s="440" t="str">
        <f t="shared" si="126"/>
        <v>-</v>
      </c>
      <c r="G269" s="440" t="str">
        <f t="shared" si="127"/>
        <v>-</v>
      </c>
      <c r="H269" s="441" t="str">
        <f t="shared" si="128"/>
        <v>UP</v>
      </c>
      <c r="I269" s="441">
        <f t="shared" si="129"/>
        <v>3</v>
      </c>
      <c r="J269" s="163" t="str">
        <f ca="1">IF($A269="*","",OFFSET(UPS!$C$37,AU269,SUMIF($A$10:$A$20,"*#"&amp;AS269,$AT$10:$AT$20)))</f>
        <v/>
      </c>
      <c r="K269" s="163"/>
      <c r="AR269" s="42">
        <f>AR267</f>
        <v>24</v>
      </c>
      <c r="AS269" s="42">
        <f t="shared" si="131"/>
        <v>5</v>
      </c>
      <c r="AU269" s="42">
        <f ca="1">SUMIF(UPS!B$38:B$171,C269,UPS!BD$38:BD$171)</f>
        <v>116</v>
      </c>
    </row>
    <row r="270" spans="1:48">
      <c r="B270" s="440" t="str">
        <f t="shared" si="124"/>
        <v>FLO_FUNC</v>
      </c>
      <c r="C270" s="440" t="str">
        <f ca="1">IF($A270="*","",OFFSET(ITEMS_UPS!$C$8,AR270,0))</f>
        <v>USMRGICHGN</v>
      </c>
      <c r="D270" s="440" t="str">
        <f ca="1">IF($A270="*","",IF(VLOOKUP("*#"&amp;$AS270,$A$10:$I$24,D$9+1,FALSE)="-","-",OFFSET(UPS!$C$37,AU270+AV270,SUMIF($A$10:$A$20,"*#"&amp;AS270,$AT$10:$AT$20))))</f>
        <v>-</v>
      </c>
      <c r="E270" s="440" t="str">
        <f t="shared" ca="1" si="125"/>
        <v>USMRGICHGN-I</v>
      </c>
      <c r="F270" s="440" t="str">
        <f t="shared" ca="1" si="126"/>
        <v>USMRGICHGN-O</v>
      </c>
      <c r="G270" s="440" t="str">
        <f t="shared" si="127"/>
        <v>ANNUAL</v>
      </c>
      <c r="H270" s="441" t="str">
        <f t="shared" si="128"/>
        <v>-</v>
      </c>
      <c r="I270" s="441">
        <f t="shared" si="129"/>
        <v>0</v>
      </c>
      <c r="J270" s="163">
        <f ca="1">IF($A270="*","",OFFSET(UPS!$C$37,AU270,SUMIF($A$10:$A$20,"*#"&amp;AS270,$AT$10:$AT$20)))</f>
        <v>0.8</v>
      </c>
      <c r="K270" s="163"/>
      <c r="AR270" s="42">
        <f t="shared" si="130"/>
        <v>24</v>
      </c>
      <c r="AS270" s="42">
        <f t="shared" si="131"/>
        <v>6</v>
      </c>
      <c r="AU270" s="42">
        <f ca="1">SUMIF(UPS!B$38:B$171,C270,UPS!BD$38:BD$171)</f>
        <v>116</v>
      </c>
    </row>
    <row r="271" spans="1:48">
      <c r="B271" s="440" t="str">
        <f t="shared" si="124"/>
        <v>FLO_SHAR</v>
      </c>
      <c r="C271" s="440" t="str">
        <f ca="1">IF($A271="*","",OFFSET(ITEMS_UPS!$C$8,AR271,0))</f>
        <v>USMRGICHGN</v>
      </c>
      <c r="D271" s="440" t="str">
        <f ca="1">IF($A271="*","",IF(VLOOKUP("*#"&amp;$AS271,$A$10:$I$24,D$9+1,FALSE)="-","-",OFFSET(UPS!$C$37,AU271+AV271,SUMIF($A$10:$A$20,"*#"&amp;AS271,$AT$10:$AT$20))))</f>
        <v>UPSGIC</v>
      </c>
      <c r="E271" s="440" t="str">
        <f t="shared" ca="1" si="125"/>
        <v>USMRGICHGN-I</v>
      </c>
      <c r="F271" s="440" t="str">
        <f t="shared" si="126"/>
        <v>-</v>
      </c>
      <c r="G271" s="440" t="str">
        <f t="shared" si="127"/>
        <v>ANNUAL</v>
      </c>
      <c r="H271" s="441" t="str">
        <f t="shared" si="128"/>
        <v>FX</v>
      </c>
      <c r="I271" s="441">
        <f t="shared" si="129"/>
        <v>3</v>
      </c>
      <c r="J271" s="163">
        <f ca="1">IF($A271="*","",OFFSET(UPS!$C$37,AU271+AV271,SUMIF($A$10:$A$20,"*#"&amp;AS271,$AV$10:$AV$20)))</f>
        <v>0.93659535804320382</v>
      </c>
      <c r="K271" s="163"/>
      <c r="AR271" s="42">
        <f t="shared" si="130"/>
        <v>24</v>
      </c>
      <c r="AS271" s="42">
        <f t="shared" si="131"/>
        <v>7</v>
      </c>
      <c r="AU271" s="42">
        <f ca="1">SUMIF(UPS!B$38:B$171,C271,UPS!BD$38:BD$171)</f>
        <v>116</v>
      </c>
      <c r="AV271" s="42">
        <v>0</v>
      </c>
    </row>
    <row r="272" spans="1:48">
      <c r="B272" s="440" t="str">
        <f t="shared" si="124"/>
        <v>FLO_SHAR</v>
      </c>
      <c r="C272" s="440" t="str">
        <f ca="1">IF($A272="*","",OFFSET(ITEMS_UPS!$C$8,AR272,0))</f>
        <v>USMRGICHGN</v>
      </c>
      <c r="D272" s="440" t="str">
        <f ca="1">IF($A272="*","",IF(VLOOKUP("*#"&amp;$AS272,$A$10:$I$24,D$9+1,FALSE)="-","-",OFFSET(UPS!$C$37,AU272+AV272,SUMIF($A$10:$A$20,"*#"&amp;AS272,$AT$10:$AT$20))))</f>
        <v>UPSHEN</v>
      </c>
      <c r="E272" s="440" t="str">
        <f t="shared" ca="1" si="125"/>
        <v>USMRGICHGN-I</v>
      </c>
      <c r="F272" s="440" t="str">
        <f t="shared" si="126"/>
        <v>-</v>
      </c>
      <c r="G272" s="440" t="str">
        <f t="shared" si="127"/>
        <v>ANNUAL</v>
      </c>
      <c r="H272" s="441" t="str">
        <f t="shared" si="128"/>
        <v>FX</v>
      </c>
      <c r="I272" s="441">
        <f t="shared" si="129"/>
        <v>3</v>
      </c>
      <c r="J272" s="163">
        <f ca="1">IF($A272="*","",OFFSET(UPS!$C$37,AU272+AV272,SUMIF($A$10:$A$20,"*#"&amp;AS272,$AV$10:$AV$20)))</f>
        <v>0</v>
      </c>
      <c r="K272" s="163"/>
      <c r="AR272" s="42">
        <f t="shared" si="130"/>
        <v>24</v>
      </c>
      <c r="AS272" s="42">
        <f>AS271</f>
        <v>7</v>
      </c>
      <c r="AU272" s="42">
        <f ca="1">SUMIF(UPS!B$38:B$171,C272,UPS!BD$38:BD$171)</f>
        <v>116</v>
      </c>
      <c r="AV272" s="42">
        <f>AV271+1</f>
        <v>1</v>
      </c>
    </row>
    <row r="273" spans="1:48">
      <c r="B273" s="440" t="str">
        <f t="shared" si="124"/>
        <v>FLO_SHAR</v>
      </c>
      <c r="C273" s="440" t="str">
        <f ca="1">IF($A273="*","",OFFSET(ITEMS_UPS!$C$8,AR273,0))</f>
        <v>USMRGICHGN</v>
      </c>
      <c r="D273" s="440" t="str">
        <f ca="1">IF($A273="*","",IF(VLOOKUP("*#"&amp;$AS273,$A$10:$I$24,D$9+1,FALSE)="-","-",OFFSET(UPS!$C$37,AU273+AV273,SUMIF($A$10:$A$20,"*#"&amp;AS273,$AT$10:$AT$20))))</f>
        <v>UPSELC</v>
      </c>
      <c r="E273" s="440" t="str">
        <f t="shared" ca="1" si="125"/>
        <v>USMRGICHGN-I</v>
      </c>
      <c r="F273" s="440" t="str">
        <f t="shared" si="126"/>
        <v>-</v>
      </c>
      <c r="G273" s="440" t="str">
        <f t="shared" si="127"/>
        <v>ANNUAL</v>
      </c>
      <c r="H273" s="441" t="str">
        <f t="shared" si="128"/>
        <v>FX</v>
      </c>
      <c r="I273" s="441">
        <f t="shared" si="129"/>
        <v>3</v>
      </c>
      <c r="J273" s="163">
        <f ca="1">IF($A273="*","",OFFSET(UPS!$C$37,AU273+AV273,SUMIF($A$10:$A$20,"*#"&amp;AS273,$AV$10:$AV$20)))</f>
        <v>6.3404641956796237E-2</v>
      </c>
      <c r="K273" s="163"/>
      <c r="AR273" s="42">
        <f t="shared" si="130"/>
        <v>24</v>
      </c>
      <c r="AS273" s="42">
        <v>7</v>
      </c>
      <c r="AU273" s="42">
        <f ca="1">SUMIF(UPS!B$38:B$171,C273,UPS!BD$38:BD$171)</f>
        <v>116</v>
      </c>
      <c r="AV273" s="42">
        <f t="shared" ref="AV273:AV275" si="132">AV272+1</f>
        <v>2</v>
      </c>
    </row>
    <row r="274" spans="1:48">
      <c r="B274" s="440" t="str">
        <f t="shared" si="124"/>
        <v>FLO_SHAR</v>
      </c>
      <c r="C274" s="440" t="str">
        <f ca="1">IF($A274="*","",OFFSET(ITEMS_UPS!$C$8,AR274,0))</f>
        <v>USMRGICHGN</v>
      </c>
      <c r="D274" s="440" t="str">
        <f ca="1">IF($A274="*","",IF(VLOOKUP("*#"&amp;$AS274,$A$10:$I$24,D$9+1,FALSE)="-","-",OFFSET(UPS!$C$37,AU274+AV274,SUMIF($A$10:$A$20,"*#"&amp;AS274,$AT$10:$AT$20))))</f>
        <v>UPSHGN</v>
      </c>
      <c r="E274" s="440" t="str">
        <f t="shared" ca="1" si="125"/>
        <v>USMRGICHGN-O</v>
      </c>
      <c r="F274" s="440" t="str">
        <f t="shared" si="126"/>
        <v>-</v>
      </c>
      <c r="G274" s="440" t="str">
        <f t="shared" si="127"/>
        <v>ANNUAL</v>
      </c>
      <c r="H274" s="441" t="str">
        <f t="shared" si="128"/>
        <v>UP</v>
      </c>
      <c r="I274" s="441">
        <f t="shared" si="129"/>
        <v>3</v>
      </c>
      <c r="J274" s="163">
        <f ca="1">IF($A274="*","",OFFSET(UPS!$C$37,AU274+AV274,SUMIF($A$10:$A$20,"*#"&amp;AS274,$AV$10:$AV$20)))</f>
        <v>1</v>
      </c>
      <c r="K274" s="163"/>
      <c r="AR274" s="42">
        <f t="shared" si="130"/>
        <v>24</v>
      </c>
      <c r="AS274" s="42">
        <v>8</v>
      </c>
      <c r="AU274" s="42">
        <f ca="1">SUMIF(UPS!B$38:B$171,C274,UPS!BD$38:BD$171)</f>
        <v>116</v>
      </c>
      <c r="AV274" s="42">
        <f t="shared" si="132"/>
        <v>3</v>
      </c>
    </row>
    <row r="275" spans="1:48">
      <c r="B275" s="440" t="str">
        <f t="shared" si="124"/>
        <v>FLO_EMIS</v>
      </c>
      <c r="C275" s="440" t="str">
        <f ca="1">IF($A275="*","",OFFSET(ITEMS_UPS!$C$8,AR275,0))</f>
        <v>USMRGICHGN</v>
      </c>
      <c r="D275" s="440" t="str">
        <f>$D$18</f>
        <v>UPSCO2S</v>
      </c>
      <c r="E275" s="440" t="str">
        <f t="shared" ca="1" si="125"/>
        <v>USMRGICHGN-O</v>
      </c>
      <c r="F275" s="440" t="str">
        <f t="shared" si="126"/>
        <v>-</v>
      </c>
      <c r="G275" s="440" t="str">
        <f t="shared" si="127"/>
        <v>ANNUAL</v>
      </c>
      <c r="H275" s="441" t="str">
        <f t="shared" si="128"/>
        <v>-</v>
      </c>
      <c r="I275" s="441">
        <f t="shared" si="129"/>
        <v>0</v>
      </c>
      <c r="J275" s="163">
        <f ca="1">IF($A275="*","",OFFSET(UPS!$C$37,AU275,SUMIF($A$10:$A$20,"*#"&amp;AS275,$AT$10:$AT$20)))</f>
        <v>88.593333333333334</v>
      </c>
      <c r="K275" s="163"/>
      <c r="AR275" s="42">
        <f t="shared" si="130"/>
        <v>24</v>
      </c>
      <c r="AS275" s="42">
        <f>AS274+1</f>
        <v>9</v>
      </c>
      <c r="AU275" s="42">
        <f ca="1">AU274</f>
        <v>116</v>
      </c>
      <c r="AV275" s="42">
        <f t="shared" si="132"/>
        <v>4</v>
      </c>
    </row>
    <row r="276" spans="1:48">
      <c r="B276" s="440" t="str">
        <f t="shared" si="124"/>
        <v>FLO_EMIS</v>
      </c>
      <c r="C276" s="440" t="str">
        <f ca="1">IF($A276="*","",OFFSET(ITEMS_UPS!$C$8,AR276,0))</f>
        <v>USMRGICHGN</v>
      </c>
      <c r="D276" s="440" t="str">
        <f>$D$19</f>
        <v>UPSCH4S</v>
      </c>
      <c r="E276" s="440" t="str">
        <f t="shared" ca="1" si="125"/>
        <v>USMRGICHGN-O</v>
      </c>
      <c r="F276" s="440" t="str">
        <f t="shared" si="126"/>
        <v>-</v>
      </c>
      <c r="G276" s="440" t="str">
        <f t="shared" si="127"/>
        <v>ANNUAL</v>
      </c>
      <c r="H276" s="441" t="str">
        <f t="shared" si="128"/>
        <v>-</v>
      </c>
      <c r="I276" s="441">
        <f t="shared" si="129"/>
        <v>0</v>
      </c>
      <c r="J276" s="163">
        <f ca="1">IF($A276="*","",OFFSET(UPS!$C$37,AU276,SUMIF($A$10:$A$20,"*#"&amp;AS276,$AT$10:$AT$20)))</f>
        <v>1.2177777777777774</v>
      </c>
      <c r="K276" s="163"/>
      <c r="AR276" s="42">
        <f t="shared" si="130"/>
        <v>24</v>
      </c>
      <c r="AS276" s="42">
        <f>AS275+1</f>
        <v>10</v>
      </c>
      <c r="AU276" s="42">
        <f ca="1">SUMIF(UPS!B$38:B$171,C276,UPS!BD$38:BD$171)</f>
        <v>116</v>
      </c>
      <c r="AV276" s="42">
        <f>AV275+1</f>
        <v>5</v>
      </c>
    </row>
    <row r="277" spans="1:48">
      <c r="B277" s="440" t="str">
        <f t="shared" si="124"/>
        <v>NCAP_COST</v>
      </c>
      <c r="C277" s="440" t="str">
        <f ca="1">IF($A277="*","",OFFSET(ITEMS_UPS!$C$8,AR277,0))</f>
        <v>USMRGICHGN</v>
      </c>
      <c r="D277" s="440" t="str">
        <f ca="1">IF($A277="*","",IF(VLOOKUP("*#"&amp;$AS277,$A$10:$I$24,D$9+1,FALSE)="-","-",OFFSET(UPS!$C$37,AU277+AV277,SUMIF($A$10:$A$20,"*#"&amp;AS277,$AT$10:$AT$20))))</f>
        <v>-</v>
      </c>
      <c r="E277" s="440" t="str">
        <f t="shared" si="125"/>
        <v>-</v>
      </c>
      <c r="F277" s="440" t="str">
        <f t="shared" si="126"/>
        <v>-</v>
      </c>
      <c r="G277" s="440" t="str">
        <f>IF($A277="*","",VLOOKUP("*#"&amp;$AS277,$A$10:$I$24,G$9+1,FALSE))</f>
        <v>-</v>
      </c>
      <c r="H277" s="441" t="str">
        <f t="shared" si="128"/>
        <v>-</v>
      </c>
      <c r="I277" s="441">
        <f>IF($A277="*","",VLOOKUP("*#"&amp;$AS277,$A$10:$I$24,I$9+1,FALSE))</f>
        <v>0</v>
      </c>
      <c r="J277" s="163">
        <f ca="1">IF($A277="*","",OFFSET(UPS!$C$37,AU277,SUMIF($A$10:$A$24,"*#"&amp;AS277,$AT$10:$AT$24)))</f>
        <v>128.68199999999999</v>
      </c>
      <c r="K277" s="163"/>
      <c r="L277" s="163"/>
      <c r="M277" s="163"/>
      <c r="N277" s="163"/>
      <c r="O277" s="163"/>
      <c r="P277" s="163"/>
      <c r="Q277" s="163"/>
      <c r="R277" s="163"/>
      <c r="S277" s="163"/>
      <c r="T277" s="163"/>
      <c r="U277" s="163"/>
      <c r="V277" s="163"/>
      <c r="W277" s="163"/>
      <c r="X277" s="163"/>
      <c r="Y277" s="163"/>
      <c r="Z277" s="163"/>
      <c r="AA277" s="163"/>
      <c r="AB277" s="163"/>
      <c r="AC277" s="163"/>
      <c r="AD277" s="163"/>
      <c r="AE277" s="163"/>
      <c r="AF277" s="163"/>
      <c r="AG277" s="163"/>
      <c r="AH277" s="163"/>
      <c r="AI277" s="163"/>
      <c r="AJ277" s="163"/>
      <c r="AK277" s="163"/>
      <c r="AL277" s="163"/>
      <c r="AM277" s="163"/>
      <c r="AN277" s="163"/>
      <c r="AO277" s="163"/>
      <c r="AP277" s="163"/>
      <c r="AR277" s="42">
        <f>AR276</f>
        <v>24</v>
      </c>
      <c r="AS277" s="42">
        <f>AS276+2</f>
        <v>12</v>
      </c>
      <c r="AU277" s="42">
        <f ca="1">SUMIF(UPS!B$38:B$171,C277,UPS!BD$38:BD$171)</f>
        <v>116</v>
      </c>
    </row>
    <row r="278" spans="1:48">
      <c r="B278" s="440" t="str">
        <f t="shared" si="124"/>
        <v>NCAP_TLIFE</v>
      </c>
      <c r="C278" s="440" t="str">
        <f ca="1">IF($A278="*","",OFFSET(ITEMS_UPS!$C$8,AR278,0))</f>
        <v>USMRGICHGN</v>
      </c>
      <c r="D278" s="440" t="str">
        <f ca="1">IF($A278="*","",IF(VLOOKUP("*#"&amp;$AS278,$A$10:$I$24,D$9+1,FALSE)="-","-",OFFSET(UPS!$C$37,AU278+AV278,SUMIF($A$10:$A$20,"*#"&amp;AS278,$AT$10:$AT$20))))</f>
        <v>-</v>
      </c>
      <c r="E278" s="440" t="str">
        <f t="shared" si="125"/>
        <v>-</v>
      </c>
      <c r="F278" s="440" t="str">
        <f t="shared" si="126"/>
        <v>-</v>
      </c>
      <c r="G278" s="440" t="str">
        <f>IF($A278="*","",VLOOKUP("*#"&amp;$AS278,$A$10:$I$24,G$9+1,FALSE))</f>
        <v>-</v>
      </c>
      <c r="H278" s="441" t="str">
        <f t="shared" si="128"/>
        <v>-</v>
      </c>
      <c r="I278" s="441">
        <f>IF($A278="*","",VLOOKUP("*#"&amp;$AS278,$A$10:$I$24,I$9+1,FALSE))</f>
        <v>0</v>
      </c>
      <c r="J278" s="163">
        <f ca="1">IF($A278="*","",OFFSET(UPS!$C$37,AU278,SUMIF($A$10:$A$24,"*#"&amp;AS278,$AT$10:$AT$24)))</f>
        <v>40</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AS277+1</f>
        <v>13</v>
      </c>
      <c r="AU278" s="42">
        <f ca="1">SUMIF(UPS!B$38:B$171,C278,UPS!BD$38:BD$171)</f>
        <v>116</v>
      </c>
    </row>
    <row r="279" spans="1:48">
      <c r="B279" s="440" t="str">
        <f t="shared" si="124"/>
        <v>NCAP_ILED</v>
      </c>
      <c r="C279" s="440" t="str">
        <f ca="1">IF($A279="*","",OFFSET(ITEMS_UPS!$C$8,AR279,0))</f>
        <v>USMRGICHGN</v>
      </c>
      <c r="D279" s="440" t="str">
        <f ca="1">IF($A279="*","",IF(VLOOKUP("*#"&amp;$AS279,$A$10:$I$24,D$9+1,FALSE)="-","-",OFFSET(UPS!$C$37,AU279+AV279,SUMIF($A$10:$A$20,"*#"&amp;AS279,$AT$10:$AT$20))))</f>
        <v>-</v>
      </c>
      <c r="E279" s="440" t="str">
        <f t="shared" si="125"/>
        <v>-</v>
      </c>
      <c r="F279" s="440" t="str">
        <f t="shared" si="126"/>
        <v>-</v>
      </c>
      <c r="G279" s="440" t="str">
        <f>IF($A279="*","",VLOOKUP("*#"&amp;$AS279,$A$10:$I$24,G$9+1,FALSE))</f>
        <v>-</v>
      </c>
      <c r="H279" s="441" t="str">
        <f t="shared" si="128"/>
        <v>-</v>
      </c>
      <c r="I279" s="441">
        <f>IF($A279="*","",VLOOKUP("*#"&amp;$AS279,$A$10:$I$24,I$9+1,FALSE))</f>
        <v>0</v>
      </c>
      <c r="J279" s="163">
        <f ca="1">IF($A279="*","",OFFSET(UPS!$C$37,AU279,SUMIF($A$10:$A$24,"*#"&amp;AS279,$AT$10:$AT$24)))</f>
        <v>-4</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AR277</f>
        <v>24</v>
      </c>
      <c r="AS279" s="42">
        <f>AS278+1</f>
        <v>14</v>
      </c>
      <c r="AU279" s="42">
        <f ca="1">SUMIF(UPS!B$38:B$171,C279,UPS!BD$38:BD$171)</f>
        <v>116</v>
      </c>
    </row>
    <row r="280" spans="1:48">
      <c r="A280" s="42" t="s">
        <v>310</v>
      </c>
      <c r="J280" s="163" t="str">
        <f ca="1">IF($A280="*","",OFFSET(UPS!$C$37,AU280,SUMIF($B$10:$B$20,B280,$AT$10:$AT$20)))</f>
        <v/>
      </c>
    </row>
    <row r="281" spans="1:48">
      <c r="B281" s="440" t="str">
        <f t="shared" ref="B281:B295" si="133">IF(A281="*","",VLOOKUP("*#"&amp;AS281,$A$9:$B$24,2,FALSE))</f>
        <v>ACT_COST</v>
      </c>
      <c r="C281" s="440" t="str">
        <f ca="1">IF($A281="*","",OFFSET(ITEMS_UPS!$C$8,AR281,0))</f>
        <v>UCOGCLEHGN</v>
      </c>
      <c r="D281" s="440" t="str">
        <f ca="1">IF($A281="*","",IF(VLOOKUP("*#"&amp;$AS281,$A$10:$I$24,D$9+1,FALSE)="-","-",OFFSET(UPS!$C$37,AU281+AV281,SUMIF($A$10:$A$20,"*#"&amp;AS281,$AT$10:$AT$20))))</f>
        <v>-</v>
      </c>
      <c r="E281" s="440" t="str">
        <f t="shared" ref="E281:E295" si="134">IF($A281="*","",IF(VLOOKUP("*#"&amp;$AS281,$A$10:$I$24,E$9+1,FALSE)="-","-",C281&amp;"-"&amp;RIGHT(VLOOKUP("*#"&amp;$AS281,$A$10:$I$24,E$9+1,FALSE),1)))</f>
        <v>-</v>
      </c>
      <c r="F281" s="440" t="str">
        <f t="shared" ref="F281:F295" si="135">IF($A281="*","",IF(VLOOKUP("*#"&amp;$AS281,$A$10:$I$24,F$9+1,FALSE)="-","-",C281&amp;"-"&amp;RIGHT(VLOOKUP("*#"&amp;$AS281,$A$10:$I$24,F$9+1,FALSE),1)))</f>
        <v>-</v>
      </c>
      <c r="G281" s="440" t="str">
        <f t="shared" ref="G281:G292" si="136">IF($A281="*","",VLOOKUP("*#"&amp;$AS281,$A$10:$I$20,G$9+1,FALSE))</f>
        <v>-</v>
      </c>
      <c r="H281" s="441" t="str">
        <f t="shared" ref="H281:H295" si="137">IF($A281="*","",VLOOKUP("*#"&amp;$AS281,$A$10:$I$24,H$9+1,FALSE))</f>
        <v>-</v>
      </c>
      <c r="I281" s="441">
        <f t="shared" ref="I281:I292" si="138">IF($A281="*","",VLOOKUP("*#"&amp;$AS281,$A$10:$I$20,I$9+1,FALSE))</f>
        <v>0</v>
      </c>
      <c r="J281" s="163">
        <f ca="1">IF($A281="*","",OFFSET(UPS!$C$37,AU281,SUMIF($A$10:$A$20,"*#"&amp;AS281,$AT$10:$AT$20)))</f>
        <v>0</v>
      </c>
      <c r="K281" s="163"/>
      <c r="AR281" s="42">
        <f>AR279+1</f>
        <v>25</v>
      </c>
      <c r="AS281" s="42">
        <v>1</v>
      </c>
      <c r="AU281" s="42">
        <f ca="1">SUMIF(UPS!B$38:B$171,C281,UPS!BD$38:BD$171)</f>
        <v>122</v>
      </c>
    </row>
    <row r="282" spans="1:48">
      <c r="B282" s="440" t="str">
        <f t="shared" si="133"/>
        <v>NCAP_AFA</v>
      </c>
      <c r="C282" s="440" t="str">
        <f ca="1">IF($A282="*","",OFFSET(ITEMS_UPS!$C$8,AR282,0))</f>
        <v>UCOGCLEHGN</v>
      </c>
      <c r="D282" s="440" t="str">
        <f ca="1">IF($A282="*","",IF(VLOOKUP("*#"&amp;$AS282,$A$10:$I$24,D$9+1,FALSE)="-","-",OFFSET(UPS!$C$37,AU282+AV282,SUMIF($A$10:$A$20,"*#"&amp;AS282,$AT$10:$AT$20))))</f>
        <v>-</v>
      </c>
      <c r="E282" s="440" t="str">
        <f t="shared" si="134"/>
        <v>-</v>
      </c>
      <c r="F282" s="440" t="str">
        <f t="shared" si="135"/>
        <v>-</v>
      </c>
      <c r="G282" s="440" t="str">
        <f t="shared" si="136"/>
        <v>ANNUAL</v>
      </c>
      <c r="H282" s="441" t="str">
        <f t="shared" si="137"/>
        <v>UP</v>
      </c>
      <c r="I282" s="441">
        <f t="shared" si="138"/>
        <v>3</v>
      </c>
      <c r="J282" s="163">
        <f ca="1">IF($A282="*","",OFFSET(UPS!$C$37,AU282,SUMIF($A$10:$A$20,"*#"&amp;AS282,$AT$10:$AT$20)))</f>
        <v>0.9</v>
      </c>
      <c r="K282" s="163"/>
      <c r="AR282" s="42">
        <f>AR281</f>
        <v>25</v>
      </c>
      <c r="AS282" s="42">
        <f t="shared" ref="AS282:AS287" si="139">IF(AR282=AR281,AS281+1,1)</f>
        <v>2</v>
      </c>
      <c r="AU282" s="42">
        <f ca="1">SUMIF(UPS!B$38:B$171,C282,UPS!BD$38:BD$171)</f>
        <v>122</v>
      </c>
    </row>
    <row r="283" spans="1:48">
      <c r="B283" s="440" t="str">
        <f t="shared" si="133"/>
        <v>NCAP_AFA</v>
      </c>
      <c r="C283" s="440" t="str">
        <f ca="1">IF($A283="*","",OFFSET(ITEMS_UPS!$C$8,AR283,0))</f>
        <v>UCOGCLEHGN</v>
      </c>
      <c r="D283" s="440" t="str">
        <f ca="1">IF($A283="*","",IF(VLOOKUP("*#"&amp;$AS283,$A$10:$I$24,D$9+1,FALSE)="-","-",OFFSET(UPS!$C$37,AU283+AV283,SUMIF($A$10:$A$20,"*#"&amp;AS283,$AT$10:$AT$20))))</f>
        <v>-</v>
      </c>
      <c r="E283" s="440" t="str">
        <f t="shared" si="134"/>
        <v>-</v>
      </c>
      <c r="F283" s="440" t="str">
        <f t="shared" si="135"/>
        <v>-</v>
      </c>
      <c r="G283" s="440" t="str">
        <f t="shared" si="136"/>
        <v>ANNUAL</v>
      </c>
      <c r="H283" s="441" t="str">
        <f t="shared" si="137"/>
        <v>LO</v>
      </c>
      <c r="I283" s="441">
        <f t="shared" si="138"/>
        <v>3</v>
      </c>
      <c r="J283" s="163" t="str">
        <f ca="1">IF($A283="*","",OFFSET(UPS!$C$37,AU283,SUMIF($A$10:$A$20,"*#"&amp;AS283,$AT$10:$AT$20)))</f>
        <v/>
      </c>
      <c r="K283" s="163"/>
      <c r="AR283" s="42">
        <f>AR282</f>
        <v>25</v>
      </c>
      <c r="AS283" s="42">
        <f t="shared" si="139"/>
        <v>3</v>
      </c>
      <c r="AU283" s="42">
        <f ca="1">SUMIF(UPS!B$38:B$171,C283,UPS!BD$38:BD$171)</f>
        <v>122</v>
      </c>
    </row>
    <row r="284" spans="1:48">
      <c r="B284" s="440" t="str">
        <f t="shared" si="133"/>
        <v>NCAP_FOM</v>
      </c>
      <c r="C284" s="440" t="str">
        <f ca="1">IF($A284="*","",OFFSET(ITEMS_UPS!$C$8,AR284,0))</f>
        <v>UCOGCLEHGN</v>
      </c>
      <c r="D284" s="440" t="str">
        <f ca="1">IF($A284="*","",IF(VLOOKUP("*#"&amp;$AS284,$A$10:$I$24,D$9+1,FALSE)="-","-",OFFSET(UPS!$C$37,AU284+AV284,SUMIF($A$10:$A$20,"*#"&amp;AS284,$AT$10:$AT$20))))</f>
        <v>-</v>
      </c>
      <c r="E284" s="440" t="str">
        <f t="shared" si="134"/>
        <v>-</v>
      </c>
      <c r="F284" s="440" t="str">
        <f t="shared" si="135"/>
        <v>-</v>
      </c>
      <c r="G284" s="440" t="str">
        <f t="shared" si="136"/>
        <v>-</v>
      </c>
      <c r="H284" s="441" t="str">
        <f t="shared" si="137"/>
        <v>-</v>
      </c>
      <c r="I284" s="441">
        <f t="shared" si="138"/>
        <v>0</v>
      </c>
      <c r="J284" s="163">
        <f ca="1">IF($A284="*","",OFFSET(UPS!$C$37,AU284,SUMIF($A$10:$A$20,"*#"&amp;AS284,$AT$10:$AT$20)))</f>
        <v>28.082922878115237</v>
      </c>
      <c r="K284" s="163"/>
      <c r="AR284" s="42">
        <f>AR283</f>
        <v>25</v>
      </c>
      <c r="AS284" s="42">
        <f t="shared" si="139"/>
        <v>4</v>
      </c>
      <c r="AU284" s="42">
        <f ca="1">SUMIF(UPS!B$38:B$171,C284,UPS!BD$38:BD$171)</f>
        <v>122</v>
      </c>
    </row>
    <row r="285" spans="1:48">
      <c r="B285" s="440" t="str">
        <f t="shared" si="133"/>
        <v>NCAP_BND</v>
      </c>
      <c r="C285" s="440" t="str">
        <f ca="1">IF($A285="*","",OFFSET(ITEMS_UPS!$C$8,AR285,0))</f>
        <v>UCOGCLEHGN</v>
      </c>
      <c r="D285" s="440" t="str">
        <f ca="1">IF($A285="*","",IF(VLOOKUP("*#"&amp;$AS285,$A$10:$I$24,D$9+1,FALSE)="-","-",OFFSET(UPS!$C$37,AU285+AV285,SUMIF($A$10:$A$20,"*#"&amp;AS285,$AT$10:$AT$20))))</f>
        <v>-</v>
      </c>
      <c r="E285" s="440" t="str">
        <f t="shared" si="134"/>
        <v>-</v>
      </c>
      <c r="F285" s="440" t="str">
        <f t="shared" si="135"/>
        <v>-</v>
      </c>
      <c r="G285" s="440" t="str">
        <f t="shared" si="136"/>
        <v>-</v>
      </c>
      <c r="H285" s="441" t="str">
        <f t="shared" si="137"/>
        <v>UP</v>
      </c>
      <c r="I285" s="441">
        <f t="shared" si="138"/>
        <v>3</v>
      </c>
      <c r="J285" s="163" t="str">
        <f ca="1">IF($A285="*","",OFFSET(UPS!$C$37,AU285,SUMIF($A$10:$A$20,"*#"&amp;AS285,$AT$10:$AT$20)))</f>
        <v/>
      </c>
      <c r="K285" s="163"/>
      <c r="AR285" s="42">
        <f>AR283</f>
        <v>25</v>
      </c>
      <c r="AS285" s="42">
        <f t="shared" si="139"/>
        <v>5</v>
      </c>
      <c r="AU285" s="42">
        <f ca="1">SUMIF(UPS!B$38:B$171,C285,UPS!BD$38:BD$171)</f>
        <v>122</v>
      </c>
    </row>
    <row r="286" spans="1:48" s="163" customFormat="1">
      <c r="B286" s="440" t="str">
        <f t="shared" si="133"/>
        <v>FLO_FUNC</v>
      </c>
      <c r="C286" s="440" t="str">
        <f ca="1">IF($A286="*","",OFFSET(ITEMS_UPS!$C$8,AR286,0))</f>
        <v>UCOGCLEHGN</v>
      </c>
      <c r="D286" s="440" t="str">
        <f ca="1">IF($A286="*","",IF(VLOOKUP("*#"&amp;$AS286,$A$10:$I$24,D$9+1,FALSE)="-","-",OFFSET(UPS!$C$37,AU286+AV286,SUMIF($A$10:$A$20,"*#"&amp;AS286,$AT$10:$AT$20))))</f>
        <v>-</v>
      </c>
      <c r="E286" s="440" t="str">
        <f t="shared" ca="1" si="134"/>
        <v>UCOGCLEHGN-I</v>
      </c>
      <c r="F286" s="440" t="str">
        <f t="shared" ca="1" si="135"/>
        <v>UCOGCLEHGN-O</v>
      </c>
      <c r="G286" s="440" t="str">
        <f t="shared" si="136"/>
        <v>ANNUAL</v>
      </c>
      <c r="H286" s="441" t="str">
        <f t="shared" si="137"/>
        <v>-</v>
      </c>
      <c r="I286" s="441">
        <f t="shared" si="138"/>
        <v>0</v>
      </c>
      <c r="J286" s="163">
        <f ca="1">IF($A286="*","",OFFSET(UPS!$C$37,AU286,SUMIF($A$10:$A$20,"*#"&amp;AS286,$AT$10:$AT$20)))</f>
        <v>0.65</v>
      </c>
      <c r="AR286" s="163">
        <f>AR285</f>
        <v>25</v>
      </c>
      <c r="AS286" s="42">
        <f t="shared" si="139"/>
        <v>6</v>
      </c>
      <c r="AU286" s="163">
        <f ca="1">AU285</f>
        <v>122</v>
      </c>
      <c r="AV286" s="42"/>
    </row>
    <row r="287" spans="1:48">
      <c r="B287" s="440" t="str">
        <f t="shared" si="133"/>
        <v>FLO_SHAR</v>
      </c>
      <c r="C287" s="440" t="str">
        <f ca="1">IF($A287="*","",OFFSET(ITEMS_UPS!$C$8,AR287,0))</f>
        <v>UCOGCLEHGN</v>
      </c>
      <c r="D287" s="440" t="str">
        <f ca="1">IF($A287="*","",IF(VLOOKUP("*#"&amp;$AS287,$A$10:$I$24,D$9+1,FALSE)="-","-",OFFSET(UPS!$C$37,AU287+AV287,SUMIF($A$10:$A$20,"*#"&amp;AS287,$AT$10:$AT$20))))</f>
        <v>UPSCLE</v>
      </c>
      <c r="E287" s="440" t="str">
        <f t="shared" ca="1" si="134"/>
        <v>UCOGCLEHGN-I</v>
      </c>
      <c r="F287" s="440" t="str">
        <f t="shared" si="135"/>
        <v>-</v>
      </c>
      <c r="G287" s="440" t="str">
        <f t="shared" si="136"/>
        <v>ANNUAL</v>
      </c>
      <c r="H287" s="441" t="str">
        <f t="shared" si="137"/>
        <v>FX</v>
      </c>
      <c r="I287" s="441">
        <f t="shared" si="138"/>
        <v>3</v>
      </c>
      <c r="J287" s="163">
        <f ca="1">IF($A287="*","",OFFSET(UPS!$C$37,AU287+AV287,SUMIF($A$10:$A$20,"*#"&amp;AS287,$AV$10:$AV$20)))</f>
        <v>0.69555865300183184</v>
      </c>
      <c r="K287" s="163"/>
      <c r="AR287" s="42">
        <f>AR285</f>
        <v>25</v>
      </c>
      <c r="AS287" s="42">
        <f t="shared" si="139"/>
        <v>7</v>
      </c>
      <c r="AU287" s="42">
        <f ca="1">SUMIF(UPS!B$38:B$171,C287,UPS!BD$38:BD$171)</f>
        <v>122</v>
      </c>
      <c r="AV287" s="42">
        <v>0</v>
      </c>
    </row>
    <row r="288" spans="1:48">
      <c r="B288" s="440" t="str">
        <f t="shared" si="133"/>
        <v>FLO_SHAR</v>
      </c>
      <c r="C288" s="440" t="str">
        <f ca="1">IF($A288="*","",OFFSET(ITEMS_UPS!$C$8,AR288,0))</f>
        <v>UCOGCLEHGN</v>
      </c>
      <c r="D288" s="440" t="str">
        <f ca="1">IF($A288="*","",IF(VLOOKUP("*#"&amp;$AS288,$A$10:$I$24,D$9+1,FALSE)="-","-",OFFSET(UPS!$C$37,AU288+AV288,SUMIF($A$10:$A$20,"*#"&amp;AS288,$AT$10:$AT$20))))</f>
        <v>UPSHEN</v>
      </c>
      <c r="E288" s="440" t="str">
        <f t="shared" ca="1" si="134"/>
        <v>UCOGCLEHGN-I</v>
      </c>
      <c r="F288" s="440" t="str">
        <f t="shared" si="135"/>
        <v>-</v>
      </c>
      <c r="G288" s="440" t="str">
        <f t="shared" si="136"/>
        <v>ANNUAL</v>
      </c>
      <c r="H288" s="441" t="str">
        <f t="shared" si="137"/>
        <v>FX</v>
      </c>
      <c r="I288" s="441">
        <f t="shared" si="138"/>
        <v>3</v>
      </c>
      <c r="J288" s="163">
        <f ca="1">IF($A288="*","",OFFSET(UPS!$C$37,AU288+AV288,SUMIF($A$10:$A$20,"*#"&amp;AS288,$AV$10:$AV$20)))</f>
        <v>0.24103670504137198</v>
      </c>
      <c r="K288" s="163"/>
      <c r="L288" s="163"/>
      <c r="M288" s="163"/>
      <c r="N288" s="163"/>
      <c r="O288" s="163"/>
      <c r="P288" s="163"/>
      <c r="Q288" s="163"/>
      <c r="R288" s="163"/>
      <c r="S288" s="163"/>
      <c r="T288" s="163"/>
      <c r="U288" s="163"/>
      <c r="V288" s="163"/>
      <c r="W288" s="163"/>
      <c r="X288" s="163"/>
      <c r="Y288" s="163"/>
      <c r="Z288" s="163"/>
      <c r="AA288" s="163"/>
      <c r="AB288" s="163"/>
      <c r="AC288" s="163"/>
      <c r="AD288" s="163"/>
      <c r="AE288" s="163"/>
      <c r="AF288" s="163"/>
      <c r="AG288" s="163"/>
      <c r="AH288" s="163"/>
      <c r="AI288" s="163"/>
      <c r="AJ288" s="163"/>
      <c r="AK288" s="163"/>
      <c r="AL288" s="163"/>
      <c r="AM288" s="163"/>
      <c r="AN288" s="163"/>
      <c r="AO288" s="163"/>
      <c r="AP288" s="163"/>
      <c r="AR288" s="42">
        <f>AR287</f>
        <v>25</v>
      </c>
      <c r="AS288" s="42">
        <f>AS287</f>
        <v>7</v>
      </c>
      <c r="AU288" s="42">
        <f ca="1">SUMIF(UPS!B$38:B$171,C288,UPS!BD$38:BD$171)</f>
        <v>122</v>
      </c>
      <c r="AV288" s="42">
        <f>AV287+1</f>
        <v>1</v>
      </c>
    </row>
    <row r="289" spans="1:51">
      <c r="B289" s="440" t="str">
        <f t="shared" si="133"/>
        <v>FLO_SHAR</v>
      </c>
      <c r="C289" s="440" t="str">
        <f ca="1">IF($A289="*","",OFFSET(ITEMS_UPS!$C$8,AR289,0))</f>
        <v>UCOGCLEHGN</v>
      </c>
      <c r="D289" s="440" t="str">
        <f ca="1">IF($A289="*","",IF(VLOOKUP("*#"&amp;$AS289,$A$10:$I$24,D$9+1,FALSE)="-","-",OFFSET(UPS!$C$37,AU289+AV289,SUMIF($A$10:$A$20,"*#"&amp;AS289,$AT$10:$AT$20))))</f>
        <v>UPSELC</v>
      </c>
      <c r="E289" s="440" t="str">
        <f t="shared" ca="1" si="134"/>
        <v>UCOGCLEHGN-I</v>
      </c>
      <c r="F289" s="440" t="str">
        <f t="shared" si="135"/>
        <v>-</v>
      </c>
      <c r="G289" s="440" t="str">
        <f t="shared" si="136"/>
        <v>ANNUAL</v>
      </c>
      <c r="H289" s="441" t="str">
        <f t="shared" si="137"/>
        <v>FX</v>
      </c>
      <c r="I289" s="441">
        <f t="shared" si="138"/>
        <v>3</v>
      </c>
      <c r="J289" s="163">
        <f ca="1">IF($A289="*","",OFFSET(UPS!$C$37,AU289+AV289,SUMIF($A$10:$A$20,"*#"&amp;AS289,$AV$10:$AV$20)))</f>
        <v>6.3404641956796237E-2</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 t="shared" ref="AV289:AV290" si="140">AV288+1</f>
        <v>2</v>
      </c>
    </row>
    <row r="290" spans="1:51">
      <c r="B290" s="440" t="str">
        <f t="shared" si="133"/>
        <v>FLO_SHAR</v>
      </c>
      <c r="C290" s="440" t="str">
        <f ca="1">IF($A290="*","",OFFSET(ITEMS_UPS!$C$8,AR290,0))</f>
        <v>UCOGCLEHGN</v>
      </c>
      <c r="D290" s="440" t="str">
        <f ca="1">IF($A290="*","",IF(VLOOKUP("*#"&amp;$AS290,$A$10:$I$24,D$9+1,FALSE)="-","-",OFFSET(UPS!$C$37,AU290+AV290,SUMIF($A$10:$A$20,"*#"&amp;AS290,$AT$10:$AT$20))))</f>
        <v>UPSHGN</v>
      </c>
      <c r="E290" s="440" t="str">
        <f t="shared" ca="1" si="134"/>
        <v>UCOGCLEHGN-O</v>
      </c>
      <c r="F290" s="440" t="str">
        <f t="shared" si="135"/>
        <v>-</v>
      </c>
      <c r="G290" s="440" t="str">
        <f t="shared" si="136"/>
        <v>ANNUAL</v>
      </c>
      <c r="H290" s="441" t="str">
        <f t="shared" si="137"/>
        <v>UP</v>
      </c>
      <c r="I290" s="441">
        <f t="shared" si="138"/>
        <v>3</v>
      </c>
      <c r="J290" s="163">
        <f ca="1">IF($A290="*","",OFFSET(UPS!$C$37,AU290+AV290,SUMIF($A$10:$A$20,"*#"&amp;AS290,$AV$10:$AV$20)))</f>
        <v>1</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 t="shared" ref="AR290:AR295" si="141">AR288</f>
        <v>25</v>
      </c>
      <c r="AS290" s="42">
        <v>8</v>
      </c>
      <c r="AU290" s="42">
        <f ca="1">SUMIF(UPS!B$38:B$171,C290,UPS!BD$38:BD$171)</f>
        <v>122</v>
      </c>
      <c r="AV290" s="42">
        <f t="shared" si="140"/>
        <v>3</v>
      </c>
    </row>
    <row r="291" spans="1:51">
      <c r="B291" s="440" t="str">
        <f t="shared" si="133"/>
        <v>FLO_EMIS</v>
      </c>
      <c r="C291" s="440" t="str">
        <f ca="1">IF($A291="*","",OFFSET(ITEMS_UPS!$C$8,AR291,0))</f>
        <v>UCOGCLEHGN</v>
      </c>
      <c r="D291" s="440" t="str">
        <f>$D$18</f>
        <v>UPSCO2S</v>
      </c>
      <c r="E291" s="440" t="str">
        <f t="shared" ca="1" si="134"/>
        <v>UCOGCLEHGN-O</v>
      </c>
      <c r="F291" s="440" t="str">
        <f t="shared" si="135"/>
        <v>-</v>
      </c>
      <c r="G291" s="440" t="str">
        <f t="shared" si="136"/>
        <v>ANNUAL</v>
      </c>
      <c r="H291" s="441" t="str">
        <f t="shared" si="137"/>
        <v>-</v>
      </c>
      <c r="I291" s="441">
        <f t="shared" si="138"/>
        <v>0</v>
      </c>
      <c r="J291" s="163">
        <f ca="1">IF($A291="*","",OFFSET(UPS!$C$37,AU291,SUMIF($A$10:$A$20,"*#"&amp;AS291,$AT$10:$AT$20)))</f>
        <v>180.83333333333331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si="141"/>
        <v>25</v>
      </c>
      <c r="AS291" s="42">
        <f>AS290+1</f>
        <v>9</v>
      </c>
      <c r="AU291" s="42">
        <f ca="1">SUMIF(UPS!B$38:B$171,C291,UPS!BD$38:BD$171)</f>
        <v>122</v>
      </c>
      <c r="AY291" s="42" t="str">
        <f>D291</f>
        <v>UPSCO2S</v>
      </c>
    </row>
    <row r="292" spans="1:51">
      <c r="B292" s="440" t="str">
        <f t="shared" si="133"/>
        <v>FLO_EMIS</v>
      </c>
      <c r="C292" s="440" t="str">
        <f ca="1">IF($A292="*","",OFFSET(ITEMS_UPS!$C$8,AR292,0))</f>
        <v>UCOGCLEHGN</v>
      </c>
      <c r="D292" s="440" t="str">
        <f>$D$19</f>
        <v>UPSCH4S</v>
      </c>
      <c r="E292" s="440" t="str">
        <f t="shared" ca="1" si="134"/>
        <v>UCOGCLEHGN-O</v>
      </c>
      <c r="F292" s="440" t="str">
        <f t="shared" si="135"/>
        <v>-</v>
      </c>
      <c r="G292" s="440" t="str">
        <f t="shared" si="136"/>
        <v>ANNUAL</v>
      </c>
      <c r="H292" s="441" t="str">
        <f t="shared" si="137"/>
        <v>-</v>
      </c>
      <c r="I292" s="441">
        <f t="shared" si="138"/>
        <v>0</v>
      </c>
      <c r="J292" s="163">
        <f ca="1">IF($A292="*","",OFFSET(UPS!$C$37,AU292,SUMIF($A$10:$A$20,"*#"&amp;AS292,$AT$10:$AT$20)))</f>
        <v>0</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1"/>
        <v>25</v>
      </c>
      <c r="AS292" s="42">
        <f>AS291+1</f>
        <v>10</v>
      </c>
      <c r="AU292" s="42">
        <f ca="1">SUMIF(UPS!B$38:B$171,C292,UPS!BD$38:BD$171)</f>
        <v>122</v>
      </c>
      <c r="AY292" s="42" t="str">
        <f>D292</f>
        <v>UPSCH4S</v>
      </c>
    </row>
    <row r="293" spans="1:51">
      <c r="B293" s="440" t="str">
        <f t="shared" si="133"/>
        <v>NCAP_COST</v>
      </c>
      <c r="C293" s="440" t="str">
        <f ca="1">IF($A293="*","",OFFSET(ITEMS_UPS!$C$8,AR293,0))</f>
        <v>UCOGCLEHGN</v>
      </c>
      <c r="D293" s="440" t="str">
        <f ca="1">IF($A293="*","",IF(VLOOKUP("*#"&amp;$AS293,$A$10:$I$24,D$9+1,FALSE)="-","-",OFFSET(UPS!$C$37,AU293+AV293,SUMIF($A$10:$A$20,"*#"&amp;AS293,$AT$10:$AT$20))))</f>
        <v>-</v>
      </c>
      <c r="E293" s="440" t="str">
        <f t="shared" si="134"/>
        <v>-</v>
      </c>
      <c r="F293" s="440" t="str">
        <f t="shared" si="135"/>
        <v>-</v>
      </c>
      <c r="G293" s="440" t="str">
        <f>IF($A293="*","",VLOOKUP("*#"&amp;$AS293,$A$10:$I$24,G$9+1,FALSE))</f>
        <v>-</v>
      </c>
      <c r="H293" s="441" t="str">
        <f t="shared" si="137"/>
        <v>-</v>
      </c>
      <c r="I293" s="441">
        <f>IF($A293="*","",VLOOKUP("*#"&amp;$AS293,$A$10:$I$24,I$9+1,FALSE))</f>
        <v>0</v>
      </c>
      <c r="J293" s="163">
        <f ca="1">IF($A293="*","",OFFSET(UPS!$C$37,AU293,SUMIF($A$10:$A$24,"*#"&amp;AS293,$AT$10:$AT$24)))</f>
        <v>443.23799999999994</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1"/>
        <v>25</v>
      </c>
      <c r="AS293" s="42">
        <f>AS292+2</f>
        <v>12</v>
      </c>
      <c r="AU293" s="42">
        <f ca="1">SUMIF(UPS!B$38:B$171,C293,UPS!BD$38:BD$171)</f>
        <v>122</v>
      </c>
    </row>
    <row r="294" spans="1:51">
      <c r="B294" s="440" t="str">
        <f t="shared" si="133"/>
        <v>NCAP_TLIFE</v>
      </c>
      <c r="C294" s="440" t="str">
        <f ca="1">IF($A294="*","",OFFSET(ITEMS_UPS!$C$8,AR294,0))</f>
        <v>UCOGCLEHGN</v>
      </c>
      <c r="D294" s="440" t="str">
        <f ca="1">IF($A294="*","",IF(VLOOKUP("*#"&amp;$AS294,$A$10:$I$24,D$9+1,FALSE)="-","-",OFFSET(UPS!$C$37,AU294+AV294,SUMIF($A$10:$A$20,"*#"&amp;AS294,$AT$10:$AT$20))))</f>
        <v>-</v>
      </c>
      <c r="E294" s="440" t="str">
        <f t="shared" si="134"/>
        <v>-</v>
      </c>
      <c r="F294" s="440" t="str">
        <f t="shared" si="135"/>
        <v>-</v>
      </c>
      <c r="G294" s="440" t="str">
        <f>IF($A294="*","",VLOOKUP("*#"&amp;$AS294,$A$10:$I$24,G$9+1,FALSE))</f>
        <v>-</v>
      </c>
      <c r="H294" s="441" t="str">
        <f t="shared" si="137"/>
        <v>-</v>
      </c>
      <c r="I294" s="441">
        <f>IF($A294="*","",VLOOKUP("*#"&amp;$AS294,$A$10:$I$24,I$9+1,FALSE))</f>
        <v>0</v>
      </c>
      <c r="J294" s="163">
        <f ca="1">IF($A294="*","",OFFSET(UPS!$C$37,AU294,SUMIF($A$10:$A$24,"*#"&amp;AS294,$AT$10:$AT$24)))</f>
        <v>40</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1"/>
        <v>25</v>
      </c>
      <c r="AS294" s="42">
        <f>AS293+1</f>
        <v>13</v>
      </c>
      <c r="AU294" s="42">
        <f ca="1">SUMIF(UPS!B$38:B$171,C294,UPS!BD$38:BD$171)</f>
        <v>122</v>
      </c>
    </row>
    <row r="295" spans="1:51">
      <c r="B295" s="440" t="str">
        <f t="shared" si="133"/>
        <v>NCAP_ILED</v>
      </c>
      <c r="C295" s="440" t="str">
        <f ca="1">IF($A295="*","",OFFSET(ITEMS_UPS!$C$8,AR295,0))</f>
        <v>UCOGCLEHGN</v>
      </c>
      <c r="D295" s="440" t="str">
        <f ca="1">IF($A295="*","",IF(VLOOKUP("*#"&amp;$AS295,$A$10:$I$24,D$9+1,FALSE)="-","-",OFFSET(UPS!$C$37,AU295+AV295,SUMIF($A$10:$A$20,"*#"&amp;AS295,$AT$10:$AT$20))))</f>
        <v>-</v>
      </c>
      <c r="E295" s="440" t="str">
        <f t="shared" si="134"/>
        <v>-</v>
      </c>
      <c r="F295" s="440" t="str">
        <f t="shared" si="135"/>
        <v>-</v>
      </c>
      <c r="G295" s="440" t="str">
        <f>IF($A295="*","",VLOOKUP("*#"&amp;$AS295,$A$10:$I$24,G$9+1,FALSE))</f>
        <v>-</v>
      </c>
      <c r="H295" s="441" t="str">
        <f t="shared" si="137"/>
        <v>-</v>
      </c>
      <c r="I295" s="441">
        <f>IF($A295="*","",VLOOKUP("*#"&amp;$AS295,$A$10:$I$24,I$9+1,FALSE))</f>
        <v>0</v>
      </c>
      <c r="J295" s="163">
        <f ca="1">IF($A295="*","",OFFSET(UPS!$C$37,AU295,SUMIF($A$10:$A$24,"*#"&amp;AS295,$AT$10:$AT$24)))</f>
        <v>-4</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1"/>
        <v>25</v>
      </c>
      <c r="AS295" s="42">
        <f>AS294+1</f>
        <v>14</v>
      </c>
      <c r="AU295" s="42">
        <f ca="1">SUMIF(UPS!B$38:B$171,C295,UPS!BD$38:BD$171)</f>
        <v>122</v>
      </c>
    </row>
    <row r="296" spans="1:51">
      <c r="A296" s="42" t="s">
        <v>310</v>
      </c>
      <c r="B296" s="440"/>
      <c r="C296" s="440"/>
      <c r="D296" s="440"/>
      <c r="E296" s="440"/>
      <c r="F296" s="440"/>
      <c r="G296" s="440"/>
      <c r="H296" s="441"/>
      <c r="I296" s="441"/>
      <c r="J296" s="163"/>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row>
    <row r="297" spans="1:51">
      <c r="B297" s="440" t="str">
        <f t="shared" ref="B297:B308" si="142">IF(A297="*","",VLOOKUP("*#"&amp;AS297,$A$9:$B$24,2,FALSE))</f>
        <v>ACT_COST</v>
      </c>
      <c r="C297" s="440" t="str">
        <f ca="1">IF($A297="*","",OFFSET(ITEMS_UPS!$C$8,AR297,0))</f>
        <v>UELEP1HGN</v>
      </c>
      <c r="D297" s="440" t="str">
        <f ca="1">IF($A297="*","",IF(VLOOKUP("*#"&amp;$AS297,$A$10:$I$24,D$9+1,FALSE)="-","-",OFFSET(UPS!$C$37,AU297+AV297,SUMIF($A$10:$A$20,"*#"&amp;AS297,$AT$10:$AT$20))))</f>
        <v>-</v>
      </c>
      <c r="E297" s="440" t="str">
        <f t="shared" ref="E297:E308" si="143">IF($A297="*","",IF(VLOOKUP("*#"&amp;$AS297,$A$10:$I$24,E$9+1,FALSE)="-","-",C297&amp;"-"&amp;RIGHT(VLOOKUP("*#"&amp;$AS297,$A$10:$I$24,E$9+1,FALSE),1)))</f>
        <v>-</v>
      </c>
      <c r="F297" s="440" t="str">
        <f t="shared" ref="F297:F308" si="144">IF($A297="*","",IF(VLOOKUP("*#"&amp;$AS297,$A$10:$I$24,F$9+1,FALSE)="-","-",C297&amp;"-"&amp;RIGHT(VLOOKUP("*#"&amp;$AS297,$A$10:$I$24,F$9+1,FALSE),1)))</f>
        <v>-</v>
      </c>
      <c r="G297" s="440" t="str">
        <f t="shared" ref="G297:G305" si="145">IF($A297="*","",VLOOKUP("*#"&amp;$AS297,$A$10:$I$20,G$9+1,FALSE))</f>
        <v>-</v>
      </c>
      <c r="H297" s="441" t="str">
        <f t="shared" ref="H297:H313" si="146">IF($A297="*","",VLOOKUP("*#"&amp;$AS297,$A$10:$I$24,H$9+1,FALSE))</f>
        <v>-</v>
      </c>
      <c r="I297" s="441">
        <f t="shared" ref="I297:I305" si="147">IF($A297="*","",VLOOKUP("*#"&amp;$AS297,$A$10:$I$20,I$9+1,FALSE))</f>
        <v>0</v>
      </c>
      <c r="J297" s="163">
        <f ca="1">IF($A297="*","",OFFSET(UPS!$C$37,AU297,SUMIF($A$10:$A$20,"*#"&amp;AS297,$AT$10:$AT$20)))</f>
        <v>0</v>
      </c>
      <c r="K297" s="163" t="str">
        <f t="array" aca="1" ref="K297" ca="1">IFERROR(INDEX(HydrogenELT2019!$F$6:$J$17,MATCH(TS_TTech!$C297&amp;TS_TTech!$B297,HydrogenELT2019!$A$6:$A$17&amp;HydrogenELT2019!$B$6:$B$17,0),MATCH(TS_TTech!K$7,HydrogenELT2019!$F$5:$J$5,0)),"")</f>
        <v/>
      </c>
      <c r="L297" s="163" t="str">
        <f t="array" aca="1" ref="L297" ca="1">IFERROR(INDEX(HydrogenELT2019!$F$6:$J$17,MATCH(TS_TTech!$C297&amp;TS_TTech!$B297,HydrogenELT2019!$A$6:$A$17&amp;HydrogenELT2019!$B$6:$B$17,0),MATCH(TS_TTech!L$7,HydrogenELT2019!$F$5:$J$5,0)),"")</f>
        <v/>
      </c>
      <c r="M297" s="163" t="str">
        <f t="array" aca="1" ref="M297" ca="1">IFERROR(INDEX(HydrogenELT2019!$F$6:$J$17,MATCH(TS_TTech!$C297&amp;TS_TTech!$B297,HydrogenELT2019!$A$6:$A$17&amp;HydrogenELT2019!$B$6:$B$17,0),MATCH(TS_TTech!M$7,HydrogenELT2019!$F$5:$J$5,0)),"")</f>
        <v/>
      </c>
      <c r="N297" s="163" t="str">
        <f t="array" aca="1" ref="N297" ca="1">IFERROR(INDEX(HydrogenELT2019!$F$6:$J$17,MATCH(TS_TTech!$C297&amp;TS_TTech!$B297,HydrogenELT2019!$A$6:$A$17&amp;HydrogenELT2019!$B$6:$B$17,0),MATCH(TS_TTech!N$7,HydrogenELT2019!$F$5:$J$5,0)),"")</f>
        <v/>
      </c>
      <c r="O297" s="163" t="str">
        <f t="array" aca="1" ref="O297" ca="1">IFERROR(INDEX(HydrogenELT2019!$F$6:$J$17,MATCH(TS_TTech!$C297&amp;TS_TTech!$B297,HydrogenELT2019!$A$6:$A$17&amp;HydrogenELT2019!$B$6:$B$17,0),MATCH(TS_TTech!O$7,HydrogenELT2019!$F$5:$J$5,0)),"")</f>
        <v/>
      </c>
      <c r="P297" s="163" t="str">
        <f t="array" aca="1" ref="P297" ca="1">IFERROR(INDEX(HydrogenELT2019!$F$6:$J$17,MATCH(TS_TTech!$C297&amp;TS_TTech!$B297,HydrogenELT2019!$A$6:$A$17&amp;HydrogenELT2019!$B$6:$B$17,0),MATCH(TS_TTech!P$7,HydrogenELT2019!$F$5:$J$5,0)),"")</f>
        <v/>
      </c>
      <c r="Q297" s="163" t="str">
        <f t="array" aca="1" ref="Q297" ca="1">IFERROR(INDEX(HydrogenELT2019!$F$6:$J$17,MATCH(TS_TTech!$C297&amp;TS_TTech!$B297,HydrogenELT2019!$A$6:$A$17&amp;HydrogenELT2019!$B$6:$B$17,0),MATCH(TS_TTech!Q$7,HydrogenELT2019!$F$5:$J$5,0)),"")</f>
        <v/>
      </c>
      <c r="R297" s="163" t="str">
        <f t="array" aca="1" ref="R297" ca="1">IFERROR(INDEX(HydrogenELT2019!$F$6:$J$17,MATCH(TS_TTech!$C297&amp;TS_TTech!$B297,HydrogenELT2019!$A$6:$A$17&amp;HydrogenELT2019!$B$6:$B$17,0),MATCH(TS_TTech!R$7,HydrogenELT2019!$F$5:$J$5,0)),"")</f>
        <v/>
      </c>
      <c r="S297" s="163" t="str">
        <f t="array" aca="1" ref="S297" ca="1">IFERROR(INDEX(HydrogenELT2019!$F$6:$J$17,MATCH(TS_TTech!$C297&amp;TS_TTech!$B297,HydrogenELT2019!$A$6:$A$17&amp;HydrogenELT2019!$B$6:$B$17,0),MATCH(TS_TTech!S$7,HydrogenELT2019!$F$5:$J$5,0)),"")</f>
        <v/>
      </c>
      <c r="T297" s="163" t="str">
        <f t="array" aca="1" ref="T297" ca="1">IFERROR(INDEX(HydrogenELT2019!$F$6:$J$17,MATCH(TS_TTech!$C297&amp;TS_TTech!$B297,HydrogenELT2019!$A$6:$A$17&amp;HydrogenELT2019!$B$6:$B$17,0),MATCH(TS_TTech!T$7,HydrogenELT2019!$F$5:$J$5,0)),"")</f>
        <v/>
      </c>
      <c r="U297" s="163" t="str">
        <f t="array" aca="1" ref="U297" ca="1">IFERROR(INDEX(HydrogenELT2019!$F$6:$J$17,MATCH(TS_TTech!$C297&amp;TS_TTech!$B297,HydrogenELT2019!$A$6:$A$17&amp;HydrogenELT2019!$B$6:$B$17,0),MATCH(TS_TTech!U$7,HydrogenELT2019!$F$5:$J$5,0)),"")</f>
        <v/>
      </c>
      <c r="V297" s="163" t="str">
        <f t="array" aca="1" ref="V297" ca="1">IFERROR(INDEX(HydrogenELT2019!$F$6:$J$17,MATCH(TS_TTech!$C297&amp;TS_TTech!$B297,HydrogenELT2019!$A$6:$A$17&amp;HydrogenELT2019!$B$6:$B$17,0),MATCH(TS_TTech!V$7,HydrogenELT2019!$F$5:$J$5,0)),"")</f>
        <v/>
      </c>
      <c r="W297" s="163" t="str">
        <f t="array" aca="1" ref="W297" ca="1">IFERROR(INDEX(HydrogenELT2019!$F$6:$J$17,MATCH(TS_TTech!$C297&amp;TS_TTech!$B297,HydrogenELT2019!$A$6:$A$17&amp;HydrogenELT2019!$B$6:$B$17,0),MATCH(TS_TTech!W$7,HydrogenELT2019!$F$5:$J$5,0)),"")</f>
        <v/>
      </c>
      <c r="X297" s="163" t="str">
        <f t="array" aca="1" ref="X297" ca="1">IFERROR(INDEX(HydrogenELT2019!$F$6:$J$17,MATCH(TS_TTech!$C297&amp;TS_TTech!$B297,HydrogenELT2019!$A$6:$A$17&amp;HydrogenELT2019!$B$6:$B$17,0),MATCH(TS_TTech!X$7,HydrogenELT2019!$F$5:$J$5,0)),"")</f>
        <v/>
      </c>
      <c r="Y297" s="163" t="str">
        <f t="array" aca="1" ref="Y297" ca="1">IFERROR(INDEX(HydrogenELT2019!$F$6:$J$17,MATCH(TS_TTech!$C297&amp;TS_TTech!$B297,HydrogenELT2019!$A$6:$A$17&amp;HydrogenELT2019!$B$6:$B$17,0),MATCH(TS_TTech!Y$7,HydrogenELT2019!$F$5:$J$5,0)),"")</f>
        <v/>
      </c>
      <c r="Z297" s="163" t="str">
        <f t="array" aca="1" ref="Z297" ca="1">IFERROR(INDEX(HydrogenELT2019!$F$6:$J$17,MATCH(TS_TTech!$C297&amp;TS_TTech!$B297,HydrogenELT2019!$A$6:$A$17&amp;HydrogenELT2019!$B$6:$B$17,0),MATCH(TS_TTech!Z$7,HydrogenELT2019!$F$5:$J$5,0)),"")</f>
        <v/>
      </c>
      <c r="AA297" s="163" t="str">
        <f t="array" aca="1" ref="AA297" ca="1">IFERROR(INDEX(HydrogenELT2019!$F$6:$J$17,MATCH(TS_TTech!$C297&amp;TS_TTech!$B297,HydrogenELT2019!$A$6:$A$17&amp;HydrogenELT2019!$B$6:$B$17,0),MATCH(TS_TTech!AA$7,HydrogenELT2019!$F$5:$J$5,0)),"")</f>
        <v/>
      </c>
      <c r="AB297" s="163" t="str">
        <f t="array" aca="1" ref="AB297" ca="1">IFERROR(INDEX(HydrogenELT2019!$F$6:$J$17,MATCH(TS_TTech!$C297&amp;TS_TTech!$B297,HydrogenELT2019!$A$6:$A$17&amp;HydrogenELT2019!$B$6:$B$17,0),MATCH(TS_TTech!AB$7,HydrogenELT2019!$F$5:$J$5,0)),"")</f>
        <v/>
      </c>
      <c r="AC297" s="163" t="str">
        <f t="array" aca="1" ref="AC297" ca="1">IFERROR(INDEX(HydrogenELT2019!$F$6:$J$17,MATCH(TS_TTech!$C297&amp;TS_TTech!$B297,HydrogenELT2019!$A$6:$A$17&amp;HydrogenELT2019!$B$6:$B$17,0),MATCH(TS_TTech!AC$7,HydrogenELT2019!$F$5:$J$5,0)),"")</f>
        <v/>
      </c>
      <c r="AD297" s="163" t="str">
        <f t="array" aca="1" ref="AD297" ca="1">IFERROR(INDEX(HydrogenELT2019!$F$6:$J$17,MATCH(TS_TTech!$C297&amp;TS_TTech!$B297,HydrogenELT2019!$A$6:$A$17&amp;HydrogenELT2019!$B$6:$B$17,0),MATCH(TS_TTech!AD$7,HydrogenELT2019!$F$5:$J$5,0)),"")</f>
        <v/>
      </c>
      <c r="AE297" s="163" t="str">
        <f t="array" aca="1" ref="AE297" ca="1">IFERROR(INDEX(HydrogenELT2019!$F$6:$J$17,MATCH(TS_TTech!$C297&amp;TS_TTech!$B297,HydrogenELT2019!$A$6:$A$17&amp;HydrogenELT2019!$B$6:$B$17,0),MATCH(TS_TTech!AE$7,HydrogenELT2019!$F$5:$J$5,0)),"")</f>
        <v/>
      </c>
      <c r="AF297" s="163" t="str">
        <f t="array" aca="1" ref="AF297" ca="1">IFERROR(INDEX(HydrogenELT2019!$F$6:$J$17,MATCH(TS_TTech!$C297&amp;TS_TTech!$B297,HydrogenELT2019!$A$6:$A$17&amp;HydrogenELT2019!$B$6:$B$17,0),MATCH(TS_TTech!AF$7,HydrogenELT2019!$F$5:$J$5,0)),"")</f>
        <v/>
      </c>
      <c r="AG297" s="163" t="str">
        <f t="array" aca="1" ref="AG297" ca="1">IFERROR(INDEX(HydrogenELT2019!$F$6:$J$17,MATCH(TS_TTech!$C297&amp;TS_TTech!$B297,HydrogenELT2019!$A$6:$A$17&amp;HydrogenELT2019!$B$6:$B$17,0),MATCH(TS_TTech!AG$7,HydrogenELT2019!$F$5:$J$5,0)),"")</f>
        <v/>
      </c>
      <c r="AH297" s="163" t="str">
        <f t="array" aca="1" ref="AH297" ca="1">IFERROR(INDEX(HydrogenELT2019!$F$6:$J$17,MATCH(TS_TTech!$C297&amp;TS_TTech!$B297,HydrogenELT2019!$A$6:$A$17&amp;HydrogenELT2019!$B$6:$B$17,0),MATCH(TS_TTech!AH$7,HydrogenELT2019!$F$5:$J$5,0)),"")</f>
        <v/>
      </c>
      <c r="AI297" s="163" t="str">
        <f t="array" aca="1" ref="AI297" ca="1">IFERROR(INDEX(HydrogenELT2019!$F$6:$J$17,MATCH(TS_TTech!$C297&amp;TS_TTech!$B297,HydrogenELT2019!$A$6:$A$17&amp;HydrogenELT2019!$B$6:$B$17,0),MATCH(TS_TTech!AI$7,HydrogenELT2019!$F$5:$J$5,0)),"")</f>
        <v/>
      </c>
      <c r="AJ297" s="163" t="str">
        <f t="array" aca="1" ref="AJ297" ca="1">IFERROR(INDEX(HydrogenELT2019!$F$6:$J$17,MATCH(TS_TTech!$C297&amp;TS_TTech!$B297,HydrogenELT2019!$A$6:$A$17&amp;HydrogenELT2019!$B$6:$B$17,0),MATCH(TS_TTech!AJ$7,HydrogenELT2019!$F$5:$J$5,0)),"")</f>
        <v/>
      </c>
      <c r="AK297" s="163" t="str">
        <f t="array" aca="1" ref="AK297" ca="1">IFERROR(INDEX(HydrogenELT2019!$F$6:$J$17,MATCH(TS_TTech!$C297&amp;TS_TTech!$B297,HydrogenELT2019!$A$6:$A$17&amp;HydrogenELT2019!$B$6:$B$17,0),MATCH(TS_TTech!AK$7,HydrogenELT2019!$F$5:$J$5,0)),"")</f>
        <v/>
      </c>
      <c r="AL297" s="163" t="str">
        <f t="array" aca="1" ref="AL297" ca="1">IFERROR(INDEX(HydrogenELT2019!$F$6:$J$17,MATCH(TS_TTech!$C297&amp;TS_TTech!$B297,HydrogenELT2019!$A$6:$A$17&amp;HydrogenELT2019!$B$6:$B$17,0),MATCH(TS_TTech!AL$7,HydrogenELT2019!$F$5:$J$5,0)),"")</f>
        <v/>
      </c>
      <c r="AM297" s="163" t="str">
        <f t="array" aca="1" ref="AM297" ca="1">IFERROR(INDEX(HydrogenELT2019!$F$6:$J$17,MATCH(TS_TTech!$C297&amp;TS_TTech!$B297,HydrogenELT2019!$A$6:$A$17&amp;HydrogenELT2019!$B$6:$B$17,0),MATCH(TS_TTech!AM$7,HydrogenELT2019!$F$5:$J$5,0)),"")</f>
        <v/>
      </c>
      <c r="AN297" s="163" t="str">
        <f t="array" aca="1" ref="AN297" ca="1">IFERROR(INDEX(HydrogenELT2019!$F$6:$J$17,MATCH(TS_TTech!$C297&amp;TS_TTech!$B297,HydrogenELT2019!$A$6:$A$17&amp;HydrogenELT2019!$B$6:$B$17,0),MATCH(TS_TTech!AN$7,HydrogenELT2019!$F$5:$J$5,0)),"")</f>
        <v/>
      </c>
      <c r="AO297" s="163" t="str">
        <f t="array" aca="1" ref="AO297" ca="1">IFERROR(INDEX(HydrogenELT2019!$F$6:$J$17,MATCH(TS_TTech!$C297&amp;TS_TTech!$B297,HydrogenELT2019!$A$6:$A$17&amp;HydrogenELT2019!$B$6:$B$17,0),MATCH(TS_TTech!AO$7,HydrogenELT2019!$F$5:$J$5,0)),"")</f>
        <v/>
      </c>
      <c r="AP297" s="163" t="str">
        <f t="array" aca="1" ref="AP297" ca="1">IFERROR(INDEX(HydrogenELT2019!$F$6:$J$17,MATCH(TS_TTech!$C297&amp;TS_TTech!$B297,HydrogenELT2019!$A$6:$A$17&amp;HydrogenELT2019!$B$6:$B$17,0),MATCH(TS_TTech!AP$7,HydrogenELT2019!$F$5:$J$5,0)),"")</f>
        <v/>
      </c>
      <c r="AR297" s="42">
        <f>AR295+1</f>
        <v>26</v>
      </c>
      <c r="AS297" s="42">
        <v>1</v>
      </c>
      <c r="AU297" s="42">
        <f ca="1">SUMIF(UPS!B$38:B$171,C297,UPS!BD$38:BD$171)</f>
        <v>128</v>
      </c>
    </row>
    <row r="298" spans="1:51">
      <c r="B298" s="440" t="str">
        <f t="shared" si="142"/>
        <v>NCAP_AFA</v>
      </c>
      <c r="C298" s="440" t="str">
        <f ca="1">IF($A298="*","",OFFSET(ITEMS_UPS!$C$8,AR298,0))</f>
        <v>UELEP1HGN</v>
      </c>
      <c r="D298" s="440" t="str">
        <f ca="1">IF($A298="*","",IF(VLOOKUP("*#"&amp;$AS298,$A$10:$I$24,D$9+1,FALSE)="-","-",OFFSET(UPS!$C$37,AU298+AV298,SUMIF($A$10:$A$20,"*#"&amp;AS298,$AT$10:$AT$20))))</f>
        <v>-</v>
      </c>
      <c r="E298" s="440" t="str">
        <f t="shared" si="143"/>
        <v>-</v>
      </c>
      <c r="F298" s="440" t="str">
        <f t="shared" si="144"/>
        <v>-</v>
      </c>
      <c r="G298" s="440" t="str">
        <f t="shared" si="145"/>
        <v>ANNUAL</v>
      </c>
      <c r="H298" s="441" t="str">
        <f t="shared" si="146"/>
        <v>UP</v>
      </c>
      <c r="I298" s="441">
        <f t="shared" si="147"/>
        <v>3</v>
      </c>
      <c r="J298" s="163">
        <f ca="1">IF($A298="*","",OFFSET(UPS!$C$37,AU298,SUMIF($A$10:$A$20,"*#"&amp;AS298,$AT$10:$AT$20)))</f>
        <v>0.9</v>
      </c>
      <c r="K298" s="163" t="str">
        <f t="array" aca="1" ref="K298" ca="1">IFERROR(INDEX(HydrogenELT2019!$F$6:$J$17,MATCH(TS_TTech!$C298&amp;TS_TTech!$B298,HydrogenELT2019!$A$6:$A$17&amp;HydrogenELT2019!$B$6:$B$17,0),MATCH(TS_TTech!K$7,HydrogenELT2019!$F$5:$J$5,0)),"")</f>
        <v/>
      </c>
      <c r="L298" s="163" t="str">
        <f t="array" aca="1" ref="L298" ca="1">IFERROR(INDEX(HydrogenELT2019!$F$6:$J$17,MATCH(TS_TTech!$C298&amp;TS_TTech!$B298,HydrogenELT2019!$A$6:$A$17&amp;HydrogenELT2019!$B$6:$B$17,0),MATCH(TS_TTech!L$7,HydrogenELT2019!$F$5:$J$5,0)),"")</f>
        <v/>
      </c>
      <c r="M298" s="163" t="str">
        <f t="array" aca="1" ref="M298" ca="1">IFERROR(INDEX(HydrogenELT2019!$F$6:$J$17,MATCH(TS_TTech!$C298&amp;TS_TTech!$B298,HydrogenELT2019!$A$6:$A$17&amp;HydrogenELT2019!$B$6:$B$17,0),MATCH(TS_TTech!M$7,HydrogenELT2019!$F$5:$J$5,0)),"")</f>
        <v/>
      </c>
      <c r="N298" s="163" t="str">
        <f t="array" aca="1" ref="N298" ca="1">IFERROR(INDEX(HydrogenELT2019!$F$6:$J$17,MATCH(TS_TTech!$C298&amp;TS_TTech!$B298,HydrogenELT2019!$A$6:$A$17&amp;HydrogenELT2019!$B$6:$B$17,0),MATCH(TS_TTech!N$7,HydrogenELT2019!$F$5:$J$5,0)),"")</f>
        <v/>
      </c>
      <c r="O298" s="163" t="str">
        <f t="array" aca="1" ref="O298" ca="1">IFERROR(INDEX(HydrogenELT2019!$F$6:$J$17,MATCH(TS_TTech!$C298&amp;TS_TTech!$B298,HydrogenELT2019!$A$6:$A$17&amp;HydrogenELT2019!$B$6:$B$17,0),MATCH(TS_TTech!O$7,HydrogenELT2019!$F$5:$J$5,0)),"")</f>
        <v/>
      </c>
      <c r="P298" s="163" t="str">
        <f t="array" aca="1" ref="P298" ca="1">IFERROR(INDEX(HydrogenELT2019!$F$6:$J$17,MATCH(TS_TTech!$C298&amp;TS_TTech!$B298,HydrogenELT2019!$A$6:$A$17&amp;HydrogenELT2019!$B$6:$B$17,0),MATCH(TS_TTech!P$7,HydrogenELT2019!$F$5:$J$5,0)),"")</f>
        <v/>
      </c>
      <c r="Q298" s="163" t="str" cm="1">
        <f t="array" aca="1" ref="Q298" ca="1">IFERROR(INDEX(HydrogenELT2019!$F$6:$J$17,MATCH(TS_TTech!$C298&amp;TS_TTech!$B298,HydrogenELT2019!$A$6:$A$17&amp;HydrogenELT2019!$B$6:$B$17,0),MATCH(TS_TTech!Q$7,HydrogenELT2019!$F$5:$J$5,0)),"")</f>
        <v/>
      </c>
      <c r="R298" s="163">
        <f t="array" aca="1" ref="R298" ca="1">IFERROR(INDEX(HydrogenELT2019!$F$6:$J$17,MATCH(TS_TTech!$C298&amp;TS_TTech!$B298,HydrogenELT2019!$A$6:$A$17&amp;HydrogenELT2019!$B$6:$B$17,0),MATCH(TS_TTech!R$7,HydrogenELT2019!$F$5:$J$5,0)),"")</f>
        <v>0.9</v>
      </c>
      <c r="S298" s="163" t="str">
        <f t="array" aca="1" ref="S298" ca="1">IFERROR(INDEX(HydrogenELT2019!$F$6:$J$17,MATCH(TS_TTech!$C298&amp;TS_TTech!$B298,HydrogenELT2019!$A$6:$A$17&amp;HydrogenELT2019!$B$6:$B$17,0),MATCH(TS_TTech!S$7,HydrogenELT2019!$F$5:$J$5,0)),"")</f>
        <v/>
      </c>
      <c r="T298" s="163" t="str">
        <f t="array" aca="1" ref="T298" ca="1">IFERROR(INDEX(HydrogenELT2019!$F$6:$J$17,MATCH(TS_TTech!$C298&amp;TS_TTech!$B298,HydrogenELT2019!$A$6:$A$17&amp;HydrogenELT2019!$B$6:$B$17,0),MATCH(TS_TTech!T$7,HydrogenELT2019!$F$5:$J$5,0)),"")</f>
        <v/>
      </c>
      <c r="U298" s="163" t="str">
        <f t="array" aca="1" ref="U298" ca="1">IFERROR(INDEX(HydrogenELT2019!$F$6:$J$17,MATCH(TS_TTech!$C298&amp;TS_TTech!$B298,HydrogenELT2019!$A$6:$A$17&amp;HydrogenELT2019!$B$6:$B$17,0),MATCH(TS_TTech!U$7,HydrogenELT2019!$F$5:$J$5,0)),"")</f>
        <v/>
      </c>
      <c r="V298" s="163" t="str">
        <f t="array" aca="1" ref="V298" ca="1">IFERROR(INDEX(HydrogenELT2019!$F$6:$J$17,MATCH(TS_TTech!$C298&amp;TS_TTech!$B298,HydrogenELT2019!$A$6:$A$17&amp;HydrogenELT2019!$B$6:$B$17,0),MATCH(TS_TTech!V$7,HydrogenELT2019!$F$5:$J$5,0)),"")</f>
        <v/>
      </c>
      <c r="W298" s="163" t="str">
        <f t="array" aca="1" ref="W298" ca="1">IFERROR(INDEX(HydrogenELT2019!$F$6:$J$17,MATCH(TS_TTech!$C298&amp;TS_TTech!$B298,HydrogenELT2019!$A$6:$A$17&amp;HydrogenELT2019!$B$6:$B$17,0),MATCH(TS_TTech!W$7,HydrogenELT2019!$F$5:$J$5,0)),"")</f>
        <v/>
      </c>
      <c r="X298" s="163" t="str">
        <f t="array" aca="1" ref="X298" ca="1">IFERROR(INDEX(HydrogenELT2019!$F$6:$J$17,MATCH(TS_TTech!$C298&amp;TS_TTech!$B298,HydrogenELT2019!$A$6:$A$17&amp;HydrogenELT2019!$B$6:$B$17,0),MATCH(TS_TTech!X$7,HydrogenELT2019!$F$5:$J$5,0)),"")</f>
        <v/>
      </c>
      <c r="Y298" s="163" t="str">
        <f t="array" aca="1" ref="Y298" ca="1">IFERROR(INDEX(HydrogenELT2019!$F$6:$J$17,MATCH(TS_TTech!$C298&amp;TS_TTech!$B298,HydrogenELT2019!$A$6:$A$17&amp;HydrogenELT2019!$B$6:$B$17,0),MATCH(TS_TTech!Y$7,HydrogenELT2019!$F$5:$J$5,0)),"")</f>
        <v/>
      </c>
      <c r="Z298" s="163" t="str">
        <f t="array" aca="1" ref="Z298" ca="1">IFERROR(INDEX(HydrogenELT2019!$F$6:$J$17,MATCH(TS_TTech!$C298&amp;TS_TTech!$B298,HydrogenELT2019!$A$6:$A$17&amp;HydrogenELT2019!$B$6:$B$17,0),MATCH(TS_TTech!Z$7,HydrogenELT2019!$F$5:$J$5,0)),"")</f>
        <v/>
      </c>
      <c r="AA298" s="163" t="str">
        <f t="array" aca="1" ref="AA298" ca="1">IFERROR(INDEX(HydrogenELT2019!$F$6:$J$17,MATCH(TS_TTech!$C298&amp;TS_TTech!$B298,HydrogenELT2019!$A$6:$A$17&amp;HydrogenELT2019!$B$6:$B$17,0),MATCH(TS_TTech!AA$7,HydrogenELT2019!$F$5:$J$5,0)),"")</f>
        <v/>
      </c>
      <c r="AB298" s="163">
        <f t="array" aca="1" ref="AB298" ca="1">IFERROR(INDEX(HydrogenELT2019!$F$6:$J$17,MATCH(TS_TTech!$C298&amp;TS_TTech!$B298,HydrogenELT2019!$A$6:$A$17&amp;HydrogenELT2019!$B$6:$B$17,0),MATCH(TS_TTech!AB$7,HydrogenELT2019!$F$5:$J$5,0)),"")</f>
        <v>0.9</v>
      </c>
      <c r="AC298" s="163" t="str">
        <f t="array" aca="1" ref="AC298" ca="1">IFERROR(INDEX(HydrogenELT2019!$F$6:$J$17,MATCH(TS_TTech!$C298&amp;TS_TTech!$B298,HydrogenELT2019!$A$6:$A$17&amp;HydrogenELT2019!$B$6:$B$17,0),MATCH(TS_TTech!AC$7,HydrogenELT2019!$F$5:$J$5,0)),"")</f>
        <v/>
      </c>
      <c r="AD298" s="163" t="str">
        <f t="array" aca="1" ref="AD298" ca="1">IFERROR(INDEX(HydrogenELT2019!$F$6:$J$17,MATCH(TS_TTech!$C298&amp;TS_TTech!$B298,HydrogenELT2019!$A$6:$A$17&amp;HydrogenELT2019!$B$6:$B$17,0),MATCH(TS_TTech!AD$7,HydrogenELT2019!$F$5:$J$5,0)),"")</f>
        <v/>
      </c>
      <c r="AE298" s="163" t="str">
        <f t="array" aca="1" ref="AE298" ca="1">IFERROR(INDEX(HydrogenELT2019!$F$6:$J$17,MATCH(TS_TTech!$C298&amp;TS_TTech!$B298,HydrogenELT2019!$A$6:$A$17&amp;HydrogenELT2019!$B$6:$B$17,0),MATCH(TS_TTech!AE$7,HydrogenELT2019!$F$5:$J$5,0)),"")</f>
        <v/>
      </c>
      <c r="AF298" s="163" t="str">
        <f t="array" aca="1" ref="AF298" ca="1">IFERROR(INDEX(HydrogenELT2019!$F$6:$J$17,MATCH(TS_TTech!$C298&amp;TS_TTech!$B298,HydrogenELT2019!$A$6:$A$17&amp;HydrogenELT2019!$B$6:$B$17,0),MATCH(TS_TTech!AF$7,HydrogenELT2019!$F$5:$J$5,0)),"")</f>
        <v/>
      </c>
      <c r="AG298" s="163">
        <f t="array" aca="1" ref="AG298" ca="1">IFERROR(INDEX(HydrogenELT2019!$F$6:$J$17,MATCH(TS_TTech!$C298&amp;TS_TTech!$B298,HydrogenELT2019!$A$6:$A$17&amp;HydrogenELT2019!$B$6:$B$17,0),MATCH(TS_TTech!AG$7,HydrogenELT2019!$F$5:$J$5,0)),"")</f>
        <v>0.9</v>
      </c>
      <c r="AH298" s="163" t="str">
        <f t="array" aca="1" ref="AH298" ca="1">IFERROR(INDEX(HydrogenELT2019!$F$6:$J$17,MATCH(TS_TTech!$C298&amp;TS_TTech!$B298,HydrogenELT2019!$A$6:$A$17&amp;HydrogenELT2019!$B$6:$B$17,0),MATCH(TS_TTech!AH$7,HydrogenELT2019!$F$5:$J$5,0)),"")</f>
        <v/>
      </c>
      <c r="AI298" s="163" t="str">
        <f t="array" aca="1" ref="AI298" ca="1">IFERROR(INDEX(HydrogenELT2019!$F$6:$J$17,MATCH(TS_TTech!$C298&amp;TS_TTech!$B298,HydrogenELT2019!$A$6:$A$17&amp;HydrogenELT2019!$B$6:$B$17,0),MATCH(TS_TTech!AI$7,HydrogenELT2019!$F$5:$J$5,0)),"")</f>
        <v/>
      </c>
      <c r="AJ298" s="163" t="str">
        <f t="array" aca="1" ref="AJ298" ca="1">IFERROR(INDEX(HydrogenELT2019!$F$6:$J$17,MATCH(TS_TTech!$C298&amp;TS_TTech!$B298,HydrogenELT2019!$A$6:$A$17&amp;HydrogenELT2019!$B$6:$B$17,0),MATCH(TS_TTech!AJ$7,HydrogenELT2019!$F$5:$J$5,0)),"")</f>
        <v/>
      </c>
      <c r="AK298" s="163" t="str">
        <f t="array" aca="1" ref="AK298" ca="1">IFERROR(INDEX(HydrogenELT2019!$F$6:$J$17,MATCH(TS_TTech!$C298&amp;TS_TTech!$B298,HydrogenELT2019!$A$6:$A$17&amp;HydrogenELT2019!$B$6:$B$17,0),MATCH(TS_TTech!AK$7,HydrogenELT2019!$F$5:$J$5,0)),"")</f>
        <v/>
      </c>
      <c r="AL298" s="163">
        <f t="array" aca="1" ref="AL298" ca="1">IFERROR(INDEX(HydrogenELT2019!$F$6:$J$17,MATCH(TS_TTech!$C298&amp;TS_TTech!$B298,HydrogenELT2019!$A$6:$A$17&amp;HydrogenELT2019!$B$6:$B$17,0),MATCH(TS_TTech!AL$7,HydrogenELT2019!$F$5:$J$5,0)),"")</f>
        <v>0.9</v>
      </c>
      <c r="AM298" s="163" t="str">
        <f t="array" aca="1" ref="AM298" ca="1">IFERROR(INDEX(HydrogenELT2019!$F$6:$J$17,MATCH(TS_TTech!$C298&amp;TS_TTech!$B298,HydrogenELT2019!$A$6:$A$17&amp;HydrogenELT2019!$B$6:$B$17,0),MATCH(TS_TTech!AM$7,HydrogenELT2019!$F$5:$J$5,0)),"")</f>
        <v/>
      </c>
      <c r="AN298" s="163">
        <f t="array" aca="1" ref="AN298" ca="1">IFERROR(INDEX(HydrogenELT2019!$F$6:$J$17,MATCH(TS_TTech!$C298&amp;TS_TTech!$B298,HydrogenELT2019!$A$6:$A$17&amp;HydrogenELT2019!$B$6:$B$17,0),MATCH(TS_TTech!AN$7,HydrogenELT2019!$F$5:$J$5,0)),"")</f>
        <v>0.9</v>
      </c>
      <c r="AO298" s="163" t="str">
        <f t="array" aca="1" ref="AO298" ca="1">IFERROR(INDEX(HydrogenELT2019!$F$6:$J$17,MATCH(TS_TTech!$C298&amp;TS_TTech!$B298,HydrogenELT2019!$A$6:$A$17&amp;HydrogenELT2019!$B$6:$B$17,0),MATCH(TS_TTech!AO$7,HydrogenELT2019!$F$5:$J$5,0)),"")</f>
        <v/>
      </c>
      <c r="AP298" s="163" t="str">
        <f t="array" aca="1" ref="AP298" ca="1">IFERROR(INDEX(HydrogenELT2019!$F$6:$J$17,MATCH(TS_TTech!$C298&amp;TS_TTech!$B298,HydrogenELT2019!$A$6:$A$17&amp;HydrogenELT2019!$B$6:$B$17,0),MATCH(TS_TTech!AP$7,HydrogenELT2019!$F$5:$J$5,0)),"")</f>
        <v/>
      </c>
      <c r="AR298" s="42">
        <f>AR297</f>
        <v>26</v>
      </c>
      <c r="AS298" s="42">
        <f>IF(AR298=AR297,AS297+1,1)</f>
        <v>2</v>
      </c>
      <c r="AU298" s="42">
        <f ca="1">SUMIF(UPS!B$38:B$171,C298,UPS!BD$38:BD$171)</f>
        <v>128</v>
      </c>
    </row>
    <row r="299" spans="1:51">
      <c r="B299" s="440" t="str">
        <f t="shared" si="142"/>
        <v>NCAP_AFA</v>
      </c>
      <c r="C299" s="440" t="str">
        <f ca="1">IF($A299="*","",OFFSET(ITEMS_UPS!$C$8,AR299,0))</f>
        <v>UELEP1HGN</v>
      </c>
      <c r="D299" s="440" t="str">
        <f ca="1">IF($A299="*","",IF(VLOOKUP("*#"&amp;$AS299,$A$10:$I$24,D$9+1,FALSE)="-","-",OFFSET(UPS!$C$37,AU299+AV299,SUMIF($A$10:$A$20,"*#"&amp;AS299,$AT$10:$AT$20))))</f>
        <v>-</v>
      </c>
      <c r="E299" s="440" t="str">
        <f t="shared" si="143"/>
        <v>-</v>
      </c>
      <c r="F299" s="440" t="str">
        <f t="shared" si="144"/>
        <v>-</v>
      </c>
      <c r="G299" s="440" t="str">
        <f t="shared" si="145"/>
        <v>ANNUAL</v>
      </c>
      <c r="H299" s="441" t="str">
        <f t="shared" si="146"/>
        <v>LO</v>
      </c>
      <c r="I299" s="441">
        <f t="shared" si="147"/>
        <v>3</v>
      </c>
      <c r="J299" s="163" t="str">
        <f ca="1">IF($A299="*","",OFFSET(UPS!$C$37,AU299,SUMIF($A$10:$A$20,"*#"&amp;AS299,$AT$10:$AT$20)))</f>
        <v/>
      </c>
      <c r="K299" s="163" t="str">
        <f t="array" aca="1" ref="K299" ca="1">IFERROR(INDEX(HydrogenELT2019!$F$6:$J$17,MATCH(TS_TTech!$C299&amp;TS_TTech!$B299,HydrogenELT2019!$A$6:$A$17&amp;HydrogenELT2019!$B$6:$B$17,0),MATCH(TS_TTech!K$7,HydrogenELT2019!$F$5:$J$5,0)),"")</f>
        <v/>
      </c>
      <c r="L299" s="163" t="str">
        <f t="array" aca="1" ref="L299" ca="1">IFERROR(INDEX(HydrogenELT2019!$F$6:$J$17,MATCH(TS_TTech!$C299&amp;TS_TTech!$B299,HydrogenELT2019!$A$6:$A$17&amp;HydrogenELT2019!$B$6:$B$17,0),MATCH(TS_TTech!L$7,HydrogenELT2019!$F$5:$J$5,0)),"")</f>
        <v/>
      </c>
      <c r="M299" s="163" t="str">
        <f t="array" aca="1" ref="M299" ca="1">IFERROR(INDEX(HydrogenELT2019!$F$6:$J$17,MATCH(TS_TTech!$C299&amp;TS_TTech!$B299,HydrogenELT2019!$A$6:$A$17&amp;HydrogenELT2019!$B$6:$B$17,0),MATCH(TS_TTech!M$7,HydrogenELT2019!$F$5:$J$5,0)),"")</f>
        <v/>
      </c>
      <c r="N299" s="163" t="str">
        <f t="array" aca="1" ref="N299" ca="1">IFERROR(INDEX(HydrogenELT2019!$F$6:$J$17,MATCH(TS_TTech!$C299&amp;TS_TTech!$B299,HydrogenELT2019!$A$6:$A$17&amp;HydrogenELT2019!$B$6:$B$17,0),MATCH(TS_TTech!N$7,HydrogenELT2019!$F$5:$J$5,0)),"")</f>
        <v/>
      </c>
      <c r="O299" s="163" t="str">
        <f t="array" aca="1" ref="O299" ca="1">IFERROR(INDEX(HydrogenELT2019!$F$6:$J$17,MATCH(TS_TTech!$C299&amp;TS_TTech!$B299,HydrogenELT2019!$A$6:$A$17&amp;HydrogenELT2019!$B$6:$B$17,0),MATCH(TS_TTech!O$7,HydrogenELT2019!$F$5:$J$5,0)),"")</f>
        <v/>
      </c>
      <c r="P299" s="163" t="str">
        <f t="array" aca="1" ref="P299" ca="1">IFERROR(INDEX(HydrogenELT2019!$F$6:$J$17,MATCH(TS_TTech!$C299&amp;TS_TTech!$B299,HydrogenELT2019!$A$6:$A$17&amp;HydrogenELT2019!$B$6:$B$17,0),MATCH(TS_TTech!P$7,HydrogenELT2019!$F$5:$J$5,0)),"")</f>
        <v/>
      </c>
      <c r="Q299" s="163" t="str">
        <f t="array" aca="1" ref="Q299" ca="1">IFERROR(INDEX(HydrogenELT2019!$F$6:$J$17,MATCH(TS_TTech!$C299&amp;TS_TTech!$B299,HydrogenELT2019!$A$6:$A$17&amp;HydrogenELT2019!$B$6:$B$17,0),MATCH(TS_TTech!Q$7,HydrogenELT2019!$F$5:$J$5,0)),"")</f>
        <v/>
      </c>
      <c r="R299" s="163"/>
      <c r="S299" s="163"/>
      <c r="T299" s="163"/>
      <c r="U299" s="163"/>
      <c r="V299" s="163"/>
      <c r="W299" s="163"/>
      <c r="X299" s="163"/>
      <c r="Y299" s="163"/>
      <c r="Z299" s="163"/>
      <c r="AA299" s="163"/>
      <c r="AB299" s="163"/>
      <c r="AC299" s="163"/>
      <c r="AD299" s="163"/>
      <c r="AE299" s="163"/>
      <c r="AF299" s="163"/>
      <c r="AG299" s="163"/>
      <c r="AH299" s="163"/>
      <c r="AI299" s="163"/>
      <c r="AJ299" s="163"/>
      <c r="AK299" s="163"/>
      <c r="AL299" s="163"/>
      <c r="AM299" s="163"/>
      <c r="AN299" s="163"/>
      <c r="AO299" s="163" t="str">
        <f t="array" aca="1" ref="AO299" ca="1">IFERROR(INDEX(HydrogenELT2019!$F$6:$J$17,MATCH(TS_TTech!$C299&amp;TS_TTech!$B299,HydrogenELT2019!$A$6:$A$17&amp;HydrogenELT2019!$B$6:$B$17,0),MATCH(TS_TTech!AO$7,HydrogenELT2019!$F$5:$J$5,0)),"")</f>
        <v/>
      </c>
      <c r="AP299" s="163" t="str">
        <f t="array" aca="1" ref="AP299" ca="1">IFERROR(INDEX(HydrogenELT2019!$F$6:$J$17,MATCH(TS_TTech!$C299&amp;TS_TTech!$B299,HydrogenELT2019!$A$6:$A$17&amp;HydrogenELT2019!$B$6:$B$17,0),MATCH(TS_TTech!AP$7,HydrogenELT2019!$F$5:$J$5,0)),"")</f>
        <v/>
      </c>
      <c r="AR299" s="42">
        <f>AR298</f>
        <v>26</v>
      </c>
      <c r="AS299" s="42">
        <f>IF(AR299=AR298,AS298+1,1)</f>
        <v>3</v>
      </c>
      <c r="AU299" s="42">
        <f ca="1">SUMIF(UPS!B$38:B$171,C299,UPS!BD$38:BD$171)</f>
        <v>128</v>
      </c>
    </row>
    <row r="300" spans="1:51">
      <c r="B300" s="440" t="str">
        <f t="shared" si="142"/>
        <v>NCAP_FOM</v>
      </c>
      <c r="C300" s="440" t="str">
        <f ca="1">IF($A300="*","",OFFSET(ITEMS_UPS!$C$8,AR300,0))</f>
        <v>UELEP1HGN</v>
      </c>
      <c r="D300" s="440" t="str">
        <f ca="1">IF($A300="*","",IF(VLOOKUP("*#"&amp;$AS300,$A$10:$I$24,D$9+1,FALSE)="-","-",OFFSET(UPS!$C$37,AU300+AV300,SUMIF($A$10:$A$20,"*#"&amp;AS300,$AT$10:$AT$20))))</f>
        <v>-</v>
      </c>
      <c r="E300" s="440" t="str">
        <f t="shared" si="143"/>
        <v>-</v>
      </c>
      <c r="F300" s="440" t="str">
        <f t="shared" si="144"/>
        <v>-</v>
      </c>
      <c r="G300" s="440" t="str">
        <f t="shared" si="145"/>
        <v>-</v>
      </c>
      <c r="H300" s="441" t="str">
        <f t="shared" si="146"/>
        <v>-</v>
      </c>
      <c r="I300" s="441">
        <f t="shared" si="147"/>
        <v>0</v>
      </c>
      <c r="J300" s="163">
        <f ca="1">IF($A300="*","",OFFSET(UPS!$C$37,AU300,SUMIF($A$10:$A$20,"*#"&amp;AS300,$AT$10:$AT$20)))</f>
        <v>9.3426640062417654</v>
      </c>
      <c r="K300" s="163" t="str">
        <f t="array" aca="1" ref="K300" ca="1">IFERROR(INDEX(HydrogenELT2019!$F$6:$J$17,MATCH(TS_TTech!$C300&amp;TS_TTech!$B300,HydrogenELT2019!$A$6:$A$17&amp;HydrogenELT2019!$B$6:$B$17,0),MATCH(TS_TTech!K$7,HydrogenELT2019!$F$5:$J$5,0)),"")</f>
        <v/>
      </c>
      <c r="L300" s="163" t="str">
        <f t="array" aca="1" ref="L300" ca="1">IFERROR(INDEX(HydrogenELT2019!$F$6:$J$17,MATCH(TS_TTech!$C300&amp;TS_TTech!$B300,HydrogenELT2019!$A$6:$A$17&amp;HydrogenELT2019!$B$6:$B$17,0),MATCH(TS_TTech!L$7,HydrogenELT2019!$F$5:$J$5,0)),"")</f>
        <v/>
      </c>
      <c r="M300" s="163" t="str">
        <f t="array" aca="1" ref="M300" ca="1">IFERROR(INDEX(HydrogenELT2019!$F$6:$J$17,MATCH(TS_TTech!$C300&amp;TS_TTech!$B300,HydrogenELT2019!$A$6:$A$17&amp;HydrogenELT2019!$B$6:$B$17,0),MATCH(TS_TTech!M$7,HydrogenELT2019!$F$5:$J$5,0)),"")</f>
        <v/>
      </c>
      <c r="N300" s="163" t="str">
        <f t="array" aca="1" ref="N300" ca="1">IFERROR(INDEX(HydrogenELT2019!$F$6:$J$17,MATCH(TS_TTech!$C300&amp;TS_TTech!$B300,HydrogenELT2019!$A$6:$A$17&amp;HydrogenELT2019!$B$6:$B$17,0),MATCH(TS_TTech!N$7,HydrogenELT2019!$F$5:$J$5,0)),"")</f>
        <v/>
      </c>
      <c r="O300" s="163" t="str">
        <f t="array" aca="1" ref="O300" ca="1">IFERROR(INDEX(HydrogenELT2019!$F$6:$J$17,MATCH(TS_TTech!$C300&amp;TS_TTech!$B300,HydrogenELT2019!$A$6:$A$17&amp;HydrogenELT2019!$B$6:$B$17,0),MATCH(TS_TTech!O$7,HydrogenELT2019!$F$5:$J$5,0)),"")</f>
        <v/>
      </c>
      <c r="P300" s="163" t="str">
        <f t="array" aca="1" ref="P300" ca="1">IFERROR(INDEX(HydrogenELT2019!$F$6:$J$17,MATCH(TS_TTech!$C300&amp;TS_TTech!$B300,HydrogenELT2019!$A$6:$A$17&amp;HydrogenELT2019!$B$6:$B$17,0),MATCH(TS_TTech!P$7,HydrogenELT2019!$F$5:$J$5,0)),"")</f>
        <v/>
      </c>
      <c r="Q300" s="163" t="str">
        <f t="array" aca="1" ref="Q300" ca="1">IFERROR(INDEX(HydrogenELT2019!$F$6:$J$17,MATCH(TS_TTech!$C300&amp;TS_TTech!$B300,HydrogenELT2019!$A$6:$A$17&amp;HydrogenELT2019!$B$6:$B$17,0),MATCH(TS_TTech!Q$7,HydrogenELT2019!$F$5:$J$5,0)),"")</f>
        <v/>
      </c>
      <c r="R300" s="163">
        <f t="array" aca="1" ref="R300" ca="1">IFERROR(INDEX(HydrogenELT2019!$F$6:$J$17,MATCH(TS_TTech!$C300&amp;TS_TTech!$B300,HydrogenELT2019!$A$6:$A$17&amp;HydrogenELT2019!$B$6:$B$17,0),MATCH(TS_TTech!R$7,HydrogenELT2019!$F$5:$J$5,0)),"")</f>
        <v>9.3426640062417654</v>
      </c>
      <c r="S300" s="163" t="str">
        <f t="array" aca="1" ref="S300" ca="1">IFERROR(INDEX(HydrogenELT2019!$F$6:$J$17,MATCH(TS_TTech!$C300&amp;TS_TTech!$B300,HydrogenELT2019!$A$6:$A$17&amp;HydrogenELT2019!$B$6:$B$17,0),MATCH(TS_TTech!S$7,HydrogenELT2019!$F$5:$J$5,0)),"")</f>
        <v/>
      </c>
      <c r="T300" s="163" t="str">
        <f t="array" aca="1" ref="T300" ca="1">IFERROR(INDEX(HydrogenELT2019!$F$6:$J$17,MATCH(TS_TTech!$C300&amp;TS_TTech!$B300,HydrogenELT2019!$A$6:$A$17&amp;HydrogenELT2019!$B$6:$B$17,0),MATCH(TS_TTech!T$7,HydrogenELT2019!$F$5:$J$5,0)),"")</f>
        <v/>
      </c>
      <c r="U300" s="163" t="str">
        <f t="array" aca="1" ref="U300" ca="1">IFERROR(INDEX(HydrogenELT2019!$F$6:$J$17,MATCH(TS_TTech!$C300&amp;TS_TTech!$B300,HydrogenELT2019!$A$6:$A$17&amp;HydrogenELT2019!$B$6:$B$17,0),MATCH(TS_TTech!U$7,HydrogenELT2019!$F$5:$J$5,0)),"")</f>
        <v/>
      </c>
      <c r="V300" s="163" t="str">
        <f t="array" aca="1" ref="V300" ca="1">IFERROR(INDEX(HydrogenELT2019!$F$6:$J$17,MATCH(TS_TTech!$C300&amp;TS_TTech!$B300,HydrogenELT2019!$A$6:$A$17&amp;HydrogenELT2019!$B$6:$B$17,0),MATCH(TS_TTech!V$7,HydrogenELT2019!$F$5:$J$5,0)),"")</f>
        <v/>
      </c>
      <c r="W300" s="163" t="str">
        <f t="array" aca="1" ref="W300" ca="1">IFERROR(INDEX(HydrogenELT2019!$F$6:$J$17,MATCH(TS_TTech!$C300&amp;TS_TTech!$B300,HydrogenELT2019!$A$6:$A$17&amp;HydrogenELT2019!$B$6:$B$17,0),MATCH(TS_TTech!W$7,HydrogenELT2019!$F$5:$J$5,0)),"")</f>
        <v/>
      </c>
      <c r="X300" s="163" t="str">
        <f t="array" aca="1" ref="X300" ca="1">IFERROR(INDEX(HydrogenELT2019!$F$6:$J$17,MATCH(TS_TTech!$C300&amp;TS_TTech!$B300,HydrogenELT2019!$A$6:$A$17&amp;HydrogenELT2019!$B$6:$B$17,0),MATCH(TS_TTech!X$7,HydrogenELT2019!$F$5:$J$5,0)),"")</f>
        <v/>
      </c>
      <c r="Y300" s="163" t="str">
        <f t="array" aca="1" ref="Y300" ca="1">IFERROR(INDEX(HydrogenELT2019!$F$6:$J$17,MATCH(TS_TTech!$C300&amp;TS_TTech!$B300,HydrogenELT2019!$A$6:$A$17&amp;HydrogenELT2019!$B$6:$B$17,0),MATCH(TS_TTech!Y$7,HydrogenELT2019!$F$5:$J$5,0)),"")</f>
        <v/>
      </c>
      <c r="Z300" s="163" t="str">
        <f t="array" aca="1" ref="Z300" ca="1">IFERROR(INDEX(HydrogenELT2019!$F$6:$J$17,MATCH(TS_TTech!$C300&amp;TS_TTech!$B300,HydrogenELT2019!$A$6:$A$17&amp;HydrogenELT2019!$B$6:$B$17,0),MATCH(TS_TTech!Z$7,HydrogenELT2019!$F$5:$J$5,0)),"")</f>
        <v/>
      </c>
      <c r="AA300" s="163" t="str">
        <f t="array" aca="1" ref="AA300" ca="1">IFERROR(INDEX(HydrogenELT2019!$F$6:$J$17,MATCH(TS_TTech!$C300&amp;TS_TTech!$B300,HydrogenELT2019!$A$6:$A$17&amp;HydrogenELT2019!$B$6:$B$17,0),MATCH(TS_TTech!AA$7,HydrogenELT2019!$F$5:$J$5,0)),"")</f>
        <v/>
      </c>
      <c r="AB300" s="163">
        <f t="array" aca="1" ref="AB300" ca="1">IFERROR(INDEX(HydrogenELT2019!$F$6:$J$17,MATCH(TS_TTech!$C300&amp;TS_TTech!$B300,HydrogenELT2019!$A$6:$A$17&amp;HydrogenELT2019!$B$6:$B$17,0),MATCH(TS_TTech!AB$7,HydrogenELT2019!$F$5:$J$5,0)),"")</f>
        <v>6.4432165560288039</v>
      </c>
      <c r="AC300" s="163" t="str">
        <f t="array" aca="1" ref="AC300" ca="1">IFERROR(INDEX(HydrogenELT2019!$F$6:$J$17,MATCH(TS_TTech!$C300&amp;TS_TTech!$B300,HydrogenELT2019!$A$6:$A$17&amp;HydrogenELT2019!$B$6:$B$17,0),MATCH(TS_TTech!AC$7,HydrogenELT2019!$F$5:$J$5,0)),"")</f>
        <v/>
      </c>
      <c r="AD300" s="163" t="str">
        <f t="array" aca="1" ref="AD300" ca="1">IFERROR(INDEX(HydrogenELT2019!$F$6:$J$17,MATCH(TS_TTech!$C300&amp;TS_TTech!$B300,HydrogenELT2019!$A$6:$A$17&amp;HydrogenELT2019!$B$6:$B$17,0),MATCH(TS_TTech!AD$7,HydrogenELT2019!$F$5:$J$5,0)),"")</f>
        <v/>
      </c>
      <c r="AE300" s="163" t="str">
        <f t="array" aca="1" ref="AE300" ca="1">IFERROR(INDEX(HydrogenELT2019!$F$6:$J$17,MATCH(TS_TTech!$C300&amp;TS_TTech!$B300,HydrogenELT2019!$A$6:$A$17&amp;HydrogenELT2019!$B$6:$B$17,0),MATCH(TS_TTech!AE$7,HydrogenELT2019!$F$5:$J$5,0)),"")</f>
        <v/>
      </c>
      <c r="AF300" s="163" t="str">
        <f t="array" aca="1" ref="AF300" ca="1">IFERROR(INDEX(HydrogenELT2019!$F$6:$J$17,MATCH(TS_TTech!$C300&amp;TS_TTech!$B300,HydrogenELT2019!$A$6:$A$17&amp;HydrogenELT2019!$B$6:$B$17,0),MATCH(TS_TTech!AF$7,HydrogenELT2019!$F$5:$J$5,0)),"")</f>
        <v/>
      </c>
      <c r="AG300" s="163">
        <f t="array" aca="1" ref="AG300" ca="1">IFERROR(INDEX(HydrogenELT2019!$F$6:$J$17,MATCH(TS_TTech!$C300&amp;TS_TTech!$B300,HydrogenELT2019!$A$6:$A$17&amp;HydrogenELT2019!$B$6:$B$17,0),MATCH(TS_TTech!AG$7,HydrogenELT2019!$F$5:$J$5,0)),"")</f>
        <v>3.5437691058158416</v>
      </c>
      <c r="AH300" s="163" t="str">
        <f t="array" aca="1" ref="AH300" ca="1">IFERROR(INDEX(HydrogenELT2019!$F$6:$J$17,MATCH(TS_TTech!$C300&amp;TS_TTech!$B300,HydrogenELT2019!$A$6:$A$17&amp;HydrogenELT2019!$B$6:$B$17,0),MATCH(TS_TTech!AH$7,HydrogenELT2019!$F$5:$J$5,0)),"")</f>
        <v/>
      </c>
      <c r="AI300" s="163" t="str">
        <f t="array" aca="1" ref="AI300" ca="1">IFERROR(INDEX(HydrogenELT2019!$F$6:$J$17,MATCH(TS_TTech!$C300&amp;TS_TTech!$B300,HydrogenELT2019!$A$6:$A$17&amp;HydrogenELT2019!$B$6:$B$17,0),MATCH(TS_TTech!AI$7,HydrogenELT2019!$F$5:$J$5,0)),"")</f>
        <v/>
      </c>
      <c r="AJ300" s="163" t="str">
        <f t="array" aca="1" ref="AJ300" ca="1">IFERROR(INDEX(HydrogenELT2019!$F$6:$J$17,MATCH(TS_TTech!$C300&amp;TS_TTech!$B300,HydrogenELT2019!$A$6:$A$17&amp;HydrogenELT2019!$B$6:$B$17,0),MATCH(TS_TTech!AJ$7,HydrogenELT2019!$F$5:$J$5,0)),"")</f>
        <v/>
      </c>
      <c r="AK300" s="163" t="str">
        <f t="array" aca="1" ref="AK300" ca="1">IFERROR(INDEX(HydrogenELT2019!$F$6:$J$17,MATCH(TS_TTech!$C300&amp;TS_TTech!$B300,HydrogenELT2019!$A$6:$A$17&amp;HydrogenELT2019!$B$6:$B$17,0),MATCH(TS_TTech!AK$7,HydrogenELT2019!$F$5:$J$5,0)),"")</f>
        <v/>
      </c>
      <c r="AL300" s="163">
        <f t="array" aca="1" ref="AL300" ca="1">IFERROR(INDEX(HydrogenELT2019!$F$6:$J$17,MATCH(TS_TTech!$C300&amp;TS_TTech!$B300,HydrogenELT2019!$A$6:$A$17&amp;HydrogenELT2019!$B$6:$B$17,0),MATCH(TS_TTech!AL$7,HydrogenELT2019!$F$5:$J$5,0)),"")</f>
        <v>2.9828037483154324</v>
      </c>
      <c r="AM300" s="163" t="str">
        <f t="array" aca="1" ref="AM300" ca="1">IFERROR(INDEX(HydrogenELT2019!$F$6:$J$17,MATCH(TS_TTech!$C300&amp;TS_TTech!$B300,HydrogenELT2019!$A$6:$A$17&amp;HydrogenELT2019!$B$6:$B$17,0),MATCH(TS_TTech!AM$7,HydrogenELT2019!$F$5:$J$5,0)),"")</f>
        <v/>
      </c>
      <c r="AN300" s="163">
        <f t="array" aca="1" ref="AN300" ca="1">IFERROR(INDEX(HydrogenELT2019!$F$6:$J$17,MATCH(TS_TTech!$C300&amp;TS_TTech!$B300,HydrogenELT2019!$A$6:$A$17&amp;HydrogenELT2019!$B$6:$B$17,0),MATCH(TS_TTech!AN$7,HydrogenELT2019!$F$5:$J$5,0)),"")</f>
        <v>2.4218383908150227</v>
      </c>
      <c r="AO300" s="163" t="str">
        <f t="array" aca="1" ref="AO300" ca="1">IFERROR(INDEX(HydrogenELT2019!$F$6:$J$17,MATCH(TS_TTech!$C300&amp;TS_TTech!$B300,HydrogenELT2019!$A$6:$A$17&amp;HydrogenELT2019!$B$6:$B$17,0),MATCH(TS_TTech!AO$7,HydrogenELT2019!$F$5:$J$5,0)),"")</f>
        <v/>
      </c>
      <c r="AP300" s="163" t="str">
        <f t="array" aca="1" ref="AP300" ca="1">IFERROR(INDEX(HydrogenELT2019!$F$6:$J$17,MATCH(TS_TTech!$C300&amp;TS_TTech!$B300,HydrogenELT2019!$A$6:$A$17&amp;HydrogenELT2019!$B$6:$B$17,0),MATCH(TS_TTech!AP$7,HydrogenELT2019!$F$5:$J$5,0)),"")</f>
        <v/>
      </c>
      <c r="AR300" s="42">
        <f>AR299</f>
        <v>26</v>
      </c>
      <c r="AS300" s="42">
        <f>IF(AR300=AR299,AS299+1,1)</f>
        <v>4</v>
      </c>
      <c r="AU300" s="42">
        <f ca="1">SUMIF(UPS!B$38:B$171,C300,UPS!BD$38:BD$171)</f>
        <v>128</v>
      </c>
    </row>
    <row r="301" spans="1:51">
      <c r="B301" s="440" t="str">
        <f t="shared" si="142"/>
        <v>FLO_FUNC</v>
      </c>
      <c r="C301" s="440" t="str">
        <f ca="1">IF($A301="*","",OFFSET(ITEMS_UPS!$C$8,AR301,0))</f>
        <v>UELEP1HGN</v>
      </c>
      <c r="D301" s="440" t="str">
        <f ca="1">IF($A301="*","",IF(VLOOKUP("*#"&amp;$AS301,$A$10:$I$24,D$9+1,FALSE)="-","-",OFFSET(UPS!$C$37,AU301+AV301,SUMIF($A$10:$A$20,"*#"&amp;AS301,$AT$10:$AT$20))))</f>
        <v>-</v>
      </c>
      <c r="E301" s="440" t="str">
        <f t="shared" ca="1" si="143"/>
        <v>UELEP1HGN-I</v>
      </c>
      <c r="F301" s="440" t="str">
        <f t="shared" ca="1" si="144"/>
        <v>UELEP1HGN-O</v>
      </c>
      <c r="G301" s="440" t="str">
        <f t="shared" si="145"/>
        <v>ANNUAL</v>
      </c>
      <c r="H301" s="441" t="str">
        <f t="shared" si="146"/>
        <v>-</v>
      </c>
      <c r="I301" s="441">
        <f t="shared" si="147"/>
        <v>0</v>
      </c>
      <c r="J301" s="163">
        <f ca="1">IF($A301="*","",OFFSET(UPS!$C$37,AU301,SUMIF($A$10:$A$20,"*#"&amp;AS301,$AT$10:$AT$20)))</f>
        <v>0.57999999999999996</v>
      </c>
      <c r="K301" s="163" t="str">
        <f t="array" aca="1" ref="K301" ca="1">IFERROR(INDEX(HydrogenELT2019!$F$6:$J$17,MATCH(TS_TTech!$C301&amp;TS_TTech!$B301,HydrogenELT2019!$A$6:$A$17&amp;HydrogenELT2019!$B$6:$B$17,0),MATCH(TS_TTech!K$7,HydrogenELT2019!$F$5:$J$5,0)),"")</f>
        <v/>
      </c>
      <c r="L301" s="163" t="str">
        <f t="array" aca="1" ref="L301" ca="1">IFERROR(INDEX(HydrogenELT2019!$F$6:$J$17,MATCH(TS_TTech!$C301&amp;TS_TTech!$B301,HydrogenELT2019!$A$6:$A$17&amp;HydrogenELT2019!$B$6:$B$17,0),MATCH(TS_TTech!L$7,HydrogenELT2019!$F$5:$J$5,0)),"")</f>
        <v/>
      </c>
      <c r="M301" s="163" t="str">
        <f t="array" aca="1" ref="M301" ca="1">IFERROR(INDEX(HydrogenELT2019!$F$6:$J$17,MATCH(TS_TTech!$C301&amp;TS_TTech!$B301,HydrogenELT2019!$A$6:$A$17&amp;HydrogenELT2019!$B$6:$B$17,0),MATCH(TS_TTech!M$7,HydrogenELT2019!$F$5:$J$5,0)),"")</f>
        <v/>
      </c>
      <c r="N301" s="163" t="str">
        <f t="array" aca="1" ref="N301" ca="1">IFERROR(INDEX(HydrogenELT2019!$F$6:$J$17,MATCH(TS_TTech!$C301&amp;TS_TTech!$B301,HydrogenELT2019!$A$6:$A$17&amp;HydrogenELT2019!$B$6:$B$17,0),MATCH(TS_TTech!N$7,HydrogenELT2019!$F$5:$J$5,0)),"")</f>
        <v/>
      </c>
      <c r="O301" s="163" t="str">
        <f t="array" aca="1" ref="O301" ca="1">IFERROR(INDEX(HydrogenELT2019!$F$6:$J$17,MATCH(TS_TTech!$C301&amp;TS_TTech!$B301,HydrogenELT2019!$A$6:$A$17&amp;HydrogenELT2019!$B$6:$B$17,0),MATCH(TS_TTech!O$7,HydrogenELT2019!$F$5:$J$5,0)),"")</f>
        <v/>
      </c>
      <c r="P301" s="163" t="str">
        <f t="array" aca="1" ref="P301" ca="1">IFERROR(INDEX(HydrogenELT2019!$F$6:$J$17,MATCH(TS_TTech!$C301&amp;TS_TTech!$B301,HydrogenELT2019!$A$6:$A$17&amp;HydrogenELT2019!$B$6:$B$17,0),MATCH(TS_TTech!P$7,HydrogenELT2019!$F$5:$J$5,0)),"")</f>
        <v/>
      </c>
      <c r="Q301" s="163" t="str">
        <f t="array" aca="1" ref="Q301" ca="1">IFERROR(INDEX(HydrogenELT2019!$F$6:$J$17,MATCH(TS_TTech!$C301&amp;TS_TTech!$B301,HydrogenELT2019!$A$6:$A$17&amp;HydrogenELT2019!$B$6:$B$17,0),MATCH(TS_TTech!Q$7,HydrogenELT2019!$F$5:$J$5,0)),"")</f>
        <v/>
      </c>
      <c r="R301" s="163">
        <f t="array" aca="1" ref="R301" ca="1">IFERROR(INDEX(HydrogenELT2019!$F$6:$J$17,MATCH(TS_TTech!$C301&amp;TS_TTech!$B301,HydrogenELT2019!$A$6:$A$17&amp;HydrogenELT2019!$B$6:$B$17,0),MATCH(TS_TTech!R$7,HydrogenELT2019!$F$5:$J$5,0)),"")</f>
        <v>0.57999999999999996</v>
      </c>
      <c r="S301" s="163" t="str">
        <f t="array" aca="1" ref="S301" ca="1">IFERROR(INDEX(HydrogenELT2019!$F$6:$J$17,MATCH(TS_TTech!$C301&amp;TS_TTech!$B301,HydrogenELT2019!$A$6:$A$17&amp;HydrogenELT2019!$B$6:$B$17,0),MATCH(TS_TTech!S$7,HydrogenELT2019!$F$5:$J$5,0)),"")</f>
        <v/>
      </c>
      <c r="T301" s="163" t="str">
        <f t="array" aca="1" ref="T301" ca="1">IFERROR(INDEX(HydrogenELT2019!$F$6:$J$17,MATCH(TS_TTech!$C301&amp;TS_TTech!$B301,HydrogenELT2019!$A$6:$A$17&amp;HydrogenELT2019!$B$6:$B$17,0),MATCH(TS_TTech!T$7,HydrogenELT2019!$F$5:$J$5,0)),"")</f>
        <v/>
      </c>
      <c r="U301" s="163" t="str">
        <f t="array" aca="1" ref="U301" ca="1">IFERROR(INDEX(HydrogenELT2019!$F$6:$J$17,MATCH(TS_TTech!$C301&amp;TS_TTech!$B301,HydrogenELT2019!$A$6:$A$17&amp;HydrogenELT2019!$B$6:$B$17,0),MATCH(TS_TTech!U$7,HydrogenELT2019!$F$5:$J$5,0)),"")</f>
        <v/>
      </c>
      <c r="V301" s="163" t="str">
        <f t="array" aca="1" ref="V301" ca="1">IFERROR(INDEX(HydrogenELT2019!$F$6:$J$17,MATCH(TS_TTech!$C301&amp;TS_TTech!$B301,HydrogenELT2019!$A$6:$A$17&amp;HydrogenELT2019!$B$6:$B$17,0),MATCH(TS_TTech!V$7,HydrogenELT2019!$F$5:$J$5,0)),"")</f>
        <v/>
      </c>
      <c r="W301" s="163" t="str">
        <f t="array" aca="1" ref="W301" ca="1">IFERROR(INDEX(HydrogenELT2019!$F$6:$J$17,MATCH(TS_TTech!$C301&amp;TS_TTech!$B301,HydrogenELT2019!$A$6:$A$17&amp;HydrogenELT2019!$B$6:$B$17,0),MATCH(TS_TTech!W$7,HydrogenELT2019!$F$5:$J$5,0)),"")</f>
        <v/>
      </c>
      <c r="X301" s="163" t="str">
        <f t="array" aca="1" ref="X301" ca="1">IFERROR(INDEX(HydrogenELT2019!$F$6:$J$17,MATCH(TS_TTech!$C301&amp;TS_TTech!$B301,HydrogenELT2019!$A$6:$A$17&amp;HydrogenELT2019!$B$6:$B$17,0),MATCH(TS_TTech!X$7,HydrogenELT2019!$F$5:$J$5,0)),"")</f>
        <v/>
      </c>
      <c r="Y301" s="163" t="str">
        <f t="array" aca="1" ref="Y301" ca="1">IFERROR(INDEX(HydrogenELT2019!$F$6:$J$17,MATCH(TS_TTech!$C301&amp;TS_TTech!$B301,HydrogenELT2019!$A$6:$A$17&amp;HydrogenELT2019!$B$6:$B$17,0),MATCH(TS_TTech!Y$7,HydrogenELT2019!$F$5:$J$5,0)),"")</f>
        <v/>
      </c>
      <c r="Z301" s="163" t="str">
        <f t="array" aca="1" ref="Z301" ca="1">IFERROR(INDEX(HydrogenELT2019!$F$6:$J$17,MATCH(TS_TTech!$C301&amp;TS_TTech!$B301,HydrogenELT2019!$A$6:$A$17&amp;HydrogenELT2019!$B$6:$B$17,0),MATCH(TS_TTech!Z$7,HydrogenELT2019!$F$5:$J$5,0)),"")</f>
        <v/>
      </c>
      <c r="AA301" s="163" t="str">
        <f t="array" aca="1" ref="AA301" ca="1">IFERROR(INDEX(HydrogenELT2019!$F$6:$J$17,MATCH(TS_TTech!$C301&amp;TS_TTech!$B301,HydrogenELT2019!$A$6:$A$17&amp;HydrogenELT2019!$B$6:$B$17,0),MATCH(TS_TTech!AA$7,HydrogenELT2019!$F$5:$J$5,0)),"")</f>
        <v/>
      </c>
      <c r="AB301" s="163">
        <f t="array" aca="1" ref="AB301" ca="1">IFERROR(INDEX(HydrogenELT2019!$F$6:$J$17,MATCH(TS_TTech!$C301&amp;TS_TTech!$B301,HydrogenELT2019!$A$6:$A$17&amp;HydrogenELT2019!$B$6:$B$17,0),MATCH(TS_TTech!AB$7,HydrogenELT2019!$F$5:$J$5,0)),"")</f>
        <v>0.65500000000000003</v>
      </c>
      <c r="AC301" s="163" t="str">
        <f t="array" aca="1" ref="AC301" ca="1">IFERROR(INDEX(HydrogenELT2019!$F$6:$J$17,MATCH(TS_TTech!$C301&amp;TS_TTech!$B301,HydrogenELT2019!$A$6:$A$17&amp;HydrogenELT2019!$B$6:$B$17,0),MATCH(TS_TTech!AC$7,HydrogenELT2019!$F$5:$J$5,0)),"")</f>
        <v/>
      </c>
      <c r="AD301" s="163" t="str">
        <f t="array" aca="1" ref="AD301" ca="1">IFERROR(INDEX(HydrogenELT2019!$F$6:$J$17,MATCH(TS_TTech!$C301&amp;TS_TTech!$B301,HydrogenELT2019!$A$6:$A$17&amp;HydrogenELT2019!$B$6:$B$17,0),MATCH(TS_TTech!AD$7,HydrogenELT2019!$F$5:$J$5,0)),"")</f>
        <v/>
      </c>
      <c r="AE301" s="163" t="str">
        <f t="array" aca="1" ref="AE301" ca="1">IFERROR(INDEX(HydrogenELT2019!$F$6:$J$17,MATCH(TS_TTech!$C301&amp;TS_TTech!$B301,HydrogenELT2019!$A$6:$A$17&amp;HydrogenELT2019!$B$6:$B$17,0),MATCH(TS_TTech!AE$7,HydrogenELT2019!$F$5:$J$5,0)),"")</f>
        <v/>
      </c>
      <c r="AF301" s="163" t="str">
        <f t="array" aca="1" ref="AF301" ca="1">IFERROR(INDEX(HydrogenELT2019!$F$6:$J$17,MATCH(TS_TTech!$C301&amp;TS_TTech!$B301,HydrogenELT2019!$A$6:$A$17&amp;HydrogenELT2019!$B$6:$B$17,0),MATCH(TS_TTech!AF$7,HydrogenELT2019!$F$5:$J$5,0)),"")</f>
        <v/>
      </c>
      <c r="AG301" s="163">
        <f t="array" aca="1" ref="AG301" ca="1">IFERROR(INDEX(HydrogenELT2019!$F$6:$J$17,MATCH(TS_TTech!$C301&amp;TS_TTech!$B301,HydrogenELT2019!$A$6:$A$17&amp;HydrogenELT2019!$B$6:$B$17,0),MATCH(TS_TTech!AG$7,HydrogenELT2019!$F$5:$J$5,0)),"")</f>
        <v>0.70499999999999996</v>
      </c>
      <c r="AH301" s="163" t="str">
        <f t="array" aca="1" ref="AH301" ca="1">IFERROR(INDEX(HydrogenELT2019!$F$6:$J$17,MATCH(TS_TTech!$C301&amp;TS_TTech!$B301,HydrogenELT2019!$A$6:$A$17&amp;HydrogenELT2019!$B$6:$B$17,0),MATCH(TS_TTech!AH$7,HydrogenELT2019!$F$5:$J$5,0)),"")</f>
        <v/>
      </c>
      <c r="AI301" s="163" t="str">
        <f t="array" aca="1" ref="AI301" ca="1">IFERROR(INDEX(HydrogenELT2019!$F$6:$J$17,MATCH(TS_TTech!$C301&amp;TS_TTech!$B301,HydrogenELT2019!$A$6:$A$17&amp;HydrogenELT2019!$B$6:$B$17,0),MATCH(TS_TTech!AI$7,HydrogenELT2019!$F$5:$J$5,0)),"")</f>
        <v/>
      </c>
      <c r="AJ301" s="163" t="str">
        <f t="array" aca="1" ref="AJ301" ca="1">IFERROR(INDEX(HydrogenELT2019!$F$6:$J$17,MATCH(TS_TTech!$C301&amp;TS_TTech!$B301,HydrogenELT2019!$A$6:$A$17&amp;HydrogenELT2019!$B$6:$B$17,0),MATCH(TS_TTech!AJ$7,HydrogenELT2019!$F$5:$J$5,0)),"")</f>
        <v/>
      </c>
      <c r="AK301" s="163" t="str">
        <f t="array" aca="1" ref="AK301" ca="1">IFERROR(INDEX(HydrogenELT2019!$F$6:$J$17,MATCH(TS_TTech!$C301&amp;TS_TTech!$B301,HydrogenELT2019!$A$6:$A$17&amp;HydrogenELT2019!$B$6:$B$17,0),MATCH(TS_TTech!AK$7,HydrogenELT2019!$F$5:$J$5,0)),"")</f>
        <v/>
      </c>
      <c r="AL301" s="163">
        <f t="array" aca="1" ref="AL301" ca="1">IFERROR(INDEX(HydrogenELT2019!$F$6:$J$17,MATCH(TS_TTech!$C301&amp;TS_TTech!$B301,HydrogenELT2019!$A$6:$A$17&amp;HydrogenELT2019!$B$6:$B$17,0),MATCH(TS_TTech!AL$7,HydrogenELT2019!$F$5:$J$5,0)),"")</f>
        <v>0.71300000000000097</v>
      </c>
      <c r="AM301" s="163" t="str">
        <f t="array" aca="1" ref="AM301" ca="1">IFERROR(INDEX(HydrogenELT2019!$F$6:$J$17,MATCH(TS_TTech!$C301&amp;TS_TTech!$B301,HydrogenELT2019!$A$6:$A$17&amp;HydrogenELT2019!$B$6:$B$17,0),MATCH(TS_TTech!AM$7,HydrogenELT2019!$F$5:$J$5,0)),"")</f>
        <v/>
      </c>
      <c r="AN301" s="163">
        <f t="array" aca="1" ref="AN301" ca="1">IFERROR(INDEX(HydrogenELT2019!$F$6:$J$17,MATCH(TS_TTech!$C301&amp;TS_TTech!$B301,HydrogenELT2019!$A$6:$A$17&amp;HydrogenELT2019!$B$6:$B$17,0),MATCH(TS_TTech!AN$7,HydrogenELT2019!$F$5:$J$5,0)),"")</f>
        <v>0.79500000000000171</v>
      </c>
      <c r="AO301" s="163" t="str">
        <f t="array" aca="1" ref="AO301" ca="1">IFERROR(INDEX(HydrogenELT2019!$F$6:$J$17,MATCH(TS_TTech!$C301&amp;TS_TTech!$B301,HydrogenELT2019!$A$6:$A$17&amp;HydrogenELT2019!$B$6:$B$17,0),MATCH(TS_TTech!AO$7,HydrogenELT2019!$F$5:$J$5,0)),"")</f>
        <v/>
      </c>
      <c r="AP301" s="163" t="str">
        <f t="array" aca="1" ref="AP301" ca="1">IFERROR(INDEX(HydrogenELT2019!$F$6:$J$17,MATCH(TS_TTech!$C301&amp;TS_TTech!$B301,HydrogenELT2019!$A$6:$A$17&amp;HydrogenELT2019!$B$6:$B$17,0),MATCH(TS_TTech!AP$7,HydrogenELT2019!$F$5:$J$5,0)),"")</f>
        <v/>
      </c>
      <c r="AR301" s="42">
        <f>AR299</f>
        <v>26</v>
      </c>
      <c r="AS301" s="42">
        <f>AS300+2</f>
        <v>6</v>
      </c>
      <c r="AU301" s="42">
        <f ca="1">SUMIF(UPS!B$38:B$171,C301,UPS!BD$38:BD$171)</f>
        <v>128</v>
      </c>
    </row>
    <row r="302" spans="1:51" s="163" customFormat="1">
      <c r="B302" s="440" t="str">
        <f t="shared" si="142"/>
        <v>FLO_SHAR</v>
      </c>
      <c r="C302" s="440" t="str">
        <f ca="1">IF($A302="*","",OFFSET(ITEMS_UPS!$C$8,AR302,0))</f>
        <v>UELEP1HGN</v>
      </c>
      <c r="D302" s="440" t="str">
        <f ca="1">IF($A302="*","",IF(VLOOKUP("*#"&amp;$AS302,$A$10:$I$24,D$9+1,FALSE)="-","-",OFFSET(UPS!$C$37,AU302+AV302,SUMIF($A$10:$A$20,"*#"&amp;AS302,$AT$10:$AT$20))))</f>
        <v>UPSELC</v>
      </c>
      <c r="E302" s="440" t="str">
        <f t="shared" ca="1" si="143"/>
        <v>UELEP1HGN-I</v>
      </c>
      <c r="F302" s="440" t="str">
        <f t="shared" si="144"/>
        <v>-</v>
      </c>
      <c r="G302" s="440" t="str">
        <f t="shared" si="145"/>
        <v>ANNUAL</v>
      </c>
      <c r="H302" s="441" t="str">
        <f t="shared" si="146"/>
        <v>FX</v>
      </c>
      <c r="I302" s="441">
        <f t="shared" si="147"/>
        <v>3</v>
      </c>
      <c r="J302" s="163">
        <f ca="1">IF($A302="*","",OFFSET(UPS!$C$37,AU302+AV302,SUMIF($A$10:$A$20,"*#"&amp;AS302,$AV$10:$AV$20)))</f>
        <v>1</v>
      </c>
      <c r="K302" s="163" t="str">
        <f t="array" aca="1" ref="K302" ca="1">IFERROR(INDEX(HydrogenELT2019!$F$6:$J$17,MATCH(TS_TTech!$C302&amp;TS_TTech!$B302,HydrogenELT2019!$A$6:$A$17&amp;HydrogenELT2019!$B$6:$B$17,0),MATCH(TS_TTech!K$7,HydrogenELT2019!$F$5:$J$5,0)),"")</f>
        <v/>
      </c>
      <c r="L302" s="163" t="str">
        <f t="array" aca="1" ref="L302" ca="1">IFERROR(INDEX(HydrogenELT2019!$F$6:$J$17,MATCH(TS_TTech!$C302&amp;TS_TTech!$B302,HydrogenELT2019!$A$6:$A$17&amp;HydrogenELT2019!$B$6:$B$17,0),MATCH(TS_TTech!L$7,HydrogenELT2019!$F$5:$J$5,0)),"")</f>
        <v/>
      </c>
      <c r="M302" s="163" t="str">
        <f t="array" aca="1" ref="M302" ca="1">IFERROR(INDEX(HydrogenELT2019!$F$6:$J$17,MATCH(TS_TTech!$C302&amp;TS_TTech!$B302,HydrogenELT2019!$A$6:$A$17&amp;HydrogenELT2019!$B$6:$B$17,0),MATCH(TS_TTech!M$7,HydrogenELT2019!$F$5:$J$5,0)),"")</f>
        <v/>
      </c>
      <c r="N302" s="163" t="str">
        <f t="array" aca="1" ref="N302" ca="1">IFERROR(INDEX(HydrogenELT2019!$F$6:$J$17,MATCH(TS_TTech!$C302&amp;TS_TTech!$B302,HydrogenELT2019!$A$6:$A$17&amp;HydrogenELT2019!$B$6:$B$17,0),MATCH(TS_TTech!N$7,HydrogenELT2019!$F$5:$J$5,0)),"")</f>
        <v/>
      </c>
      <c r="O302" s="163" t="str">
        <f t="array" aca="1" ref="O302" ca="1">IFERROR(INDEX(HydrogenELT2019!$F$6:$J$17,MATCH(TS_TTech!$C302&amp;TS_TTech!$B302,HydrogenELT2019!$A$6:$A$17&amp;HydrogenELT2019!$B$6:$B$17,0),MATCH(TS_TTech!O$7,HydrogenELT2019!$F$5:$J$5,0)),"")</f>
        <v/>
      </c>
      <c r="P302" s="163" t="str">
        <f t="array" aca="1" ref="P302" ca="1">IFERROR(INDEX(HydrogenELT2019!$F$6:$J$17,MATCH(TS_TTech!$C302&amp;TS_TTech!$B302,HydrogenELT2019!$A$6:$A$17&amp;HydrogenELT2019!$B$6:$B$17,0),MATCH(TS_TTech!P$7,HydrogenELT2019!$F$5:$J$5,0)),"")</f>
        <v/>
      </c>
      <c r="Q302" s="163" t="str">
        <f t="array" aca="1" ref="Q302" ca="1">IFERROR(INDEX(HydrogenELT2019!$F$6:$J$17,MATCH(TS_TTech!$C302&amp;TS_TTech!$B302,HydrogenELT2019!$A$6:$A$17&amp;HydrogenELT2019!$B$6:$B$17,0),MATCH(TS_TTech!Q$7,HydrogenELT2019!$F$5:$J$5,0)),"")</f>
        <v/>
      </c>
      <c r="R302" s="163" t="str">
        <f t="array" aca="1" ref="R302" ca="1">IFERROR(INDEX(HydrogenELT2019!$F$6:$J$17,MATCH(TS_TTech!$C302&amp;TS_TTech!$B302,HydrogenELT2019!$A$6:$A$17&amp;HydrogenELT2019!$B$6:$B$17,0),MATCH(TS_TTech!R$7,HydrogenELT2019!$F$5:$J$5,0)),"")</f>
        <v/>
      </c>
      <c r="S302" s="163" t="str">
        <f t="array" aca="1" ref="S302" ca="1">IFERROR(INDEX(HydrogenELT2019!$F$6:$J$17,MATCH(TS_TTech!$C302&amp;TS_TTech!$B302,HydrogenELT2019!$A$6:$A$17&amp;HydrogenELT2019!$B$6:$B$17,0),MATCH(TS_TTech!S$7,HydrogenELT2019!$F$5:$J$5,0)),"")</f>
        <v/>
      </c>
      <c r="T302" s="163" t="str">
        <f t="array" aca="1" ref="T302" ca="1">IFERROR(INDEX(HydrogenELT2019!$F$6:$J$17,MATCH(TS_TTech!$C302&amp;TS_TTech!$B302,HydrogenELT2019!$A$6:$A$17&amp;HydrogenELT2019!$B$6:$B$17,0),MATCH(TS_TTech!T$7,HydrogenELT2019!$F$5:$J$5,0)),"")</f>
        <v/>
      </c>
      <c r="U302" s="163" t="str">
        <f t="array" aca="1" ref="U302" ca="1">IFERROR(INDEX(HydrogenELT2019!$F$6:$J$17,MATCH(TS_TTech!$C302&amp;TS_TTech!$B302,HydrogenELT2019!$A$6:$A$17&amp;HydrogenELT2019!$B$6:$B$17,0),MATCH(TS_TTech!U$7,HydrogenELT2019!$F$5:$J$5,0)),"")</f>
        <v/>
      </c>
      <c r="V302" s="163" t="str">
        <f t="array" aca="1" ref="V302" ca="1">IFERROR(INDEX(HydrogenELT2019!$F$6:$J$17,MATCH(TS_TTech!$C302&amp;TS_TTech!$B302,HydrogenELT2019!$A$6:$A$17&amp;HydrogenELT2019!$B$6:$B$17,0),MATCH(TS_TTech!V$7,HydrogenELT2019!$F$5:$J$5,0)),"")</f>
        <v/>
      </c>
      <c r="W302" s="163" t="str">
        <f t="array" aca="1" ref="W302" ca="1">IFERROR(INDEX(HydrogenELT2019!$F$6:$J$17,MATCH(TS_TTech!$C302&amp;TS_TTech!$B302,HydrogenELT2019!$A$6:$A$17&amp;HydrogenELT2019!$B$6:$B$17,0),MATCH(TS_TTech!W$7,HydrogenELT2019!$F$5:$J$5,0)),"")</f>
        <v/>
      </c>
      <c r="X302" s="163" t="str">
        <f t="array" aca="1" ref="X302" ca="1">IFERROR(INDEX(HydrogenELT2019!$F$6:$J$17,MATCH(TS_TTech!$C302&amp;TS_TTech!$B302,HydrogenELT2019!$A$6:$A$17&amp;HydrogenELT2019!$B$6:$B$17,0),MATCH(TS_TTech!X$7,HydrogenELT2019!$F$5:$J$5,0)),"")</f>
        <v/>
      </c>
      <c r="Y302" s="163" t="str">
        <f t="array" aca="1" ref="Y302" ca="1">IFERROR(INDEX(HydrogenELT2019!$F$6:$J$17,MATCH(TS_TTech!$C302&amp;TS_TTech!$B302,HydrogenELT2019!$A$6:$A$17&amp;HydrogenELT2019!$B$6:$B$17,0),MATCH(TS_TTech!Y$7,HydrogenELT2019!$F$5:$J$5,0)),"")</f>
        <v/>
      </c>
      <c r="Z302" s="163" t="str">
        <f t="array" aca="1" ref="Z302" ca="1">IFERROR(INDEX(HydrogenELT2019!$F$6:$J$17,MATCH(TS_TTech!$C302&amp;TS_TTech!$B302,HydrogenELT2019!$A$6:$A$17&amp;HydrogenELT2019!$B$6:$B$17,0),MATCH(TS_TTech!Z$7,HydrogenELT2019!$F$5:$J$5,0)),"")</f>
        <v/>
      </c>
      <c r="AA302" s="163" t="str">
        <f t="array" aca="1" ref="AA302" ca="1">IFERROR(INDEX(HydrogenELT2019!$F$6:$J$17,MATCH(TS_TTech!$C302&amp;TS_TTech!$B302,HydrogenELT2019!$A$6:$A$17&amp;HydrogenELT2019!$B$6:$B$17,0),MATCH(TS_TTech!AA$7,HydrogenELT2019!$F$5:$J$5,0)),"")</f>
        <v/>
      </c>
      <c r="AB302" s="163" t="str">
        <f t="array" aca="1" ref="AB302" ca="1">IFERROR(INDEX(HydrogenELT2019!$F$6:$J$17,MATCH(TS_TTech!$C302&amp;TS_TTech!$B302,HydrogenELT2019!$A$6:$A$17&amp;HydrogenELT2019!$B$6:$B$17,0),MATCH(TS_TTech!AB$7,HydrogenELT2019!$F$5:$J$5,0)),"")</f>
        <v/>
      </c>
      <c r="AC302" s="163" t="str">
        <f t="array" aca="1" ref="AC302" ca="1">IFERROR(INDEX(HydrogenELT2019!$F$6:$J$17,MATCH(TS_TTech!$C302&amp;TS_TTech!$B302,HydrogenELT2019!$A$6:$A$17&amp;HydrogenELT2019!$B$6:$B$17,0),MATCH(TS_TTech!AC$7,HydrogenELT2019!$F$5:$J$5,0)),"")</f>
        <v/>
      </c>
      <c r="AD302" s="163" t="str">
        <f t="array" aca="1" ref="AD302" ca="1">IFERROR(INDEX(HydrogenELT2019!$F$6:$J$17,MATCH(TS_TTech!$C302&amp;TS_TTech!$B302,HydrogenELT2019!$A$6:$A$17&amp;HydrogenELT2019!$B$6:$B$17,0),MATCH(TS_TTech!AD$7,HydrogenELT2019!$F$5:$J$5,0)),"")</f>
        <v/>
      </c>
      <c r="AE302" s="163" t="str">
        <f t="array" aca="1" ref="AE302" ca="1">IFERROR(INDEX(HydrogenELT2019!$F$6:$J$17,MATCH(TS_TTech!$C302&amp;TS_TTech!$B302,HydrogenELT2019!$A$6:$A$17&amp;HydrogenELT2019!$B$6:$B$17,0),MATCH(TS_TTech!AE$7,HydrogenELT2019!$F$5:$J$5,0)),"")</f>
        <v/>
      </c>
      <c r="AF302" s="163" t="str">
        <f t="array" aca="1" ref="AF302" ca="1">IFERROR(INDEX(HydrogenELT2019!$F$6:$J$17,MATCH(TS_TTech!$C302&amp;TS_TTech!$B302,HydrogenELT2019!$A$6:$A$17&amp;HydrogenELT2019!$B$6:$B$17,0),MATCH(TS_TTech!AF$7,HydrogenELT2019!$F$5:$J$5,0)),"")</f>
        <v/>
      </c>
      <c r="AG302" s="163" t="str">
        <f t="array" aca="1" ref="AG302" ca="1">IFERROR(INDEX(HydrogenELT2019!$F$6:$J$17,MATCH(TS_TTech!$C302&amp;TS_TTech!$B302,HydrogenELT2019!$A$6:$A$17&amp;HydrogenELT2019!$B$6:$B$17,0),MATCH(TS_TTech!AG$7,HydrogenELT2019!$F$5:$J$5,0)),"")</f>
        <v/>
      </c>
      <c r="AH302" s="163" t="str">
        <f t="array" aca="1" ref="AH302" ca="1">IFERROR(INDEX(HydrogenELT2019!$F$6:$J$17,MATCH(TS_TTech!$C302&amp;TS_TTech!$B302,HydrogenELT2019!$A$6:$A$17&amp;HydrogenELT2019!$B$6:$B$17,0),MATCH(TS_TTech!AH$7,HydrogenELT2019!$F$5:$J$5,0)),"")</f>
        <v/>
      </c>
      <c r="AI302" s="163" t="str">
        <f t="array" aca="1" ref="AI302" ca="1">IFERROR(INDEX(HydrogenELT2019!$F$6:$J$17,MATCH(TS_TTech!$C302&amp;TS_TTech!$B302,HydrogenELT2019!$A$6:$A$17&amp;HydrogenELT2019!$B$6:$B$17,0),MATCH(TS_TTech!AI$7,HydrogenELT2019!$F$5:$J$5,0)),"")</f>
        <v/>
      </c>
      <c r="AJ302" s="163" t="str">
        <f t="array" aca="1" ref="AJ302" ca="1">IFERROR(INDEX(HydrogenELT2019!$F$6:$J$17,MATCH(TS_TTech!$C302&amp;TS_TTech!$B302,HydrogenELT2019!$A$6:$A$17&amp;HydrogenELT2019!$B$6:$B$17,0),MATCH(TS_TTech!AJ$7,HydrogenELT2019!$F$5:$J$5,0)),"")</f>
        <v/>
      </c>
      <c r="AK302" s="163" t="str">
        <f t="array" aca="1" ref="AK302" ca="1">IFERROR(INDEX(HydrogenELT2019!$F$6:$J$17,MATCH(TS_TTech!$C302&amp;TS_TTech!$B302,HydrogenELT2019!$A$6:$A$17&amp;HydrogenELT2019!$B$6:$B$17,0),MATCH(TS_TTech!AK$7,HydrogenELT2019!$F$5:$J$5,0)),"")</f>
        <v/>
      </c>
      <c r="AL302" s="163" t="str">
        <f t="array" aca="1" ref="AL302" ca="1">IFERROR(INDEX(HydrogenELT2019!$F$6:$J$17,MATCH(TS_TTech!$C302&amp;TS_TTech!$B302,HydrogenELT2019!$A$6:$A$17&amp;HydrogenELT2019!$B$6:$B$17,0),MATCH(TS_TTech!AL$7,HydrogenELT2019!$F$5:$J$5,0)),"")</f>
        <v/>
      </c>
      <c r="AM302" s="163" t="str">
        <f t="array" aca="1" ref="AM302" ca="1">IFERROR(INDEX(HydrogenELT2019!$F$6:$J$17,MATCH(TS_TTech!$C302&amp;TS_TTech!$B302,HydrogenELT2019!$A$6:$A$17&amp;HydrogenELT2019!$B$6:$B$17,0),MATCH(TS_TTech!AM$7,HydrogenELT2019!$F$5:$J$5,0)),"")</f>
        <v/>
      </c>
      <c r="AN302" s="163" t="str">
        <f t="array" aca="1" ref="AN302" ca="1">IFERROR(INDEX(HydrogenELT2019!$F$6:$J$17,MATCH(TS_TTech!$C302&amp;TS_TTech!$B302,HydrogenELT2019!$A$6:$A$17&amp;HydrogenELT2019!$B$6:$B$17,0),MATCH(TS_TTech!AN$7,HydrogenELT2019!$F$5:$J$5,0)),"")</f>
        <v/>
      </c>
      <c r="AO302" s="163" t="str">
        <f t="array" aca="1" ref="AO302" ca="1">IFERROR(INDEX(HydrogenELT2019!$F$6:$J$17,MATCH(TS_TTech!$C302&amp;TS_TTech!$B302,HydrogenELT2019!$A$6:$A$17&amp;HydrogenELT2019!$B$6:$B$17,0),MATCH(TS_TTech!AO$7,HydrogenELT2019!$F$5:$J$5,0)),"")</f>
        <v/>
      </c>
      <c r="AP302" s="163" t="str">
        <f t="array" aca="1" ref="AP302" ca="1">IFERROR(INDEX(HydrogenELT2019!$F$6:$J$17,MATCH(TS_TTech!$C302&amp;TS_TTech!$B302,HydrogenELT2019!$A$6:$A$17&amp;HydrogenELT2019!$B$6:$B$17,0),MATCH(TS_TTech!AP$7,HydrogenELT2019!$F$5:$J$5,0)),"")</f>
        <v/>
      </c>
      <c r="AR302" s="163">
        <f>AR301</f>
        <v>26</v>
      </c>
      <c r="AS302" s="42">
        <f>IF(AR302=AR301,AS301+1,1)</f>
        <v>7</v>
      </c>
      <c r="AU302" s="163">
        <f ca="1">AU301</f>
        <v>128</v>
      </c>
      <c r="AV302" s="42">
        <v>0</v>
      </c>
    </row>
    <row r="303" spans="1:51">
      <c r="B303" s="440" t="str">
        <f t="shared" si="142"/>
        <v>FLO_SHAR</v>
      </c>
      <c r="C303" s="440" t="str">
        <f ca="1">IF($A303="*","",OFFSET(ITEMS_UPS!$C$8,AR303,0))</f>
        <v>UELEP1HGN</v>
      </c>
      <c r="D303" s="440" t="str">
        <f ca="1">IF($A303="*","",IF(VLOOKUP("*#"&amp;$AS303,$A$10:$I$24,D$9+1,FALSE)="-","-",OFFSET(UPS!$C$37,AU303+AV303,SUMIF($A$10:$A$20,"*#"&amp;AS303,$AT$10:$AT$20))))</f>
        <v>UPSHGN</v>
      </c>
      <c r="E303" s="440" t="str">
        <f t="shared" ca="1" si="143"/>
        <v>UELEP1HGN-O</v>
      </c>
      <c r="F303" s="440" t="str">
        <f t="shared" si="144"/>
        <v>-</v>
      </c>
      <c r="G303" s="440" t="str">
        <f t="shared" si="145"/>
        <v>ANNUAL</v>
      </c>
      <c r="H303" s="441" t="str">
        <f t="shared" si="146"/>
        <v>UP</v>
      </c>
      <c r="I303" s="441">
        <f t="shared" si="147"/>
        <v>3</v>
      </c>
      <c r="J303" s="163">
        <f ca="1">IF($A303="*","",OFFSET(UPS!$C$37,AU303+AV303,SUMIF($A$10:$A$20,"*#"&amp;AS303,$AV$10:$AV$20)))</f>
        <v>1</v>
      </c>
      <c r="K303" s="163" t="str">
        <f t="array" aca="1" ref="K303" ca="1">IFERROR(INDEX(HydrogenELT2019!$F$6:$J$17,MATCH(TS_TTech!$C303&amp;TS_TTech!$B303,HydrogenELT2019!$A$6:$A$17&amp;HydrogenELT2019!$B$6:$B$17,0),MATCH(TS_TTech!K$7,HydrogenELT2019!$F$5:$J$5,0)),"")</f>
        <v/>
      </c>
      <c r="L303" s="163" t="str">
        <f t="array" aca="1" ref="L303" ca="1">IFERROR(INDEX(HydrogenELT2019!$F$6:$J$17,MATCH(TS_TTech!$C303&amp;TS_TTech!$B303,HydrogenELT2019!$A$6:$A$17&amp;HydrogenELT2019!$B$6:$B$17,0),MATCH(TS_TTech!L$7,HydrogenELT2019!$F$5:$J$5,0)),"")</f>
        <v/>
      </c>
      <c r="M303" s="163" t="str">
        <f t="array" aca="1" ref="M303" ca="1">IFERROR(INDEX(HydrogenELT2019!$F$6:$J$17,MATCH(TS_TTech!$C303&amp;TS_TTech!$B303,HydrogenELT2019!$A$6:$A$17&amp;HydrogenELT2019!$B$6:$B$17,0),MATCH(TS_TTech!M$7,HydrogenELT2019!$F$5:$J$5,0)),"")</f>
        <v/>
      </c>
      <c r="N303" s="163" t="str">
        <f t="array" aca="1" ref="N303" ca="1">IFERROR(INDEX(HydrogenELT2019!$F$6:$J$17,MATCH(TS_TTech!$C303&amp;TS_TTech!$B303,HydrogenELT2019!$A$6:$A$17&amp;HydrogenELT2019!$B$6:$B$17,0),MATCH(TS_TTech!N$7,HydrogenELT2019!$F$5:$J$5,0)),"")</f>
        <v/>
      </c>
      <c r="O303" s="163" t="str">
        <f t="array" aca="1" ref="O303" ca="1">IFERROR(INDEX(HydrogenELT2019!$F$6:$J$17,MATCH(TS_TTech!$C303&amp;TS_TTech!$B303,HydrogenELT2019!$A$6:$A$17&amp;HydrogenELT2019!$B$6:$B$17,0),MATCH(TS_TTech!O$7,HydrogenELT2019!$F$5:$J$5,0)),"")</f>
        <v/>
      </c>
      <c r="P303" s="163" t="str">
        <f t="array" aca="1" ref="P303" ca="1">IFERROR(INDEX(HydrogenELT2019!$F$6:$J$17,MATCH(TS_TTech!$C303&amp;TS_TTech!$B303,HydrogenELT2019!$A$6:$A$17&amp;HydrogenELT2019!$B$6:$B$17,0),MATCH(TS_TTech!P$7,HydrogenELT2019!$F$5:$J$5,0)),"")</f>
        <v/>
      </c>
      <c r="Q303" s="163" t="str">
        <f t="array" aca="1" ref="Q303" ca="1">IFERROR(INDEX(HydrogenELT2019!$F$6:$J$17,MATCH(TS_TTech!$C303&amp;TS_TTech!$B303,HydrogenELT2019!$A$6:$A$17&amp;HydrogenELT2019!$B$6:$B$17,0),MATCH(TS_TTech!Q$7,HydrogenELT2019!$F$5:$J$5,0)),"")</f>
        <v/>
      </c>
      <c r="R303" s="163" t="str">
        <f t="array" aca="1" ref="R303" ca="1">IFERROR(INDEX(HydrogenELT2019!$F$6:$J$17,MATCH(TS_TTech!$C303&amp;TS_TTech!$B303,HydrogenELT2019!$A$6:$A$17&amp;HydrogenELT2019!$B$6:$B$17,0),MATCH(TS_TTech!R$7,HydrogenELT2019!$F$5:$J$5,0)),"")</f>
        <v/>
      </c>
      <c r="S303" s="163" t="str">
        <f t="array" aca="1" ref="S303" ca="1">IFERROR(INDEX(HydrogenELT2019!$F$6:$J$17,MATCH(TS_TTech!$C303&amp;TS_TTech!$B303,HydrogenELT2019!$A$6:$A$17&amp;HydrogenELT2019!$B$6:$B$17,0),MATCH(TS_TTech!S$7,HydrogenELT2019!$F$5:$J$5,0)),"")</f>
        <v/>
      </c>
      <c r="T303" s="163" t="str">
        <f t="array" aca="1" ref="T303" ca="1">IFERROR(INDEX(HydrogenELT2019!$F$6:$J$17,MATCH(TS_TTech!$C303&amp;TS_TTech!$B303,HydrogenELT2019!$A$6:$A$17&amp;HydrogenELT2019!$B$6:$B$17,0),MATCH(TS_TTech!T$7,HydrogenELT2019!$F$5:$J$5,0)),"")</f>
        <v/>
      </c>
      <c r="U303" s="163" t="str">
        <f t="array" aca="1" ref="U303" ca="1">IFERROR(INDEX(HydrogenELT2019!$F$6:$J$17,MATCH(TS_TTech!$C303&amp;TS_TTech!$B303,HydrogenELT2019!$A$6:$A$17&amp;HydrogenELT2019!$B$6:$B$17,0),MATCH(TS_TTech!U$7,HydrogenELT2019!$F$5:$J$5,0)),"")</f>
        <v/>
      </c>
      <c r="V303" s="163" t="str">
        <f t="array" aca="1" ref="V303" ca="1">IFERROR(INDEX(HydrogenELT2019!$F$6:$J$17,MATCH(TS_TTech!$C303&amp;TS_TTech!$B303,HydrogenELT2019!$A$6:$A$17&amp;HydrogenELT2019!$B$6:$B$17,0),MATCH(TS_TTech!V$7,HydrogenELT2019!$F$5:$J$5,0)),"")</f>
        <v/>
      </c>
      <c r="W303" s="163" t="str">
        <f t="array" aca="1" ref="W303" ca="1">IFERROR(INDEX(HydrogenELT2019!$F$6:$J$17,MATCH(TS_TTech!$C303&amp;TS_TTech!$B303,HydrogenELT2019!$A$6:$A$17&amp;HydrogenELT2019!$B$6:$B$17,0),MATCH(TS_TTech!W$7,HydrogenELT2019!$F$5:$J$5,0)),"")</f>
        <v/>
      </c>
      <c r="X303" s="163" t="str">
        <f t="array" aca="1" ref="X303" ca="1">IFERROR(INDEX(HydrogenELT2019!$F$6:$J$17,MATCH(TS_TTech!$C303&amp;TS_TTech!$B303,HydrogenELT2019!$A$6:$A$17&amp;HydrogenELT2019!$B$6:$B$17,0),MATCH(TS_TTech!X$7,HydrogenELT2019!$F$5:$J$5,0)),"")</f>
        <v/>
      </c>
      <c r="Y303" s="163" t="str">
        <f t="array" aca="1" ref="Y303" ca="1">IFERROR(INDEX(HydrogenELT2019!$F$6:$J$17,MATCH(TS_TTech!$C303&amp;TS_TTech!$B303,HydrogenELT2019!$A$6:$A$17&amp;HydrogenELT2019!$B$6:$B$17,0),MATCH(TS_TTech!Y$7,HydrogenELT2019!$F$5:$J$5,0)),"")</f>
        <v/>
      </c>
      <c r="Z303" s="163" t="str">
        <f t="array" aca="1" ref="Z303" ca="1">IFERROR(INDEX(HydrogenELT2019!$F$6:$J$17,MATCH(TS_TTech!$C303&amp;TS_TTech!$B303,HydrogenELT2019!$A$6:$A$17&amp;HydrogenELT2019!$B$6:$B$17,0),MATCH(TS_TTech!Z$7,HydrogenELT2019!$F$5:$J$5,0)),"")</f>
        <v/>
      </c>
      <c r="AA303" s="163" t="str">
        <f t="array" aca="1" ref="AA303" ca="1">IFERROR(INDEX(HydrogenELT2019!$F$6:$J$17,MATCH(TS_TTech!$C303&amp;TS_TTech!$B303,HydrogenELT2019!$A$6:$A$17&amp;HydrogenELT2019!$B$6:$B$17,0),MATCH(TS_TTech!AA$7,HydrogenELT2019!$F$5:$J$5,0)),"")</f>
        <v/>
      </c>
      <c r="AB303" s="163" t="str">
        <f t="array" aca="1" ref="AB303" ca="1">IFERROR(INDEX(HydrogenELT2019!$F$6:$J$17,MATCH(TS_TTech!$C303&amp;TS_TTech!$B303,HydrogenELT2019!$A$6:$A$17&amp;HydrogenELT2019!$B$6:$B$17,0),MATCH(TS_TTech!AB$7,HydrogenELT2019!$F$5:$J$5,0)),"")</f>
        <v/>
      </c>
      <c r="AC303" s="163" t="str">
        <f t="array" aca="1" ref="AC303" ca="1">IFERROR(INDEX(HydrogenELT2019!$F$6:$J$17,MATCH(TS_TTech!$C303&amp;TS_TTech!$B303,HydrogenELT2019!$A$6:$A$17&amp;HydrogenELT2019!$B$6:$B$17,0),MATCH(TS_TTech!AC$7,HydrogenELT2019!$F$5:$J$5,0)),"")</f>
        <v/>
      </c>
      <c r="AD303" s="163" t="str">
        <f t="array" aca="1" ref="AD303" ca="1">IFERROR(INDEX(HydrogenELT2019!$F$6:$J$17,MATCH(TS_TTech!$C303&amp;TS_TTech!$B303,HydrogenELT2019!$A$6:$A$17&amp;HydrogenELT2019!$B$6:$B$17,0),MATCH(TS_TTech!AD$7,HydrogenELT2019!$F$5:$J$5,0)),"")</f>
        <v/>
      </c>
      <c r="AE303" s="163" t="str">
        <f t="array" aca="1" ref="AE303" ca="1">IFERROR(INDEX(HydrogenELT2019!$F$6:$J$17,MATCH(TS_TTech!$C303&amp;TS_TTech!$B303,HydrogenELT2019!$A$6:$A$17&amp;HydrogenELT2019!$B$6:$B$17,0),MATCH(TS_TTech!AE$7,HydrogenELT2019!$F$5:$J$5,0)),"")</f>
        <v/>
      </c>
      <c r="AF303" s="163" t="str">
        <f t="array" aca="1" ref="AF303" ca="1">IFERROR(INDEX(HydrogenELT2019!$F$6:$J$17,MATCH(TS_TTech!$C303&amp;TS_TTech!$B303,HydrogenELT2019!$A$6:$A$17&amp;HydrogenELT2019!$B$6:$B$17,0),MATCH(TS_TTech!AF$7,HydrogenELT2019!$F$5:$J$5,0)),"")</f>
        <v/>
      </c>
      <c r="AG303" s="163" t="str">
        <f t="array" aca="1" ref="AG303" ca="1">IFERROR(INDEX(HydrogenELT2019!$F$6:$J$17,MATCH(TS_TTech!$C303&amp;TS_TTech!$B303,HydrogenELT2019!$A$6:$A$17&amp;HydrogenELT2019!$B$6:$B$17,0),MATCH(TS_TTech!AG$7,HydrogenELT2019!$F$5:$J$5,0)),"")</f>
        <v/>
      </c>
      <c r="AH303" s="163" t="str">
        <f t="array" aca="1" ref="AH303" ca="1">IFERROR(INDEX(HydrogenELT2019!$F$6:$J$17,MATCH(TS_TTech!$C303&amp;TS_TTech!$B303,HydrogenELT2019!$A$6:$A$17&amp;HydrogenELT2019!$B$6:$B$17,0),MATCH(TS_TTech!AH$7,HydrogenELT2019!$F$5:$J$5,0)),"")</f>
        <v/>
      </c>
      <c r="AI303" s="163" t="str">
        <f t="array" aca="1" ref="AI303" ca="1">IFERROR(INDEX(HydrogenELT2019!$F$6:$J$17,MATCH(TS_TTech!$C303&amp;TS_TTech!$B303,HydrogenELT2019!$A$6:$A$17&amp;HydrogenELT2019!$B$6:$B$17,0),MATCH(TS_TTech!AI$7,HydrogenELT2019!$F$5:$J$5,0)),"")</f>
        <v/>
      </c>
      <c r="AJ303" s="163" t="str">
        <f t="array" aca="1" ref="AJ303" ca="1">IFERROR(INDEX(HydrogenELT2019!$F$6:$J$17,MATCH(TS_TTech!$C303&amp;TS_TTech!$B303,HydrogenELT2019!$A$6:$A$17&amp;HydrogenELT2019!$B$6:$B$17,0),MATCH(TS_TTech!AJ$7,HydrogenELT2019!$F$5:$J$5,0)),"")</f>
        <v/>
      </c>
      <c r="AK303" s="163" t="str">
        <f t="array" aca="1" ref="AK303" ca="1">IFERROR(INDEX(HydrogenELT2019!$F$6:$J$17,MATCH(TS_TTech!$C303&amp;TS_TTech!$B303,HydrogenELT2019!$A$6:$A$17&amp;HydrogenELT2019!$B$6:$B$17,0),MATCH(TS_TTech!AK$7,HydrogenELT2019!$F$5:$J$5,0)),"")</f>
        <v/>
      </c>
      <c r="AL303" s="163" t="str">
        <f t="array" aca="1" ref="AL303" ca="1">IFERROR(INDEX(HydrogenELT2019!$F$6:$J$17,MATCH(TS_TTech!$C303&amp;TS_TTech!$B303,HydrogenELT2019!$A$6:$A$17&amp;HydrogenELT2019!$B$6:$B$17,0),MATCH(TS_TTech!AL$7,HydrogenELT2019!$F$5:$J$5,0)),"")</f>
        <v/>
      </c>
      <c r="AM303" s="163" t="str">
        <f t="array" aca="1" ref="AM303" ca="1">IFERROR(INDEX(HydrogenELT2019!$F$6:$J$17,MATCH(TS_TTech!$C303&amp;TS_TTech!$B303,HydrogenELT2019!$A$6:$A$17&amp;HydrogenELT2019!$B$6:$B$17,0),MATCH(TS_TTech!AM$7,HydrogenELT2019!$F$5:$J$5,0)),"")</f>
        <v/>
      </c>
      <c r="AN303" s="163" t="str">
        <f t="array" aca="1" ref="AN303" ca="1">IFERROR(INDEX(HydrogenELT2019!$F$6:$J$17,MATCH(TS_TTech!$C303&amp;TS_TTech!$B303,HydrogenELT2019!$A$6:$A$17&amp;HydrogenELT2019!$B$6:$B$17,0),MATCH(TS_TTech!AN$7,HydrogenELT2019!$F$5:$J$5,0)),"")</f>
        <v/>
      </c>
      <c r="AO303" s="163" t="str">
        <f t="array" aca="1" ref="AO303" ca="1">IFERROR(INDEX(HydrogenELT2019!$F$6:$J$17,MATCH(TS_TTech!$C303&amp;TS_TTech!$B303,HydrogenELT2019!$A$6:$A$17&amp;HydrogenELT2019!$B$6:$B$17,0),MATCH(TS_TTech!AO$7,HydrogenELT2019!$F$5:$J$5,0)),"")</f>
        <v/>
      </c>
      <c r="AP303" s="163" t="str">
        <f t="array" aca="1" ref="AP303" ca="1">IFERROR(INDEX(HydrogenELT2019!$F$6:$J$17,MATCH(TS_TTech!$C303&amp;TS_TTech!$B303,HydrogenELT2019!$A$6:$A$17&amp;HydrogenELT2019!$B$6:$B$17,0),MATCH(TS_TTech!AP$7,HydrogenELT2019!$F$5:$J$5,0)),"")</f>
        <v/>
      </c>
      <c r="AR303" s="163">
        <f t="shared" ref="AR303:AR323" si="148">AR302</f>
        <v>26</v>
      </c>
      <c r="AS303" s="42">
        <f>IF(AR303=AR302,AS302+1,1)</f>
        <v>8</v>
      </c>
      <c r="AU303" s="42">
        <f ca="1">SUMIF(UPS!B$38:B$171,C303,UPS!BD$38:BD$171)</f>
        <v>128</v>
      </c>
      <c r="AV303" s="42">
        <v>1</v>
      </c>
    </row>
    <row r="304" spans="1:51">
      <c r="B304" s="440" t="str">
        <f t="shared" si="142"/>
        <v>FLO_EMIS</v>
      </c>
      <c r="C304" s="440" t="str">
        <f ca="1">IF($A304="*","",OFFSET(ITEMS_UPS!$C$8,AR304,0))</f>
        <v>UELEP1HGN</v>
      </c>
      <c r="D304" s="440" t="str">
        <f>$D$18</f>
        <v>UPSCO2S</v>
      </c>
      <c r="E304" s="440" t="str">
        <f t="shared" ca="1" si="143"/>
        <v>UELEP1HGN-O</v>
      </c>
      <c r="F304" s="440" t="str">
        <f t="shared" si="144"/>
        <v>-</v>
      </c>
      <c r="G304" s="440" t="str">
        <f t="shared" si="145"/>
        <v>ANNUAL</v>
      </c>
      <c r="H304" s="441" t="str">
        <f t="shared" si="146"/>
        <v>-</v>
      </c>
      <c r="I304" s="441">
        <f t="shared" si="147"/>
        <v>0</v>
      </c>
      <c r="J304" s="163">
        <f ca="1">IF($A304="*","",OFFSET(UPS!$C$37,AU304,SUMIF($A$10:$A$20,"*#"&amp;AS304,$AT$10:$AT$20)))</f>
        <v>0</v>
      </c>
      <c r="K304" s="163" t="str">
        <f t="array" aca="1" ref="K304" ca="1">IFERROR(INDEX(HydrogenELT2019!$F$6:$J$17,MATCH(TS_TTech!$C304&amp;TS_TTech!$B304,HydrogenELT2019!$A$6:$A$17&amp;HydrogenELT2019!$B$6:$B$17,0),MATCH(TS_TTech!K$7,HydrogenELT2019!$F$5:$J$5,0)),"")</f>
        <v/>
      </c>
      <c r="L304" s="163" t="str">
        <f t="array" aca="1" ref="L304" ca="1">IFERROR(INDEX(HydrogenELT2019!$F$6:$J$17,MATCH(TS_TTech!$C304&amp;TS_TTech!$B304,HydrogenELT2019!$A$6:$A$17&amp;HydrogenELT2019!$B$6:$B$17,0),MATCH(TS_TTech!L$7,HydrogenELT2019!$F$5:$J$5,0)),"")</f>
        <v/>
      </c>
      <c r="M304" s="163" t="str">
        <f t="array" aca="1" ref="M304" ca="1">IFERROR(INDEX(HydrogenELT2019!$F$6:$J$17,MATCH(TS_TTech!$C304&amp;TS_TTech!$B304,HydrogenELT2019!$A$6:$A$17&amp;HydrogenELT2019!$B$6:$B$17,0),MATCH(TS_TTech!M$7,HydrogenELT2019!$F$5:$J$5,0)),"")</f>
        <v/>
      </c>
      <c r="N304" s="163" t="str">
        <f t="array" aca="1" ref="N304" ca="1">IFERROR(INDEX(HydrogenELT2019!$F$6:$J$17,MATCH(TS_TTech!$C304&amp;TS_TTech!$B304,HydrogenELT2019!$A$6:$A$17&amp;HydrogenELT2019!$B$6:$B$17,0),MATCH(TS_TTech!N$7,HydrogenELT2019!$F$5:$J$5,0)),"")</f>
        <v/>
      </c>
      <c r="O304" s="163" t="str">
        <f t="array" aca="1" ref="O304" ca="1">IFERROR(INDEX(HydrogenELT2019!$F$6:$J$17,MATCH(TS_TTech!$C304&amp;TS_TTech!$B304,HydrogenELT2019!$A$6:$A$17&amp;HydrogenELT2019!$B$6:$B$17,0),MATCH(TS_TTech!O$7,HydrogenELT2019!$F$5:$J$5,0)),"")</f>
        <v/>
      </c>
      <c r="P304" s="163" t="str">
        <f t="array" aca="1" ref="P304" ca="1">IFERROR(INDEX(HydrogenELT2019!$F$6:$J$17,MATCH(TS_TTech!$C304&amp;TS_TTech!$B304,HydrogenELT2019!$A$6:$A$17&amp;HydrogenELT2019!$B$6:$B$17,0),MATCH(TS_TTech!P$7,HydrogenELT2019!$F$5:$J$5,0)),"")</f>
        <v/>
      </c>
      <c r="Q304" s="163" t="str">
        <f t="array" aca="1" ref="Q304" ca="1">IFERROR(INDEX(HydrogenELT2019!$F$6:$J$17,MATCH(TS_TTech!$C304&amp;TS_TTech!$B304,HydrogenELT2019!$A$6:$A$17&amp;HydrogenELT2019!$B$6:$B$17,0),MATCH(TS_TTech!Q$7,HydrogenELT2019!$F$5:$J$5,0)),"")</f>
        <v/>
      </c>
      <c r="R304" s="163" t="str">
        <f t="array" aca="1" ref="R304" ca="1">IFERROR(INDEX(HydrogenELT2019!$F$6:$J$17,MATCH(TS_TTech!$C304&amp;TS_TTech!$B304,HydrogenELT2019!$A$6:$A$17&amp;HydrogenELT2019!$B$6:$B$17,0),MATCH(TS_TTech!R$7,HydrogenELT2019!$F$5:$J$5,0)),"")</f>
        <v/>
      </c>
      <c r="S304" s="163" t="str">
        <f t="array" aca="1" ref="S304" ca="1">IFERROR(INDEX(HydrogenELT2019!$F$6:$J$17,MATCH(TS_TTech!$C304&amp;TS_TTech!$B304,HydrogenELT2019!$A$6:$A$17&amp;HydrogenELT2019!$B$6:$B$17,0),MATCH(TS_TTech!S$7,HydrogenELT2019!$F$5:$J$5,0)),"")</f>
        <v/>
      </c>
      <c r="T304" s="163" t="str">
        <f t="array" aca="1" ref="T304" ca="1">IFERROR(INDEX(HydrogenELT2019!$F$6:$J$17,MATCH(TS_TTech!$C304&amp;TS_TTech!$B304,HydrogenELT2019!$A$6:$A$17&amp;HydrogenELT2019!$B$6:$B$17,0),MATCH(TS_TTech!T$7,HydrogenELT2019!$F$5:$J$5,0)),"")</f>
        <v/>
      </c>
      <c r="U304" s="163" t="str">
        <f t="array" aca="1" ref="U304" ca="1">IFERROR(INDEX(HydrogenELT2019!$F$6:$J$17,MATCH(TS_TTech!$C304&amp;TS_TTech!$B304,HydrogenELT2019!$A$6:$A$17&amp;HydrogenELT2019!$B$6:$B$17,0),MATCH(TS_TTech!U$7,HydrogenELT2019!$F$5:$J$5,0)),"")</f>
        <v/>
      </c>
      <c r="V304" s="163" t="str">
        <f t="array" aca="1" ref="V304" ca="1">IFERROR(INDEX(HydrogenELT2019!$F$6:$J$17,MATCH(TS_TTech!$C304&amp;TS_TTech!$B304,HydrogenELT2019!$A$6:$A$17&amp;HydrogenELT2019!$B$6:$B$17,0),MATCH(TS_TTech!V$7,HydrogenELT2019!$F$5:$J$5,0)),"")</f>
        <v/>
      </c>
      <c r="W304" s="163" t="str">
        <f t="array" aca="1" ref="W304" ca="1">IFERROR(INDEX(HydrogenELT2019!$F$6:$J$17,MATCH(TS_TTech!$C304&amp;TS_TTech!$B304,HydrogenELT2019!$A$6:$A$17&amp;HydrogenELT2019!$B$6:$B$17,0),MATCH(TS_TTech!W$7,HydrogenELT2019!$F$5:$J$5,0)),"")</f>
        <v/>
      </c>
      <c r="X304" s="163" t="str">
        <f t="array" aca="1" ref="X304" ca="1">IFERROR(INDEX(HydrogenELT2019!$F$6:$J$17,MATCH(TS_TTech!$C304&amp;TS_TTech!$B304,HydrogenELT2019!$A$6:$A$17&amp;HydrogenELT2019!$B$6:$B$17,0),MATCH(TS_TTech!X$7,HydrogenELT2019!$F$5:$J$5,0)),"")</f>
        <v/>
      </c>
      <c r="Y304" s="163" t="str">
        <f t="array" aca="1" ref="Y304" ca="1">IFERROR(INDEX(HydrogenELT2019!$F$6:$J$17,MATCH(TS_TTech!$C304&amp;TS_TTech!$B304,HydrogenELT2019!$A$6:$A$17&amp;HydrogenELT2019!$B$6:$B$17,0),MATCH(TS_TTech!Y$7,HydrogenELT2019!$F$5:$J$5,0)),"")</f>
        <v/>
      </c>
      <c r="Z304" s="163" t="str">
        <f t="array" aca="1" ref="Z304" ca="1">IFERROR(INDEX(HydrogenELT2019!$F$6:$J$17,MATCH(TS_TTech!$C304&amp;TS_TTech!$B304,HydrogenELT2019!$A$6:$A$17&amp;HydrogenELT2019!$B$6:$B$17,0),MATCH(TS_TTech!Z$7,HydrogenELT2019!$F$5:$J$5,0)),"")</f>
        <v/>
      </c>
      <c r="AA304" s="163" t="str">
        <f t="array" aca="1" ref="AA304" ca="1">IFERROR(INDEX(HydrogenELT2019!$F$6:$J$17,MATCH(TS_TTech!$C304&amp;TS_TTech!$B304,HydrogenELT2019!$A$6:$A$17&amp;HydrogenELT2019!$B$6:$B$17,0),MATCH(TS_TTech!AA$7,HydrogenELT2019!$F$5:$J$5,0)),"")</f>
        <v/>
      </c>
      <c r="AB304" s="163" t="str">
        <f t="array" aca="1" ref="AB304" ca="1">IFERROR(INDEX(HydrogenELT2019!$F$6:$J$17,MATCH(TS_TTech!$C304&amp;TS_TTech!$B304,HydrogenELT2019!$A$6:$A$17&amp;HydrogenELT2019!$B$6:$B$17,0),MATCH(TS_TTech!AB$7,HydrogenELT2019!$F$5:$J$5,0)),"")</f>
        <v/>
      </c>
      <c r="AC304" s="163" t="str">
        <f t="array" aca="1" ref="AC304" ca="1">IFERROR(INDEX(HydrogenELT2019!$F$6:$J$17,MATCH(TS_TTech!$C304&amp;TS_TTech!$B304,HydrogenELT2019!$A$6:$A$17&amp;HydrogenELT2019!$B$6:$B$17,0),MATCH(TS_TTech!AC$7,HydrogenELT2019!$F$5:$J$5,0)),"")</f>
        <v/>
      </c>
      <c r="AD304" s="163" t="str">
        <f t="array" aca="1" ref="AD304" ca="1">IFERROR(INDEX(HydrogenELT2019!$F$6:$J$17,MATCH(TS_TTech!$C304&amp;TS_TTech!$B304,HydrogenELT2019!$A$6:$A$17&amp;HydrogenELT2019!$B$6:$B$17,0),MATCH(TS_TTech!AD$7,HydrogenELT2019!$F$5:$J$5,0)),"")</f>
        <v/>
      </c>
      <c r="AE304" s="163" t="str">
        <f t="array" aca="1" ref="AE304" ca="1">IFERROR(INDEX(HydrogenELT2019!$F$6:$J$17,MATCH(TS_TTech!$C304&amp;TS_TTech!$B304,HydrogenELT2019!$A$6:$A$17&amp;HydrogenELT2019!$B$6:$B$17,0),MATCH(TS_TTech!AE$7,HydrogenELT2019!$F$5:$J$5,0)),"")</f>
        <v/>
      </c>
      <c r="AF304" s="163" t="str">
        <f t="array" aca="1" ref="AF304" ca="1">IFERROR(INDEX(HydrogenELT2019!$F$6:$J$17,MATCH(TS_TTech!$C304&amp;TS_TTech!$B304,HydrogenELT2019!$A$6:$A$17&amp;HydrogenELT2019!$B$6:$B$17,0),MATCH(TS_TTech!AF$7,HydrogenELT2019!$F$5:$J$5,0)),"")</f>
        <v/>
      </c>
      <c r="AG304" s="163" t="str">
        <f t="array" aca="1" ref="AG304" ca="1">IFERROR(INDEX(HydrogenELT2019!$F$6:$J$17,MATCH(TS_TTech!$C304&amp;TS_TTech!$B304,HydrogenELT2019!$A$6:$A$17&amp;HydrogenELT2019!$B$6:$B$17,0),MATCH(TS_TTech!AG$7,HydrogenELT2019!$F$5:$J$5,0)),"")</f>
        <v/>
      </c>
      <c r="AH304" s="163" t="str">
        <f t="array" aca="1" ref="AH304" ca="1">IFERROR(INDEX(HydrogenELT2019!$F$6:$J$17,MATCH(TS_TTech!$C304&amp;TS_TTech!$B304,HydrogenELT2019!$A$6:$A$17&amp;HydrogenELT2019!$B$6:$B$17,0),MATCH(TS_TTech!AH$7,HydrogenELT2019!$F$5:$J$5,0)),"")</f>
        <v/>
      </c>
      <c r="AI304" s="163" t="str">
        <f t="array" aca="1" ref="AI304" ca="1">IFERROR(INDEX(HydrogenELT2019!$F$6:$J$17,MATCH(TS_TTech!$C304&amp;TS_TTech!$B304,HydrogenELT2019!$A$6:$A$17&amp;HydrogenELT2019!$B$6:$B$17,0),MATCH(TS_TTech!AI$7,HydrogenELT2019!$F$5:$J$5,0)),"")</f>
        <v/>
      </c>
      <c r="AJ304" s="163" t="str">
        <f t="array" aca="1" ref="AJ304" ca="1">IFERROR(INDEX(HydrogenELT2019!$F$6:$J$17,MATCH(TS_TTech!$C304&amp;TS_TTech!$B304,HydrogenELT2019!$A$6:$A$17&amp;HydrogenELT2019!$B$6:$B$17,0),MATCH(TS_TTech!AJ$7,HydrogenELT2019!$F$5:$J$5,0)),"")</f>
        <v/>
      </c>
      <c r="AK304" s="163" t="str">
        <f t="array" aca="1" ref="AK304" ca="1">IFERROR(INDEX(HydrogenELT2019!$F$6:$J$17,MATCH(TS_TTech!$C304&amp;TS_TTech!$B304,HydrogenELT2019!$A$6:$A$17&amp;HydrogenELT2019!$B$6:$B$17,0),MATCH(TS_TTech!AK$7,HydrogenELT2019!$F$5:$J$5,0)),"")</f>
        <v/>
      </c>
      <c r="AL304" s="163" t="str">
        <f t="array" aca="1" ref="AL304" ca="1">IFERROR(INDEX(HydrogenELT2019!$F$6:$J$17,MATCH(TS_TTech!$C304&amp;TS_TTech!$B304,HydrogenELT2019!$A$6:$A$17&amp;HydrogenELT2019!$B$6:$B$17,0),MATCH(TS_TTech!AL$7,HydrogenELT2019!$F$5:$J$5,0)),"")</f>
        <v/>
      </c>
      <c r="AM304" s="163" t="str">
        <f t="array" aca="1" ref="AM304" ca="1">IFERROR(INDEX(HydrogenELT2019!$F$6:$J$17,MATCH(TS_TTech!$C304&amp;TS_TTech!$B304,HydrogenELT2019!$A$6:$A$17&amp;HydrogenELT2019!$B$6:$B$17,0),MATCH(TS_TTech!AM$7,HydrogenELT2019!$F$5:$J$5,0)),"")</f>
        <v/>
      </c>
      <c r="AN304" s="163" t="str">
        <f t="array" aca="1" ref="AN304" ca="1">IFERROR(INDEX(HydrogenELT2019!$F$6:$J$17,MATCH(TS_TTech!$C304&amp;TS_TTech!$B304,HydrogenELT2019!$A$6:$A$17&amp;HydrogenELT2019!$B$6:$B$17,0),MATCH(TS_TTech!AN$7,HydrogenELT2019!$F$5:$J$5,0)),"")</f>
        <v/>
      </c>
      <c r="AO304" s="163" t="str">
        <f t="array" aca="1" ref="AO304" ca="1">IFERROR(INDEX(HydrogenELT2019!$F$6:$J$17,MATCH(TS_TTech!$C304&amp;TS_TTech!$B304,HydrogenELT2019!$A$6:$A$17&amp;HydrogenELT2019!$B$6:$B$17,0),MATCH(TS_TTech!AO$7,HydrogenELT2019!$F$5:$J$5,0)),"")</f>
        <v/>
      </c>
      <c r="AP304" s="163" t="str">
        <f t="array" aca="1" ref="AP304" ca="1">IFERROR(INDEX(HydrogenELT2019!$F$6:$J$17,MATCH(TS_TTech!$C304&amp;TS_TTech!$B304,HydrogenELT2019!$A$6:$A$17&amp;HydrogenELT2019!$B$6:$B$17,0),MATCH(TS_TTech!AP$7,HydrogenELT2019!$F$5:$J$5,0)),"")</f>
        <v/>
      </c>
      <c r="AR304" s="163">
        <f t="shared" si="148"/>
        <v>26</v>
      </c>
      <c r="AS304" s="42">
        <f>AS303+1</f>
        <v>9</v>
      </c>
      <c r="AU304" s="42">
        <f ca="1">SUMIF(UPS!B$38:B$171,C304,UPS!BD$38:BD$171)</f>
        <v>128</v>
      </c>
      <c r="AY304" s="42" t="str">
        <f>D304</f>
        <v>UPSCO2S</v>
      </c>
    </row>
    <row r="305" spans="1:51">
      <c r="B305" s="440" t="str">
        <f t="shared" si="142"/>
        <v>FLO_EMIS</v>
      </c>
      <c r="C305" s="440" t="str">
        <f ca="1">IF($A305="*","",OFFSET(ITEMS_UPS!$C$8,AR305,0))</f>
        <v>UELEP1HGN</v>
      </c>
      <c r="D305" s="440" t="str">
        <f>$D$19</f>
        <v>UPSCH4S</v>
      </c>
      <c r="E305" s="440" t="str">
        <f t="shared" ca="1" si="143"/>
        <v>UELEP1HGN-O</v>
      </c>
      <c r="F305" s="440" t="str">
        <f t="shared" si="144"/>
        <v>-</v>
      </c>
      <c r="G305" s="440" t="str">
        <f t="shared" si="145"/>
        <v>ANNUAL</v>
      </c>
      <c r="H305" s="441" t="str">
        <f t="shared" si="146"/>
        <v>-</v>
      </c>
      <c r="I305" s="441">
        <f t="shared" si="147"/>
        <v>0</v>
      </c>
      <c r="J305" s="163">
        <f ca="1">IF($A305="*","",OFFSET(UPS!$C$37,AU305,SUMIF($A$10:$A$20,"*#"&amp;AS305,$AT$10:$AT$20)))</f>
        <v>0</v>
      </c>
      <c r="K305" s="163" t="str">
        <f t="array" aca="1" ref="K305" ca="1">IFERROR(INDEX(HydrogenELT2019!$F$6:$J$17,MATCH(TS_TTech!$C305&amp;TS_TTech!$B305,HydrogenELT2019!$A$6:$A$17&amp;HydrogenELT2019!$B$6:$B$17,0),MATCH(TS_TTech!K$7,HydrogenELT2019!$F$5:$J$5,0)),"")</f>
        <v/>
      </c>
      <c r="L305" s="163" t="str">
        <f t="array" aca="1" ref="L305" ca="1">IFERROR(INDEX(HydrogenELT2019!$F$6:$J$17,MATCH(TS_TTech!$C305&amp;TS_TTech!$B305,HydrogenELT2019!$A$6:$A$17&amp;HydrogenELT2019!$B$6:$B$17,0),MATCH(TS_TTech!L$7,HydrogenELT2019!$F$5:$J$5,0)),"")</f>
        <v/>
      </c>
      <c r="M305" s="163" t="str">
        <f t="array" aca="1" ref="M305" ca="1">IFERROR(INDEX(HydrogenELT2019!$F$6:$J$17,MATCH(TS_TTech!$C305&amp;TS_TTech!$B305,HydrogenELT2019!$A$6:$A$17&amp;HydrogenELT2019!$B$6:$B$17,0),MATCH(TS_TTech!M$7,HydrogenELT2019!$F$5:$J$5,0)),"")</f>
        <v/>
      </c>
      <c r="N305" s="163" t="str">
        <f t="array" aca="1" ref="N305" ca="1">IFERROR(INDEX(HydrogenELT2019!$F$6:$J$17,MATCH(TS_TTech!$C305&amp;TS_TTech!$B305,HydrogenELT2019!$A$6:$A$17&amp;HydrogenELT2019!$B$6:$B$17,0),MATCH(TS_TTech!N$7,HydrogenELT2019!$F$5:$J$5,0)),"")</f>
        <v/>
      </c>
      <c r="O305" s="163" t="str">
        <f t="array" aca="1" ref="O305" ca="1">IFERROR(INDEX(HydrogenELT2019!$F$6:$J$17,MATCH(TS_TTech!$C305&amp;TS_TTech!$B305,HydrogenELT2019!$A$6:$A$17&amp;HydrogenELT2019!$B$6:$B$17,0),MATCH(TS_TTech!O$7,HydrogenELT2019!$F$5:$J$5,0)),"")</f>
        <v/>
      </c>
      <c r="P305" s="163" t="str">
        <f t="array" aca="1" ref="P305" ca="1">IFERROR(INDEX(HydrogenELT2019!$F$6:$J$17,MATCH(TS_TTech!$C305&amp;TS_TTech!$B305,HydrogenELT2019!$A$6:$A$17&amp;HydrogenELT2019!$B$6:$B$17,0),MATCH(TS_TTech!P$7,HydrogenELT2019!$F$5:$J$5,0)),"")</f>
        <v/>
      </c>
      <c r="Q305" s="163" t="str">
        <f t="array" aca="1" ref="Q305" ca="1">IFERROR(INDEX(HydrogenELT2019!$F$6:$J$17,MATCH(TS_TTech!$C305&amp;TS_TTech!$B305,HydrogenELT2019!$A$6:$A$17&amp;HydrogenELT2019!$B$6:$B$17,0),MATCH(TS_TTech!Q$7,HydrogenELT2019!$F$5:$J$5,0)),"")</f>
        <v/>
      </c>
      <c r="R305" s="163" t="str">
        <f t="array" aca="1" ref="R305" ca="1">IFERROR(INDEX(HydrogenELT2019!$F$6:$J$17,MATCH(TS_TTech!$C305&amp;TS_TTech!$B305,HydrogenELT2019!$A$6:$A$17&amp;HydrogenELT2019!$B$6:$B$17,0),MATCH(TS_TTech!R$7,HydrogenELT2019!$F$5:$J$5,0)),"")</f>
        <v/>
      </c>
      <c r="S305" s="163" t="str">
        <f t="array" aca="1" ref="S305" ca="1">IFERROR(INDEX(HydrogenELT2019!$F$6:$J$17,MATCH(TS_TTech!$C305&amp;TS_TTech!$B305,HydrogenELT2019!$A$6:$A$17&amp;HydrogenELT2019!$B$6:$B$17,0),MATCH(TS_TTech!S$7,HydrogenELT2019!$F$5:$J$5,0)),"")</f>
        <v/>
      </c>
      <c r="T305" s="163" t="str">
        <f t="array" aca="1" ref="T305" ca="1">IFERROR(INDEX(HydrogenELT2019!$F$6:$J$17,MATCH(TS_TTech!$C305&amp;TS_TTech!$B305,HydrogenELT2019!$A$6:$A$17&amp;HydrogenELT2019!$B$6:$B$17,0),MATCH(TS_TTech!T$7,HydrogenELT2019!$F$5:$J$5,0)),"")</f>
        <v/>
      </c>
      <c r="U305" s="163" t="str">
        <f t="array" aca="1" ref="U305" ca="1">IFERROR(INDEX(HydrogenELT2019!$F$6:$J$17,MATCH(TS_TTech!$C305&amp;TS_TTech!$B305,HydrogenELT2019!$A$6:$A$17&amp;HydrogenELT2019!$B$6:$B$17,0),MATCH(TS_TTech!U$7,HydrogenELT2019!$F$5:$J$5,0)),"")</f>
        <v/>
      </c>
      <c r="V305" s="163" t="str">
        <f t="array" aca="1" ref="V305" ca="1">IFERROR(INDEX(HydrogenELT2019!$F$6:$J$17,MATCH(TS_TTech!$C305&amp;TS_TTech!$B305,HydrogenELT2019!$A$6:$A$17&amp;HydrogenELT2019!$B$6:$B$17,0),MATCH(TS_TTech!V$7,HydrogenELT2019!$F$5:$J$5,0)),"")</f>
        <v/>
      </c>
      <c r="W305" s="163" t="str">
        <f t="array" aca="1" ref="W305" ca="1">IFERROR(INDEX(HydrogenELT2019!$F$6:$J$17,MATCH(TS_TTech!$C305&amp;TS_TTech!$B305,HydrogenELT2019!$A$6:$A$17&amp;HydrogenELT2019!$B$6:$B$17,0),MATCH(TS_TTech!W$7,HydrogenELT2019!$F$5:$J$5,0)),"")</f>
        <v/>
      </c>
      <c r="X305" s="163" t="str">
        <f t="array" aca="1" ref="X305" ca="1">IFERROR(INDEX(HydrogenELT2019!$F$6:$J$17,MATCH(TS_TTech!$C305&amp;TS_TTech!$B305,HydrogenELT2019!$A$6:$A$17&amp;HydrogenELT2019!$B$6:$B$17,0),MATCH(TS_TTech!X$7,HydrogenELT2019!$F$5:$J$5,0)),"")</f>
        <v/>
      </c>
      <c r="Y305" s="163" t="str">
        <f t="array" aca="1" ref="Y305" ca="1">IFERROR(INDEX(HydrogenELT2019!$F$6:$J$17,MATCH(TS_TTech!$C305&amp;TS_TTech!$B305,HydrogenELT2019!$A$6:$A$17&amp;HydrogenELT2019!$B$6:$B$17,0),MATCH(TS_TTech!Y$7,HydrogenELT2019!$F$5:$J$5,0)),"")</f>
        <v/>
      </c>
      <c r="Z305" s="163" t="str">
        <f t="array" aca="1" ref="Z305" ca="1">IFERROR(INDEX(HydrogenELT2019!$F$6:$J$17,MATCH(TS_TTech!$C305&amp;TS_TTech!$B305,HydrogenELT2019!$A$6:$A$17&amp;HydrogenELT2019!$B$6:$B$17,0),MATCH(TS_TTech!Z$7,HydrogenELT2019!$F$5:$J$5,0)),"")</f>
        <v/>
      </c>
      <c r="AA305" s="163" t="str">
        <f t="array" aca="1" ref="AA305" ca="1">IFERROR(INDEX(HydrogenELT2019!$F$6:$J$17,MATCH(TS_TTech!$C305&amp;TS_TTech!$B305,HydrogenELT2019!$A$6:$A$17&amp;HydrogenELT2019!$B$6:$B$17,0),MATCH(TS_TTech!AA$7,HydrogenELT2019!$F$5:$J$5,0)),"")</f>
        <v/>
      </c>
      <c r="AB305" s="163" t="str">
        <f t="array" aca="1" ref="AB305" ca="1">IFERROR(INDEX(HydrogenELT2019!$F$6:$J$17,MATCH(TS_TTech!$C305&amp;TS_TTech!$B305,HydrogenELT2019!$A$6:$A$17&amp;HydrogenELT2019!$B$6:$B$17,0),MATCH(TS_TTech!AB$7,HydrogenELT2019!$F$5:$J$5,0)),"")</f>
        <v/>
      </c>
      <c r="AC305" s="163" t="str">
        <f t="array" aca="1" ref="AC305" ca="1">IFERROR(INDEX(HydrogenELT2019!$F$6:$J$17,MATCH(TS_TTech!$C305&amp;TS_TTech!$B305,HydrogenELT2019!$A$6:$A$17&amp;HydrogenELT2019!$B$6:$B$17,0),MATCH(TS_TTech!AC$7,HydrogenELT2019!$F$5:$J$5,0)),"")</f>
        <v/>
      </c>
      <c r="AD305" s="163" t="str">
        <f t="array" aca="1" ref="AD305" ca="1">IFERROR(INDEX(HydrogenELT2019!$F$6:$J$17,MATCH(TS_TTech!$C305&amp;TS_TTech!$B305,HydrogenELT2019!$A$6:$A$17&amp;HydrogenELT2019!$B$6:$B$17,0),MATCH(TS_TTech!AD$7,HydrogenELT2019!$F$5:$J$5,0)),"")</f>
        <v/>
      </c>
      <c r="AE305" s="163" t="str">
        <f t="array" aca="1" ref="AE305" ca="1">IFERROR(INDEX(HydrogenELT2019!$F$6:$J$17,MATCH(TS_TTech!$C305&amp;TS_TTech!$B305,HydrogenELT2019!$A$6:$A$17&amp;HydrogenELT2019!$B$6:$B$17,0),MATCH(TS_TTech!AE$7,HydrogenELT2019!$F$5:$J$5,0)),"")</f>
        <v/>
      </c>
      <c r="AF305" s="163" t="str">
        <f t="array" aca="1" ref="AF305" ca="1">IFERROR(INDEX(HydrogenELT2019!$F$6:$J$17,MATCH(TS_TTech!$C305&amp;TS_TTech!$B305,HydrogenELT2019!$A$6:$A$17&amp;HydrogenELT2019!$B$6:$B$17,0),MATCH(TS_TTech!AF$7,HydrogenELT2019!$F$5:$J$5,0)),"")</f>
        <v/>
      </c>
      <c r="AG305" s="163" t="str">
        <f t="array" aca="1" ref="AG305" ca="1">IFERROR(INDEX(HydrogenELT2019!$F$6:$J$17,MATCH(TS_TTech!$C305&amp;TS_TTech!$B305,HydrogenELT2019!$A$6:$A$17&amp;HydrogenELT2019!$B$6:$B$17,0),MATCH(TS_TTech!AG$7,HydrogenELT2019!$F$5:$J$5,0)),"")</f>
        <v/>
      </c>
      <c r="AH305" s="163" t="str">
        <f t="array" aca="1" ref="AH305" ca="1">IFERROR(INDEX(HydrogenELT2019!$F$6:$J$17,MATCH(TS_TTech!$C305&amp;TS_TTech!$B305,HydrogenELT2019!$A$6:$A$17&amp;HydrogenELT2019!$B$6:$B$17,0),MATCH(TS_TTech!AH$7,HydrogenELT2019!$F$5:$J$5,0)),"")</f>
        <v/>
      </c>
      <c r="AI305" s="163" t="str">
        <f t="array" aca="1" ref="AI305" ca="1">IFERROR(INDEX(HydrogenELT2019!$F$6:$J$17,MATCH(TS_TTech!$C305&amp;TS_TTech!$B305,HydrogenELT2019!$A$6:$A$17&amp;HydrogenELT2019!$B$6:$B$17,0),MATCH(TS_TTech!AI$7,HydrogenELT2019!$F$5:$J$5,0)),"")</f>
        <v/>
      </c>
      <c r="AJ305" s="163" t="str">
        <f t="array" aca="1" ref="AJ305" ca="1">IFERROR(INDEX(HydrogenELT2019!$F$6:$J$17,MATCH(TS_TTech!$C305&amp;TS_TTech!$B305,HydrogenELT2019!$A$6:$A$17&amp;HydrogenELT2019!$B$6:$B$17,0),MATCH(TS_TTech!AJ$7,HydrogenELT2019!$F$5:$J$5,0)),"")</f>
        <v/>
      </c>
      <c r="AK305" s="163" t="str">
        <f t="array" aca="1" ref="AK305" ca="1">IFERROR(INDEX(HydrogenELT2019!$F$6:$J$17,MATCH(TS_TTech!$C305&amp;TS_TTech!$B305,HydrogenELT2019!$A$6:$A$17&amp;HydrogenELT2019!$B$6:$B$17,0),MATCH(TS_TTech!AK$7,HydrogenELT2019!$F$5:$J$5,0)),"")</f>
        <v/>
      </c>
      <c r="AL305" s="163" t="str">
        <f t="array" aca="1" ref="AL305" ca="1">IFERROR(INDEX(HydrogenELT2019!$F$6:$J$17,MATCH(TS_TTech!$C305&amp;TS_TTech!$B305,HydrogenELT2019!$A$6:$A$17&amp;HydrogenELT2019!$B$6:$B$17,0),MATCH(TS_TTech!AL$7,HydrogenELT2019!$F$5:$J$5,0)),"")</f>
        <v/>
      </c>
      <c r="AM305" s="163" t="str">
        <f t="array" aca="1" ref="AM305" ca="1">IFERROR(INDEX(HydrogenELT2019!$F$6:$J$17,MATCH(TS_TTech!$C305&amp;TS_TTech!$B305,HydrogenELT2019!$A$6:$A$17&amp;HydrogenELT2019!$B$6:$B$17,0),MATCH(TS_TTech!AM$7,HydrogenELT2019!$F$5:$J$5,0)),"")</f>
        <v/>
      </c>
      <c r="AN305" s="163" t="str">
        <f t="array" aca="1" ref="AN305" ca="1">IFERROR(INDEX(HydrogenELT2019!$F$6:$J$17,MATCH(TS_TTech!$C305&amp;TS_TTech!$B305,HydrogenELT2019!$A$6:$A$17&amp;HydrogenELT2019!$B$6:$B$17,0),MATCH(TS_TTech!AN$7,HydrogenELT2019!$F$5:$J$5,0)),"")</f>
        <v/>
      </c>
      <c r="AO305" s="163" t="str">
        <f t="array" aca="1" ref="AO305" ca="1">IFERROR(INDEX(HydrogenELT2019!$F$6:$J$17,MATCH(TS_TTech!$C305&amp;TS_TTech!$B305,HydrogenELT2019!$A$6:$A$17&amp;HydrogenELT2019!$B$6:$B$17,0),MATCH(TS_TTech!AO$7,HydrogenELT2019!$F$5:$J$5,0)),"")</f>
        <v/>
      </c>
      <c r="AP305" s="163" t="str">
        <f t="array" aca="1" ref="AP305" ca="1">IFERROR(INDEX(HydrogenELT2019!$F$6:$J$17,MATCH(TS_TTech!$C305&amp;TS_TTech!$B305,HydrogenELT2019!$A$6:$A$17&amp;HydrogenELT2019!$B$6:$B$17,0),MATCH(TS_TTech!AP$7,HydrogenELT2019!$F$5:$J$5,0)),"")</f>
        <v/>
      </c>
      <c r="AR305" s="163">
        <f t="shared" si="148"/>
        <v>26</v>
      </c>
      <c r="AS305" s="42">
        <f>AS304+1</f>
        <v>10</v>
      </c>
      <c r="AU305" s="42">
        <f ca="1">SUMIF(UPS!B$38:B$171,C305,UPS!BD$38:BD$171)</f>
        <v>128</v>
      </c>
      <c r="AY305" s="42" t="str">
        <f>D305</f>
        <v>UPSCH4S</v>
      </c>
    </row>
    <row r="306" spans="1:51">
      <c r="B306" s="440" t="str">
        <f t="shared" si="142"/>
        <v>NCAP_COST</v>
      </c>
      <c r="C306" s="440" t="str">
        <f ca="1">IF($A306="*","",OFFSET(ITEMS_UPS!$C$8,AR306,0))</f>
        <v>UELEP1HGN</v>
      </c>
      <c r="D306" s="440" t="str">
        <f ca="1">IF($A306="*","",IF(VLOOKUP("*#"&amp;$AS306,$A$10:$I$24,D$9+1,FALSE)="-","-",OFFSET(UPS!$C$37,AU306+AV306,SUMIF($A$10:$A$20,"*#"&amp;AS306,$AT$10:$AT$20))))</f>
        <v>-</v>
      </c>
      <c r="E306" s="440" t="str">
        <f t="shared" si="143"/>
        <v>-</v>
      </c>
      <c r="F306" s="440" t="str">
        <f t="shared" si="144"/>
        <v>-</v>
      </c>
      <c r="G306" s="440" t="str">
        <f>IF($A306="*","",VLOOKUP("*#"&amp;$AS306,$A$10:$I$24,G$9+1,FALSE))</f>
        <v>-</v>
      </c>
      <c r="H306" s="441" t="str">
        <f t="shared" si="146"/>
        <v>-</v>
      </c>
      <c r="I306" s="441">
        <f>IF($A306="*","",VLOOKUP("*#"&amp;$AS306,$A$10:$I$24,I$9+1,FALSE))</f>
        <v>0</v>
      </c>
      <c r="J306" s="163">
        <f ca="1">IF($A306="*","",OFFSET(UPS!$C$37,AU306,SUMIF($A$10:$A$24,"*#"&amp;AS306,$AT$10:$AT$24)))</f>
        <v>622.84426708278443</v>
      </c>
      <c r="K306" s="163" t="str">
        <f t="array" aca="1" ref="K306" ca="1">IFERROR(INDEX(HydrogenELT2019!$F$6:$J$17,MATCH(TS_TTech!$C306&amp;TS_TTech!$B306,HydrogenELT2019!$A$6:$A$17&amp;HydrogenELT2019!$B$6:$B$17,0),MATCH(TS_TTech!K$7,HydrogenELT2019!$F$5:$J$5,0)),"")</f>
        <v/>
      </c>
      <c r="L306" s="163" t="str">
        <f t="array" aca="1" ref="L306" ca="1">IFERROR(INDEX(HydrogenELT2019!$F$6:$J$17,MATCH(TS_TTech!$C306&amp;TS_TTech!$B306,HydrogenELT2019!$A$6:$A$17&amp;HydrogenELT2019!$B$6:$B$17,0),MATCH(TS_TTech!L$7,HydrogenELT2019!$F$5:$J$5,0)),"")</f>
        <v/>
      </c>
      <c r="M306" s="163" t="str">
        <f t="array" aca="1" ref="M306" ca="1">IFERROR(INDEX(HydrogenELT2019!$F$6:$J$17,MATCH(TS_TTech!$C306&amp;TS_TTech!$B306,HydrogenELT2019!$A$6:$A$17&amp;HydrogenELT2019!$B$6:$B$17,0),MATCH(TS_TTech!M$7,HydrogenELT2019!$F$5:$J$5,0)),"")</f>
        <v/>
      </c>
      <c r="N306" s="163" t="str">
        <f t="array" aca="1" ref="N306" ca="1">IFERROR(INDEX(HydrogenELT2019!$F$6:$J$17,MATCH(TS_TTech!$C306&amp;TS_TTech!$B306,HydrogenELT2019!$A$6:$A$17&amp;HydrogenELT2019!$B$6:$B$17,0),MATCH(TS_TTech!N$7,HydrogenELT2019!$F$5:$J$5,0)),"")</f>
        <v/>
      </c>
      <c r="O306" s="163" t="str">
        <f t="array" aca="1" ref="O306" ca="1">IFERROR(INDEX(HydrogenELT2019!$F$6:$J$17,MATCH(TS_TTech!$C306&amp;TS_TTech!$B306,HydrogenELT2019!$A$6:$A$17&amp;HydrogenELT2019!$B$6:$B$17,0),MATCH(TS_TTech!O$7,HydrogenELT2019!$F$5:$J$5,0)),"")</f>
        <v/>
      </c>
      <c r="P306" s="163" t="str">
        <f t="array" aca="1" ref="P306" ca="1">IFERROR(INDEX(HydrogenELT2019!$F$6:$J$17,MATCH(TS_TTech!$C306&amp;TS_TTech!$B306,HydrogenELT2019!$A$6:$A$17&amp;HydrogenELT2019!$B$6:$B$17,0),MATCH(TS_TTech!P$7,HydrogenELT2019!$F$5:$J$5,0)),"")</f>
        <v/>
      </c>
      <c r="Q306" s="163" t="str">
        <f t="array" aca="1" ref="Q306" ca="1">IFERROR(INDEX(HydrogenELT2019!$F$6:$J$17,MATCH(TS_TTech!$C306&amp;TS_TTech!$B306,HydrogenELT2019!$A$6:$A$17&amp;HydrogenELT2019!$B$6:$B$17,0),MATCH(TS_TTech!Q$7,HydrogenELT2019!$F$5:$J$5,0)),"")</f>
        <v/>
      </c>
      <c r="R306" s="163">
        <f t="array" aca="1" ref="R306" ca="1">IFERROR(INDEX(HydrogenELT2019!$F$6:$J$17,MATCH(TS_TTech!$C306&amp;TS_TTech!$B306,HydrogenELT2019!$A$6:$A$17&amp;HydrogenELT2019!$B$6:$B$17,0),MATCH(TS_TTech!R$7,HydrogenELT2019!$F$5:$J$5,0)),"")</f>
        <v>622.84426708278443</v>
      </c>
      <c r="S306" s="163" t="str">
        <f t="array" aca="1" ref="S306" ca="1">IFERROR(INDEX(HydrogenELT2019!$F$6:$J$17,MATCH(TS_TTech!$C306&amp;TS_TTech!$B306,HydrogenELT2019!$A$6:$A$17&amp;HydrogenELT2019!$B$6:$B$17,0),MATCH(TS_TTech!S$7,HydrogenELT2019!$F$5:$J$5,0)),"")</f>
        <v/>
      </c>
      <c r="T306" s="163" t="str">
        <f t="array" aca="1" ref="T306" ca="1">IFERROR(INDEX(HydrogenELT2019!$F$6:$J$17,MATCH(TS_TTech!$C306&amp;TS_TTech!$B306,HydrogenELT2019!$A$6:$A$17&amp;HydrogenELT2019!$B$6:$B$17,0),MATCH(TS_TTech!T$7,HydrogenELT2019!$F$5:$J$5,0)),"")</f>
        <v/>
      </c>
      <c r="U306" s="163" t="str">
        <f t="array" aca="1" ref="U306" ca="1">IFERROR(INDEX(HydrogenELT2019!$F$6:$J$17,MATCH(TS_TTech!$C306&amp;TS_TTech!$B306,HydrogenELT2019!$A$6:$A$17&amp;HydrogenELT2019!$B$6:$B$17,0),MATCH(TS_TTech!U$7,HydrogenELT2019!$F$5:$J$5,0)),"")</f>
        <v/>
      </c>
      <c r="V306" s="163" t="str">
        <f t="array" aca="1" ref="V306" ca="1">IFERROR(INDEX(HydrogenELT2019!$F$6:$J$17,MATCH(TS_TTech!$C306&amp;TS_TTech!$B306,HydrogenELT2019!$A$6:$A$17&amp;HydrogenELT2019!$B$6:$B$17,0),MATCH(TS_TTech!V$7,HydrogenELT2019!$F$5:$J$5,0)),"")</f>
        <v/>
      </c>
      <c r="W306" s="163" t="str">
        <f t="array" aca="1" ref="W306" ca="1">IFERROR(INDEX(HydrogenELT2019!$F$6:$J$17,MATCH(TS_TTech!$C306&amp;TS_TTech!$B306,HydrogenELT2019!$A$6:$A$17&amp;HydrogenELT2019!$B$6:$B$17,0),MATCH(TS_TTech!W$7,HydrogenELT2019!$F$5:$J$5,0)),"")</f>
        <v/>
      </c>
      <c r="X306" s="163" t="str">
        <f t="array" aca="1" ref="X306" ca="1">IFERROR(INDEX(HydrogenELT2019!$F$6:$J$17,MATCH(TS_TTech!$C306&amp;TS_TTech!$B306,HydrogenELT2019!$A$6:$A$17&amp;HydrogenELT2019!$B$6:$B$17,0),MATCH(TS_TTech!X$7,HydrogenELT2019!$F$5:$J$5,0)),"")</f>
        <v/>
      </c>
      <c r="Y306" s="163" t="str">
        <f t="array" aca="1" ref="Y306" ca="1">IFERROR(INDEX(HydrogenELT2019!$F$6:$J$17,MATCH(TS_TTech!$C306&amp;TS_TTech!$B306,HydrogenELT2019!$A$6:$A$17&amp;HydrogenELT2019!$B$6:$B$17,0),MATCH(TS_TTech!Y$7,HydrogenELT2019!$F$5:$J$5,0)),"")</f>
        <v/>
      </c>
      <c r="Z306" s="163" t="str">
        <f t="array" aca="1" ref="Z306" ca="1">IFERROR(INDEX(HydrogenELT2019!$F$6:$J$17,MATCH(TS_TTech!$C306&amp;TS_TTech!$B306,HydrogenELT2019!$A$6:$A$17&amp;HydrogenELT2019!$B$6:$B$17,0),MATCH(TS_TTech!Z$7,HydrogenELT2019!$F$5:$J$5,0)),"")</f>
        <v/>
      </c>
      <c r="AA306" s="163" t="str">
        <f t="array" aca="1" ref="AA306" ca="1">IFERROR(INDEX(HydrogenELT2019!$F$6:$J$17,MATCH(TS_TTech!$C306&amp;TS_TTech!$B306,HydrogenELT2019!$A$6:$A$17&amp;HydrogenELT2019!$B$6:$B$17,0),MATCH(TS_TTech!AA$7,HydrogenELT2019!$F$5:$J$5,0)),"")</f>
        <v/>
      </c>
      <c r="AB306" s="163">
        <f t="array" aca="1" ref="AB306" ca="1">IFERROR(INDEX(HydrogenELT2019!$F$6:$J$17,MATCH(TS_TTech!$C306&amp;TS_TTech!$B306,HydrogenELT2019!$A$6:$A$17&amp;HydrogenELT2019!$B$6:$B$17,0),MATCH(TS_TTech!AB$7,HydrogenELT2019!$F$5:$J$5,0)),"")</f>
        <v>429.54777040192027</v>
      </c>
      <c r="AC306" s="163" t="str">
        <f t="array" aca="1" ref="AC306" ca="1">IFERROR(INDEX(HydrogenELT2019!$F$6:$J$17,MATCH(TS_TTech!$C306&amp;TS_TTech!$B306,HydrogenELT2019!$A$6:$A$17&amp;HydrogenELT2019!$B$6:$B$17,0),MATCH(TS_TTech!AC$7,HydrogenELT2019!$F$5:$J$5,0)),"")</f>
        <v/>
      </c>
      <c r="AD306" s="163" t="str">
        <f t="array" aca="1" ref="AD306" ca="1">IFERROR(INDEX(HydrogenELT2019!$F$6:$J$17,MATCH(TS_TTech!$C306&amp;TS_TTech!$B306,HydrogenELT2019!$A$6:$A$17&amp;HydrogenELT2019!$B$6:$B$17,0),MATCH(TS_TTech!AD$7,HydrogenELT2019!$F$5:$J$5,0)),"")</f>
        <v/>
      </c>
      <c r="AE306" s="163" t="str">
        <f t="array" aca="1" ref="AE306" ca="1">IFERROR(INDEX(HydrogenELT2019!$F$6:$J$17,MATCH(TS_TTech!$C306&amp;TS_TTech!$B306,HydrogenELT2019!$A$6:$A$17&amp;HydrogenELT2019!$B$6:$B$17,0),MATCH(TS_TTech!AE$7,HydrogenELT2019!$F$5:$J$5,0)),"")</f>
        <v/>
      </c>
      <c r="AF306" s="163" t="str">
        <f t="array" aca="1" ref="AF306" ca="1">IFERROR(INDEX(HydrogenELT2019!$F$6:$J$17,MATCH(TS_TTech!$C306&amp;TS_TTech!$B306,HydrogenELT2019!$A$6:$A$17&amp;HydrogenELT2019!$B$6:$B$17,0),MATCH(TS_TTech!AF$7,HydrogenELT2019!$F$5:$J$5,0)),"")</f>
        <v/>
      </c>
      <c r="AG306" s="163">
        <f t="array" aca="1" ref="AG306" ca="1">IFERROR(INDEX(HydrogenELT2019!$F$6:$J$17,MATCH(TS_TTech!$C306&amp;TS_TTech!$B306,HydrogenELT2019!$A$6:$A$17&amp;HydrogenELT2019!$B$6:$B$17,0),MATCH(TS_TTech!AG$7,HydrogenELT2019!$F$5:$J$5,0)),"")</f>
        <v>236.25127372105612</v>
      </c>
      <c r="AH306" s="163" t="str">
        <f t="array" aca="1" ref="AH306" ca="1">IFERROR(INDEX(HydrogenELT2019!$F$6:$J$17,MATCH(TS_TTech!$C306&amp;TS_TTech!$B306,HydrogenELT2019!$A$6:$A$17&amp;HydrogenELT2019!$B$6:$B$17,0),MATCH(TS_TTech!AH$7,HydrogenELT2019!$F$5:$J$5,0)),"")</f>
        <v/>
      </c>
      <c r="AI306" s="163" t="str">
        <f t="array" aca="1" ref="AI306" ca="1">IFERROR(INDEX(HydrogenELT2019!$F$6:$J$17,MATCH(TS_TTech!$C306&amp;TS_TTech!$B306,HydrogenELT2019!$A$6:$A$17&amp;HydrogenELT2019!$B$6:$B$17,0),MATCH(TS_TTech!AI$7,HydrogenELT2019!$F$5:$J$5,0)),"")</f>
        <v/>
      </c>
      <c r="AJ306" s="163" t="str">
        <f t="array" aca="1" ref="AJ306" ca="1">IFERROR(INDEX(HydrogenELT2019!$F$6:$J$17,MATCH(TS_TTech!$C306&amp;TS_TTech!$B306,HydrogenELT2019!$A$6:$A$17&amp;HydrogenELT2019!$B$6:$B$17,0),MATCH(TS_TTech!AJ$7,HydrogenELT2019!$F$5:$J$5,0)),"")</f>
        <v/>
      </c>
      <c r="AK306" s="163" t="str">
        <f t="array" aca="1" ref="AK306" ca="1">IFERROR(INDEX(HydrogenELT2019!$F$6:$J$17,MATCH(TS_TTech!$C306&amp;TS_TTech!$B306,HydrogenELT2019!$A$6:$A$17&amp;HydrogenELT2019!$B$6:$B$17,0),MATCH(TS_TTech!AK$7,HydrogenELT2019!$F$5:$J$5,0)),"")</f>
        <v/>
      </c>
      <c r="AL306" s="163">
        <f t="array" aca="1" ref="AL306" ca="1">IFERROR(INDEX(HydrogenELT2019!$F$6:$J$17,MATCH(TS_TTech!$C306&amp;TS_TTech!$B306,HydrogenELT2019!$A$6:$A$17&amp;HydrogenELT2019!$B$6:$B$17,0),MATCH(TS_TTech!AL$7,HydrogenELT2019!$F$5:$J$5,0)),"")</f>
        <v>198.85358322102883</v>
      </c>
      <c r="AM306" s="163" t="str">
        <f t="array" aca="1" ref="AM306" ca="1">IFERROR(INDEX(HydrogenELT2019!$F$6:$J$17,MATCH(TS_TTech!$C306&amp;TS_TTech!$B306,HydrogenELT2019!$A$6:$A$17&amp;HydrogenELT2019!$B$6:$B$17,0),MATCH(TS_TTech!AM$7,HydrogenELT2019!$F$5:$J$5,0)),"")</f>
        <v/>
      </c>
      <c r="AN306" s="163">
        <f t="array" aca="1" ref="AN306" ca="1">IFERROR(INDEX(HydrogenELT2019!$F$6:$J$17,MATCH(TS_TTech!$C306&amp;TS_TTech!$B306,HydrogenELT2019!$A$6:$A$17&amp;HydrogenELT2019!$B$6:$B$17,0),MATCH(TS_TTech!AN$7,HydrogenELT2019!$F$5:$J$5,0)),"")</f>
        <v>161.45589272100153</v>
      </c>
      <c r="AO306" s="163" t="str">
        <f t="array" aca="1" ref="AO306" ca="1">IFERROR(INDEX(HydrogenELT2019!$F$6:$J$17,MATCH(TS_TTech!$C306&amp;TS_TTech!$B306,HydrogenELT2019!$A$6:$A$17&amp;HydrogenELT2019!$B$6:$B$17,0),MATCH(TS_TTech!AO$7,HydrogenELT2019!$F$5:$J$5,0)),"")</f>
        <v/>
      </c>
      <c r="AP306" s="163" t="str">
        <f t="array" aca="1" ref="AP306" ca="1">IFERROR(INDEX(HydrogenELT2019!$F$6:$J$17,MATCH(TS_TTech!$C306&amp;TS_TTech!$B306,HydrogenELT2019!$A$6:$A$17&amp;HydrogenELT2019!$B$6:$B$17,0),MATCH(TS_TTech!AP$7,HydrogenELT2019!$F$5:$J$5,0)),"")</f>
        <v/>
      </c>
      <c r="AR306" s="163">
        <f t="shared" si="148"/>
        <v>26</v>
      </c>
      <c r="AS306" s="42">
        <f>AS305+2</f>
        <v>12</v>
      </c>
      <c r="AU306" s="42">
        <f ca="1">SUMIF(UPS!B$38:B$171,C306,UPS!BD$38:BD$171)</f>
        <v>128</v>
      </c>
    </row>
    <row r="307" spans="1:51">
      <c r="B307" s="440" t="str">
        <f t="shared" si="142"/>
        <v>NCAP_TLIFE</v>
      </c>
      <c r="C307" s="440" t="str">
        <f ca="1">IF($A307="*","",OFFSET(ITEMS_UPS!$C$8,AR307,0))</f>
        <v>UELEP1HGN</v>
      </c>
      <c r="D307" s="440" t="str">
        <f ca="1">IF($A307="*","",IF(VLOOKUP("*#"&amp;$AS307,$A$10:$I$24,D$9+1,FALSE)="-","-",OFFSET(UPS!$C$37,AU307+AV307,SUMIF($A$10:$A$20,"*#"&amp;AS307,$AT$10:$AT$20))))</f>
        <v>-</v>
      </c>
      <c r="E307" s="440" t="str">
        <f t="shared" si="143"/>
        <v>-</v>
      </c>
      <c r="F307" s="440" t="str">
        <f t="shared" si="144"/>
        <v>-</v>
      </c>
      <c r="G307" s="440" t="str">
        <f>IF($A307="*","",VLOOKUP("*#"&amp;$AS307,$A$10:$I$24,G$9+1,FALSE))</f>
        <v>-</v>
      </c>
      <c r="H307" s="441" t="str">
        <f t="shared" si="146"/>
        <v>-</v>
      </c>
      <c r="I307" s="441">
        <f>IF($A307="*","",VLOOKUP("*#"&amp;$AS307,$A$10:$I$24,I$9+1,FALSE))</f>
        <v>0</v>
      </c>
      <c r="J307" s="163">
        <f ca="1">IF($A307="*","",OFFSET(UPS!$C$37,AU307,SUMIF($A$10:$A$24,"*#"&amp;AS307,$AT$10:$AT$24)))</f>
        <v>7.6103500761035017</v>
      </c>
      <c r="K307" s="163" t="str">
        <f t="array" aca="1" ref="K307" ca="1">IFERROR(INDEX(HydrogenELT2019!$F$6:$J$17,MATCH(TS_TTech!$C307&amp;TS_TTech!$B307,HydrogenELT2019!$A$6:$A$17&amp;HydrogenELT2019!$B$6:$B$17,0),MATCH(TS_TTech!K$7,HydrogenELT2019!$F$5:$J$5,0)),"")</f>
        <v/>
      </c>
      <c r="L307" s="163" t="str">
        <f t="array" aca="1" ref="L307" ca="1">IFERROR(INDEX(HydrogenELT2019!$F$6:$J$17,MATCH(TS_TTech!$C307&amp;TS_TTech!$B307,HydrogenELT2019!$A$6:$A$17&amp;HydrogenELT2019!$B$6:$B$17,0),MATCH(TS_TTech!L$7,HydrogenELT2019!$F$5:$J$5,0)),"")</f>
        <v/>
      </c>
      <c r="M307" s="163" t="str">
        <f t="array" aca="1" ref="M307" ca="1">IFERROR(INDEX(HydrogenELT2019!$F$6:$J$17,MATCH(TS_TTech!$C307&amp;TS_TTech!$B307,HydrogenELT2019!$A$6:$A$17&amp;HydrogenELT2019!$B$6:$B$17,0),MATCH(TS_TTech!M$7,HydrogenELT2019!$F$5:$J$5,0)),"")</f>
        <v/>
      </c>
      <c r="N307" s="163" t="str">
        <f t="array" aca="1" ref="N307" ca="1">IFERROR(INDEX(HydrogenELT2019!$F$6:$J$17,MATCH(TS_TTech!$C307&amp;TS_TTech!$B307,HydrogenELT2019!$A$6:$A$17&amp;HydrogenELT2019!$B$6:$B$17,0),MATCH(TS_TTech!N$7,HydrogenELT2019!$F$5:$J$5,0)),"")</f>
        <v/>
      </c>
      <c r="O307" s="163" t="str">
        <f t="array" aca="1" ref="O307" ca="1">IFERROR(INDEX(HydrogenELT2019!$F$6:$J$17,MATCH(TS_TTech!$C307&amp;TS_TTech!$B307,HydrogenELT2019!$A$6:$A$17&amp;HydrogenELT2019!$B$6:$B$17,0),MATCH(TS_TTech!O$7,HydrogenELT2019!$F$5:$J$5,0)),"")</f>
        <v/>
      </c>
      <c r="P307" s="163" t="str">
        <f t="array" aca="1" ref="P307" ca="1">IFERROR(INDEX(HydrogenELT2019!$F$6:$J$17,MATCH(TS_TTech!$C307&amp;TS_TTech!$B307,HydrogenELT2019!$A$6:$A$17&amp;HydrogenELT2019!$B$6:$B$17,0),MATCH(TS_TTech!P$7,HydrogenELT2019!$F$5:$J$5,0)),"")</f>
        <v/>
      </c>
      <c r="Q307" s="163" t="str">
        <f t="array" aca="1" ref="Q307" ca="1">IFERROR(INDEX(HydrogenELT2019!$F$6:$J$17,MATCH(TS_TTech!$C307&amp;TS_TTech!$B307,HydrogenELT2019!$A$6:$A$17&amp;HydrogenELT2019!$B$6:$B$17,0),MATCH(TS_TTech!Q$7,HydrogenELT2019!$F$5:$J$5,0)),"")</f>
        <v/>
      </c>
      <c r="R307" s="163">
        <f t="array" aca="1" ref="R307" ca="1">IFERROR(INDEX(HydrogenELT2019!$F$6:$J$17,MATCH(TS_TTech!$C307&amp;TS_TTech!$B307,HydrogenELT2019!$A$6:$A$17&amp;HydrogenELT2019!$B$6:$B$17,0),MATCH(TS_TTech!R$7,HydrogenELT2019!$F$5:$J$5,0)),"")</f>
        <v>7.6103500761035017</v>
      </c>
      <c r="S307" s="163" t="str">
        <f t="array" aca="1" ref="S307" ca="1">IFERROR(INDEX(HydrogenELT2019!$F$6:$J$17,MATCH(TS_TTech!$C307&amp;TS_TTech!$B307,HydrogenELT2019!$A$6:$A$17&amp;HydrogenELT2019!$B$6:$B$17,0),MATCH(TS_TTech!S$7,HydrogenELT2019!$F$5:$J$5,0)),"")</f>
        <v/>
      </c>
      <c r="T307" s="163" t="str">
        <f t="array" aca="1" ref="T307" ca="1">IFERROR(INDEX(HydrogenELT2019!$F$6:$J$17,MATCH(TS_TTech!$C307&amp;TS_TTech!$B307,HydrogenELT2019!$A$6:$A$17&amp;HydrogenELT2019!$B$6:$B$17,0),MATCH(TS_TTech!T$7,HydrogenELT2019!$F$5:$J$5,0)),"")</f>
        <v/>
      </c>
      <c r="U307" s="163" t="str">
        <f t="array" aca="1" ref="U307" ca="1">IFERROR(INDEX(HydrogenELT2019!$F$6:$J$17,MATCH(TS_TTech!$C307&amp;TS_TTech!$B307,HydrogenELT2019!$A$6:$A$17&amp;HydrogenELT2019!$B$6:$B$17,0),MATCH(TS_TTech!U$7,HydrogenELT2019!$F$5:$J$5,0)),"")</f>
        <v/>
      </c>
      <c r="V307" s="163" t="str">
        <f t="array" aca="1" ref="V307" ca="1">IFERROR(INDEX(HydrogenELT2019!$F$6:$J$17,MATCH(TS_TTech!$C307&amp;TS_TTech!$B307,HydrogenELT2019!$A$6:$A$17&amp;HydrogenELT2019!$B$6:$B$17,0),MATCH(TS_TTech!V$7,HydrogenELT2019!$F$5:$J$5,0)),"")</f>
        <v/>
      </c>
      <c r="W307" s="163" t="str">
        <f t="array" aca="1" ref="W307" ca="1">IFERROR(INDEX(HydrogenELT2019!$F$6:$J$17,MATCH(TS_TTech!$C307&amp;TS_TTech!$B307,HydrogenELT2019!$A$6:$A$17&amp;HydrogenELT2019!$B$6:$B$17,0),MATCH(TS_TTech!W$7,HydrogenELT2019!$F$5:$J$5,0)),"")</f>
        <v/>
      </c>
      <c r="X307" s="163" t="str">
        <f t="array" aca="1" ref="X307" ca="1">IFERROR(INDEX(HydrogenELT2019!$F$6:$J$17,MATCH(TS_TTech!$C307&amp;TS_TTech!$B307,HydrogenELT2019!$A$6:$A$17&amp;HydrogenELT2019!$B$6:$B$17,0),MATCH(TS_TTech!X$7,HydrogenELT2019!$F$5:$J$5,0)),"")</f>
        <v/>
      </c>
      <c r="Y307" s="163" t="str">
        <f t="array" aca="1" ref="Y307" ca="1">IFERROR(INDEX(HydrogenELT2019!$F$6:$J$17,MATCH(TS_TTech!$C307&amp;TS_TTech!$B307,HydrogenELT2019!$A$6:$A$17&amp;HydrogenELT2019!$B$6:$B$17,0),MATCH(TS_TTech!Y$7,HydrogenELT2019!$F$5:$J$5,0)),"")</f>
        <v/>
      </c>
      <c r="Z307" s="163" t="str">
        <f t="array" aca="1" ref="Z307" ca="1">IFERROR(INDEX(HydrogenELT2019!$F$6:$J$17,MATCH(TS_TTech!$C307&amp;TS_TTech!$B307,HydrogenELT2019!$A$6:$A$17&amp;HydrogenELT2019!$B$6:$B$17,0),MATCH(TS_TTech!Z$7,HydrogenELT2019!$F$5:$J$5,0)),"")</f>
        <v/>
      </c>
      <c r="AA307" s="163" t="str">
        <f t="array" aca="1" ref="AA307" ca="1">IFERROR(INDEX(HydrogenELT2019!$F$6:$J$17,MATCH(TS_TTech!$C307&amp;TS_TTech!$B307,HydrogenELT2019!$A$6:$A$17&amp;HydrogenELT2019!$B$6:$B$17,0),MATCH(TS_TTech!AA$7,HydrogenELT2019!$F$5:$J$5,0)),"")</f>
        <v/>
      </c>
      <c r="AB307" s="163">
        <f t="array" aca="1" ref="AB307" ca="1">IFERROR(INDEX(HydrogenELT2019!$F$6:$J$17,MATCH(TS_TTech!$C307&amp;TS_TTech!$B307,HydrogenELT2019!$A$6:$A$17&amp;HydrogenELT2019!$B$6:$B$17,0),MATCH(TS_TTech!AB$7,HydrogenELT2019!$F$5:$J$5,0)),"")</f>
        <v>9.512937595129376</v>
      </c>
      <c r="AC307" s="163" t="str">
        <f t="array" aca="1" ref="AC307" ca="1">IFERROR(INDEX(HydrogenELT2019!$F$6:$J$17,MATCH(TS_TTech!$C307&amp;TS_TTech!$B307,HydrogenELT2019!$A$6:$A$17&amp;HydrogenELT2019!$B$6:$B$17,0),MATCH(TS_TTech!AC$7,HydrogenELT2019!$F$5:$J$5,0)),"")</f>
        <v/>
      </c>
      <c r="AD307" s="163" t="str">
        <f t="array" aca="1" ref="AD307" ca="1">IFERROR(INDEX(HydrogenELT2019!$F$6:$J$17,MATCH(TS_TTech!$C307&amp;TS_TTech!$B307,HydrogenELT2019!$A$6:$A$17&amp;HydrogenELT2019!$B$6:$B$17,0),MATCH(TS_TTech!AD$7,HydrogenELT2019!$F$5:$J$5,0)),"")</f>
        <v/>
      </c>
      <c r="AE307" s="163" t="str">
        <f t="array" aca="1" ref="AE307" ca="1">IFERROR(INDEX(HydrogenELT2019!$F$6:$J$17,MATCH(TS_TTech!$C307&amp;TS_TTech!$B307,HydrogenELT2019!$A$6:$A$17&amp;HydrogenELT2019!$B$6:$B$17,0),MATCH(TS_TTech!AE$7,HydrogenELT2019!$F$5:$J$5,0)),"")</f>
        <v/>
      </c>
      <c r="AF307" s="163" t="str">
        <f t="array" aca="1" ref="AF307" ca="1">IFERROR(INDEX(HydrogenELT2019!$F$6:$J$17,MATCH(TS_TTech!$C307&amp;TS_TTech!$B307,HydrogenELT2019!$A$6:$A$17&amp;HydrogenELT2019!$B$6:$B$17,0),MATCH(TS_TTech!AF$7,HydrogenELT2019!$F$5:$J$5,0)),"")</f>
        <v/>
      </c>
      <c r="AG307" s="163">
        <f t="array" aca="1" ref="AG307" ca="1">IFERROR(INDEX(HydrogenELT2019!$F$6:$J$17,MATCH(TS_TTech!$C307&amp;TS_TTech!$B307,HydrogenELT2019!$A$6:$A$17&amp;HydrogenELT2019!$B$6:$B$17,0),MATCH(TS_TTech!AG$7,HydrogenELT2019!$F$5:$J$5,0)),"")</f>
        <v>15.854895991882291</v>
      </c>
      <c r="AH307" s="163" t="str">
        <f t="array" aca="1" ref="AH307" ca="1">IFERROR(INDEX(HydrogenELT2019!$F$6:$J$17,MATCH(TS_TTech!$C307&amp;TS_TTech!$B307,HydrogenELT2019!$A$6:$A$17&amp;HydrogenELT2019!$B$6:$B$17,0),MATCH(TS_TTech!AH$7,HydrogenELT2019!$F$5:$J$5,0)),"")</f>
        <v/>
      </c>
      <c r="AI307" s="163" t="str">
        <f t="array" aca="1" ref="AI307" ca="1">IFERROR(INDEX(HydrogenELT2019!$F$6:$J$17,MATCH(TS_TTech!$C307&amp;TS_TTech!$B307,HydrogenELT2019!$A$6:$A$17&amp;HydrogenELT2019!$B$6:$B$17,0),MATCH(TS_TTech!AI$7,HydrogenELT2019!$F$5:$J$5,0)),"")</f>
        <v/>
      </c>
      <c r="AJ307" s="163" t="str">
        <f t="array" aca="1" ref="AJ307" ca="1">IFERROR(INDEX(HydrogenELT2019!$F$6:$J$17,MATCH(TS_TTech!$C307&amp;TS_TTech!$B307,HydrogenELT2019!$A$6:$A$17&amp;HydrogenELT2019!$B$6:$B$17,0),MATCH(TS_TTech!AJ$7,HydrogenELT2019!$F$5:$J$5,0)),"")</f>
        <v/>
      </c>
      <c r="AK307" s="163" t="str">
        <f t="array" aca="1" ref="AK307" ca="1">IFERROR(INDEX(HydrogenELT2019!$F$6:$J$17,MATCH(TS_TTech!$C307&amp;TS_TTech!$B307,HydrogenELT2019!$A$6:$A$17&amp;HydrogenELT2019!$B$6:$B$17,0),MATCH(TS_TTech!AK$7,HydrogenELT2019!$F$5:$J$5,0)),"")</f>
        <v/>
      </c>
      <c r="AL307" s="163">
        <f t="array" aca="1" ref="AL307" ca="1">IFERROR(INDEX(HydrogenELT2019!$F$6:$J$17,MATCH(TS_TTech!$C307&amp;TS_TTech!$B307,HydrogenELT2019!$A$6:$A$17&amp;HydrogenELT2019!$B$6:$B$17,0),MATCH(TS_TTech!AL$7,HydrogenELT2019!$F$5:$J$5,0)),"")</f>
        <v>15.854895991882291</v>
      </c>
      <c r="AM307" s="163" t="str">
        <f t="array" aca="1" ref="AM307" ca="1">IFERROR(INDEX(HydrogenELT2019!$F$6:$J$17,MATCH(TS_TTech!$C307&amp;TS_TTech!$B307,HydrogenELT2019!$A$6:$A$17&amp;HydrogenELT2019!$B$6:$B$17,0),MATCH(TS_TTech!AM$7,HydrogenELT2019!$F$5:$J$5,0)),"")</f>
        <v/>
      </c>
      <c r="AN307" s="163">
        <f t="array" aca="1" ref="AN307" ca="1">IFERROR(INDEX(HydrogenELT2019!$F$6:$J$17,MATCH(TS_TTech!$C307&amp;TS_TTech!$B307,HydrogenELT2019!$A$6:$A$17&amp;HydrogenELT2019!$B$6:$B$17,0),MATCH(TS_TTech!AN$7,HydrogenELT2019!$F$5:$J$5,0)),"")</f>
        <v>15.854895991882291</v>
      </c>
      <c r="AO307" s="163" t="str">
        <f t="array" aca="1" ref="AO307" ca="1">IFERROR(INDEX(HydrogenELT2019!$F$6:$J$17,MATCH(TS_TTech!$C307&amp;TS_TTech!$B307,HydrogenELT2019!$A$6:$A$17&amp;HydrogenELT2019!$B$6:$B$17,0),MATCH(TS_TTech!AO$7,HydrogenELT2019!$F$5:$J$5,0)),"")</f>
        <v/>
      </c>
      <c r="AP307" s="163" t="str">
        <f t="array" aca="1" ref="AP307" ca="1">IFERROR(INDEX(HydrogenELT2019!$F$6:$J$17,MATCH(TS_TTech!$C307&amp;TS_TTech!$B307,HydrogenELT2019!$A$6:$A$17&amp;HydrogenELT2019!$B$6:$B$17,0),MATCH(TS_TTech!AP$7,HydrogenELT2019!$F$5:$J$5,0)),"")</f>
        <v/>
      </c>
      <c r="AR307" s="163">
        <f t="shared" si="148"/>
        <v>26</v>
      </c>
      <c r="AS307" s="42">
        <f>AS306+1</f>
        <v>13</v>
      </c>
      <c r="AU307" s="42">
        <f ca="1">SUMIF(UPS!B$38:B$171,C307,UPS!BD$38:BD$171)</f>
        <v>128</v>
      </c>
    </row>
    <row r="308" spans="1:51">
      <c r="B308" s="440" t="str">
        <f t="shared" si="142"/>
        <v>NCAP_ILED</v>
      </c>
      <c r="C308" s="440" t="str">
        <f ca="1">IF($A308="*","",OFFSET(ITEMS_UPS!$C$8,AR308,0))</f>
        <v>UELEP1HGN</v>
      </c>
      <c r="D308" s="440" t="str">
        <f ca="1">IF($A308="*","",IF(VLOOKUP("*#"&amp;$AS308,$A$10:$I$24,D$9+1,FALSE)="-","-",OFFSET(UPS!$C$37,AU308+AV308,SUMIF($A$10:$A$20,"*#"&amp;AS308,$AT$10:$AT$20))))</f>
        <v>-</v>
      </c>
      <c r="E308" s="440" t="str">
        <f t="shared" si="143"/>
        <v>-</v>
      </c>
      <c r="F308" s="440" t="str">
        <f t="shared" si="144"/>
        <v>-</v>
      </c>
      <c r="G308" s="440" t="str">
        <f>IF($A308="*","",VLOOKUP("*#"&amp;$AS308,$A$10:$I$24,G$9+1,FALSE))</f>
        <v>-</v>
      </c>
      <c r="H308" s="441" t="str">
        <f t="shared" si="146"/>
        <v>-</v>
      </c>
      <c r="I308" s="441">
        <f>IF($A308="*","",VLOOKUP("*#"&amp;$AS308,$A$10:$I$24,I$9+1,FALSE))</f>
        <v>0</v>
      </c>
      <c r="J308" s="163">
        <f ca="1">IF($A308="*","",OFFSET(UPS!$C$37,AU308,SUMIF($A$10:$A$24,"*#"&amp;AS308,$AT$10:$AT$24)))</f>
        <v>-2</v>
      </c>
      <c r="K308" s="163" t="str">
        <f t="array" aca="1" ref="K308" ca="1">IFERROR(INDEX(HydrogenELT2019!$F$6:$J$17,MATCH(TS_TTech!$C308&amp;TS_TTech!$B308,HydrogenELT2019!$A$6:$A$17&amp;HydrogenELT2019!$B$6:$B$17,0),MATCH(TS_TTech!K$7,HydrogenELT2019!$F$5:$J$5,0)),"")</f>
        <v/>
      </c>
      <c r="L308" s="163" t="str">
        <f t="array" aca="1" ref="L308" ca="1">IFERROR(INDEX(HydrogenELT2019!$F$6:$J$17,MATCH(TS_TTech!$C308&amp;TS_TTech!$B308,HydrogenELT2019!$A$6:$A$17&amp;HydrogenELT2019!$B$6:$B$17,0),MATCH(TS_TTech!L$7,HydrogenELT2019!$F$5:$J$5,0)),"")</f>
        <v/>
      </c>
      <c r="M308" s="163" t="str">
        <f t="array" aca="1" ref="M308" ca="1">IFERROR(INDEX(HydrogenELT2019!$F$6:$J$17,MATCH(TS_TTech!$C308&amp;TS_TTech!$B308,HydrogenELT2019!$A$6:$A$17&amp;HydrogenELT2019!$B$6:$B$17,0),MATCH(TS_TTech!M$7,HydrogenELT2019!$F$5:$J$5,0)),"")</f>
        <v/>
      </c>
      <c r="N308" s="163" t="str">
        <f t="array" aca="1" ref="N308" ca="1">IFERROR(INDEX(HydrogenELT2019!$F$6:$J$17,MATCH(TS_TTech!$C308&amp;TS_TTech!$B308,HydrogenELT2019!$A$6:$A$17&amp;HydrogenELT2019!$B$6:$B$17,0),MATCH(TS_TTech!N$7,HydrogenELT2019!$F$5:$J$5,0)),"")</f>
        <v/>
      </c>
      <c r="O308" s="163" t="str">
        <f t="array" aca="1" ref="O308" ca="1">IFERROR(INDEX(HydrogenELT2019!$F$6:$J$17,MATCH(TS_TTech!$C308&amp;TS_TTech!$B308,HydrogenELT2019!$A$6:$A$17&amp;HydrogenELT2019!$B$6:$B$17,0),MATCH(TS_TTech!O$7,HydrogenELT2019!$F$5:$J$5,0)),"")</f>
        <v/>
      </c>
      <c r="P308" s="163" t="str">
        <f t="array" aca="1" ref="P308" ca="1">IFERROR(INDEX(HydrogenELT2019!$F$6:$J$17,MATCH(TS_TTech!$C308&amp;TS_TTech!$B308,HydrogenELT2019!$A$6:$A$17&amp;HydrogenELT2019!$B$6:$B$17,0),MATCH(TS_TTech!P$7,HydrogenELT2019!$F$5:$J$5,0)),"")</f>
        <v/>
      </c>
      <c r="Q308" s="163" t="str">
        <f t="array" aca="1" ref="Q308" ca="1">IFERROR(INDEX(HydrogenELT2019!$F$6:$J$17,MATCH(TS_TTech!$C308&amp;TS_TTech!$B308,HydrogenELT2019!$A$6:$A$17&amp;HydrogenELT2019!$B$6:$B$17,0),MATCH(TS_TTech!Q$7,HydrogenELT2019!$F$5:$J$5,0)),"")</f>
        <v/>
      </c>
      <c r="R308" s="163">
        <f t="array" aca="1" ref="R308" ca="1">IFERROR(INDEX(HydrogenELT2019!$F$6:$J$17,MATCH(TS_TTech!$C308&amp;TS_TTech!$B308,HydrogenELT2019!$A$6:$A$17&amp;HydrogenELT2019!$B$6:$B$17,0),MATCH(TS_TTech!R$7,HydrogenELT2019!$F$5:$J$5,0)),"")</f>
        <v>-2</v>
      </c>
      <c r="S308" s="163" t="str">
        <f t="array" aca="1" ref="S308" ca="1">IFERROR(INDEX(HydrogenELT2019!$F$6:$J$17,MATCH(TS_TTech!$C308&amp;TS_TTech!$B308,HydrogenELT2019!$A$6:$A$17&amp;HydrogenELT2019!$B$6:$B$17,0),MATCH(TS_TTech!S$7,HydrogenELT2019!$F$5:$J$5,0)),"")</f>
        <v/>
      </c>
      <c r="T308" s="163" t="str">
        <f t="array" aca="1" ref="T308" ca="1">IFERROR(INDEX(HydrogenELT2019!$F$6:$J$17,MATCH(TS_TTech!$C308&amp;TS_TTech!$B308,HydrogenELT2019!$A$6:$A$17&amp;HydrogenELT2019!$B$6:$B$17,0),MATCH(TS_TTech!T$7,HydrogenELT2019!$F$5:$J$5,0)),"")</f>
        <v/>
      </c>
      <c r="U308" s="163" t="str">
        <f t="array" aca="1" ref="U308" ca="1">IFERROR(INDEX(HydrogenELT2019!$F$6:$J$17,MATCH(TS_TTech!$C308&amp;TS_TTech!$B308,HydrogenELT2019!$A$6:$A$17&amp;HydrogenELT2019!$B$6:$B$17,0),MATCH(TS_TTech!U$7,HydrogenELT2019!$F$5:$J$5,0)),"")</f>
        <v/>
      </c>
      <c r="V308" s="163" t="str">
        <f t="array" aca="1" ref="V308" ca="1">IFERROR(INDEX(HydrogenELT2019!$F$6:$J$17,MATCH(TS_TTech!$C308&amp;TS_TTech!$B308,HydrogenELT2019!$A$6:$A$17&amp;HydrogenELT2019!$B$6:$B$17,0),MATCH(TS_TTech!V$7,HydrogenELT2019!$F$5:$J$5,0)),"")</f>
        <v/>
      </c>
      <c r="W308" s="163" t="str">
        <f t="array" aca="1" ref="W308" ca="1">IFERROR(INDEX(HydrogenELT2019!$F$6:$J$17,MATCH(TS_TTech!$C308&amp;TS_TTech!$B308,HydrogenELT2019!$A$6:$A$17&amp;HydrogenELT2019!$B$6:$B$17,0),MATCH(TS_TTech!W$7,HydrogenELT2019!$F$5:$J$5,0)),"")</f>
        <v/>
      </c>
      <c r="X308" s="163" t="str">
        <f t="array" aca="1" ref="X308" ca="1">IFERROR(INDEX(HydrogenELT2019!$F$6:$J$17,MATCH(TS_TTech!$C308&amp;TS_TTech!$B308,HydrogenELT2019!$A$6:$A$17&amp;HydrogenELT2019!$B$6:$B$17,0),MATCH(TS_TTech!X$7,HydrogenELT2019!$F$5:$J$5,0)),"")</f>
        <v/>
      </c>
      <c r="Y308" s="163" t="str">
        <f t="array" aca="1" ref="Y308" ca="1">IFERROR(INDEX(HydrogenELT2019!$F$6:$J$17,MATCH(TS_TTech!$C308&amp;TS_TTech!$B308,HydrogenELT2019!$A$6:$A$17&amp;HydrogenELT2019!$B$6:$B$17,0),MATCH(TS_TTech!Y$7,HydrogenELT2019!$F$5:$J$5,0)),"")</f>
        <v/>
      </c>
      <c r="Z308" s="163" t="str">
        <f t="array" aca="1" ref="Z308" ca="1">IFERROR(INDEX(HydrogenELT2019!$F$6:$J$17,MATCH(TS_TTech!$C308&amp;TS_TTech!$B308,HydrogenELT2019!$A$6:$A$17&amp;HydrogenELT2019!$B$6:$B$17,0),MATCH(TS_TTech!Z$7,HydrogenELT2019!$F$5:$J$5,0)),"")</f>
        <v/>
      </c>
      <c r="AA308" s="163" t="str">
        <f t="array" aca="1" ref="AA308" ca="1">IFERROR(INDEX(HydrogenELT2019!$F$6:$J$17,MATCH(TS_TTech!$C308&amp;TS_TTech!$B308,HydrogenELT2019!$A$6:$A$17&amp;HydrogenELT2019!$B$6:$B$17,0),MATCH(TS_TTech!AA$7,HydrogenELT2019!$F$5:$J$5,0)),"")</f>
        <v/>
      </c>
      <c r="AB308" s="163">
        <f t="array" aca="1" ref="AB308" ca="1">IFERROR(INDEX(HydrogenELT2019!$F$6:$J$17,MATCH(TS_TTech!$C308&amp;TS_TTech!$B308,HydrogenELT2019!$A$6:$A$17&amp;HydrogenELT2019!$B$6:$B$17,0),MATCH(TS_TTech!AB$7,HydrogenELT2019!$F$5:$J$5,0)),"")</f>
        <v>-2</v>
      </c>
      <c r="AC308" s="163" t="str">
        <f t="array" aca="1" ref="AC308" ca="1">IFERROR(INDEX(HydrogenELT2019!$F$6:$J$17,MATCH(TS_TTech!$C308&amp;TS_TTech!$B308,HydrogenELT2019!$A$6:$A$17&amp;HydrogenELT2019!$B$6:$B$17,0),MATCH(TS_TTech!AC$7,HydrogenELT2019!$F$5:$J$5,0)),"")</f>
        <v/>
      </c>
      <c r="AD308" s="163" t="str">
        <f t="array" aca="1" ref="AD308" ca="1">IFERROR(INDEX(HydrogenELT2019!$F$6:$J$17,MATCH(TS_TTech!$C308&amp;TS_TTech!$B308,HydrogenELT2019!$A$6:$A$17&amp;HydrogenELT2019!$B$6:$B$17,0),MATCH(TS_TTech!AD$7,HydrogenELT2019!$F$5:$J$5,0)),"")</f>
        <v/>
      </c>
      <c r="AE308" s="163" t="str">
        <f t="array" aca="1" ref="AE308" ca="1">IFERROR(INDEX(HydrogenELT2019!$F$6:$J$17,MATCH(TS_TTech!$C308&amp;TS_TTech!$B308,HydrogenELT2019!$A$6:$A$17&amp;HydrogenELT2019!$B$6:$B$17,0),MATCH(TS_TTech!AE$7,HydrogenELT2019!$F$5:$J$5,0)),"")</f>
        <v/>
      </c>
      <c r="AF308" s="163" t="str">
        <f t="array" aca="1" ref="AF308" ca="1">IFERROR(INDEX(HydrogenELT2019!$F$6:$J$17,MATCH(TS_TTech!$C308&amp;TS_TTech!$B308,HydrogenELT2019!$A$6:$A$17&amp;HydrogenELT2019!$B$6:$B$17,0),MATCH(TS_TTech!AF$7,HydrogenELT2019!$F$5:$J$5,0)),"")</f>
        <v/>
      </c>
      <c r="AG308" s="163">
        <f t="array" aca="1" ref="AG308" ca="1">IFERROR(INDEX(HydrogenELT2019!$F$6:$J$17,MATCH(TS_TTech!$C308&amp;TS_TTech!$B308,HydrogenELT2019!$A$6:$A$17&amp;HydrogenELT2019!$B$6:$B$17,0),MATCH(TS_TTech!AG$7,HydrogenELT2019!$F$5:$J$5,0)),"")</f>
        <v>-2</v>
      </c>
      <c r="AH308" s="163" t="str">
        <f t="array" aca="1" ref="AH308" ca="1">IFERROR(INDEX(HydrogenELT2019!$F$6:$J$17,MATCH(TS_TTech!$C308&amp;TS_TTech!$B308,HydrogenELT2019!$A$6:$A$17&amp;HydrogenELT2019!$B$6:$B$17,0),MATCH(TS_TTech!AH$7,HydrogenELT2019!$F$5:$J$5,0)),"")</f>
        <v/>
      </c>
      <c r="AI308" s="163" t="str">
        <f t="array" aca="1" ref="AI308" ca="1">IFERROR(INDEX(HydrogenELT2019!$F$6:$J$17,MATCH(TS_TTech!$C308&amp;TS_TTech!$B308,HydrogenELT2019!$A$6:$A$17&amp;HydrogenELT2019!$B$6:$B$17,0),MATCH(TS_TTech!AI$7,HydrogenELT2019!$F$5:$J$5,0)),"")</f>
        <v/>
      </c>
      <c r="AJ308" s="163" t="str">
        <f t="array" aca="1" ref="AJ308" ca="1">IFERROR(INDEX(HydrogenELT2019!$F$6:$J$17,MATCH(TS_TTech!$C308&amp;TS_TTech!$B308,HydrogenELT2019!$A$6:$A$17&amp;HydrogenELT2019!$B$6:$B$17,0),MATCH(TS_TTech!AJ$7,HydrogenELT2019!$F$5:$J$5,0)),"")</f>
        <v/>
      </c>
      <c r="AK308" s="163" t="str">
        <f t="array" aca="1" ref="AK308" ca="1">IFERROR(INDEX(HydrogenELT2019!$F$6:$J$17,MATCH(TS_TTech!$C308&amp;TS_TTech!$B308,HydrogenELT2019!$A$6:$A$17&amp;HydrogenELT2019!$B$6:$B$17,0),MATCH(TS_TTech!AK$7,HydrogenELT2019!$F$5:$J$5,0)),"")</f>
        <v/>
      </c>
      <c r="AL308" s="163">
        <f t="array" aca="1" ref="AL308" ca="1">IFERROR(INDEX(HydrogenELT2019!$F$6:$J$17,MATCH(TS_TTech!$C308&amp;TS_TTech!$B308,HydrogenELT2019!$A$6:$A$17&amp;HydrogenELT2019!$B$6:$B$17,0),MATCH(TS_TTech!AL$7,HydrogenELT2019!$F$5:$J$5,0)),"")</f>
        <v>-2</v>
      </c>
      <c r="AM308" s="163" t="str">
        <f t="array" aca="1" ref="AM308" ca="1">IFERROR(INDEX(HydrogenELT2019!$F$6:$J$17,MATCH(TS_TTech!$C308&amp;TS_TTech!$B308,HydrogenELT2019!$A$6:$A$17&amp;HydrogenELT2019!$B$6:$B$17,0),MATCH(TS_TTech!AM$7,HydrogenELT2019!$F$5:$J$5,0)),"")</f>
        <v/>
      </c>
      <c r="AN308" s="163">
        <f t="array" aca="1" ref="AN308" ca="1">IFERROR(INDEX(HydrogenELT2019!$F$6:$J$17,MATCH(TS_TTech!$C308&amp;TS_TTech!$B308,HydrogenELT2019!$A$6:$A$17&amp;HydrogenELT2019!$B$6:$B$17,0),MATCH(TS_TTech!AN$7,HydrogenELT2019!$F$5:$J$5,0)),"")</f>
        <v>-2</v>
      </c>
      <c r="AO308" s="163" t="str">
        <f t="array" aca="1" ref="AO308" ca="1">IFERROR(INDEX(HydrogenELT2019!$F$6:$J$17,MATCH(TS_TTech!$C308&amp;TS_TTech!$B308,HydrogenELT2019!$A$6:$A$17&amp;HydrogenELT2019!$B$6:$B$17,0),MATCH(TS_TTech!AO$7,HydrogenELT2019!$F$5:$J$5,0)),"")</f>
        <v/>
      </c>
      <c r="AP308" s="163" t="str">
        <f t="array" aca="1" ref="AP308" ca="1">IFERROR(INDEX(HydrogenELT2019!$F$6:$J$17,MATCH(TS_TTech!$C308&amp;TS_TTech!$B308,HydrogenELT2019!$A$6:$A$17&amp;HydrogenELT2019!$B$6:$B$17,0),MATCH(TS_TTech!AP$7,HydrogenELT2019!$F$5:$J$5,0)),"")</f>
        <v/>
      </c>
      <c r="AR308" s="163">
        <f t="shared" si="148"/>
        <v>26</v>
      </c>
      <c r="AS308" s="42">
        <f>AS307+1</f>
        <v>14</v>
      </c>
      <c r="AU308" s="42">
        <f ca="1">SUMIF(UPS!B$38:B$171,C308,UPS!BD$38:BD$171)</f>
        <v>128</v>
      </c>
    </row>
    <row r="309" spans="1:51">
      <c r="A309" s="42" t="s">
        <v>310</v>
      </c>
      <c r="B309" s="440"/>
      <c r="C309" s="440"/>
      <c r="D309" s="440"/>
      <c r="E309" s="440"/>
      <c r="F309" s="440"/>
      <c r="G309" s="440"/>
      <c r="H309" s="441"/>
      <c r="I309" s="441"/>
      <c r="J309" s="163"/>
      <c r="K309" s="163"/>
      <c r="L309" s="163"/>
      <c r="M309" s="163"/>
      <c r="N309" s="163"/>
      <c r="O309" s="163"/>
      <c r="P309" s="163"/>
      <c r="Q309" s="163"/>
      <c r="R309" s="163"/>
      <c r="S309" s="163"/>
      <c r="T309" s="163"/>
      <c r="U309" s="163"/>
      <c r="V309" s="163"/>
      <c r="W309" s="163"/>
      <c r="X309" s="163"/>
      <c r="Y309" s="163"/>
      <c r="Z309" s="163"/>
      <c r="AA309" s="163"/>
      <c r="AB309" s="163"/>
      <c r="AC309" s="163"/>
      <c r="AD309" s="163"/>
      <c r="AE309" s="163"/>
      <c r="AF309" s="163"/>
      <c r="AG309" s="163"/>
      <c r="AH309" s="163"/>
      <c r="AI309" s="163"/>
      <c r="AJ309" s="163"/>
      <c r="AK309" s="163"/>
      <c r="AL309" s="163"/>
      <c r="AM309" s="163"/>
      <c r="AN309" s="163"/>
      <c r="AO309" s="163"/>
      <c r="AP309" s="163"/>
      <c r="AR309" s="163"/>
    </row>
    <row r="310" spans="1:51">
      <c r="B310" s="440" t="str">
        <f t="shared" ref="B310:B321" si="149">IF(A310="*","",VLOOKUP("*#"&amp;AS310,$A$9:$B$24,2,FALSE))</f>
        <v>ACT_COST</v>
      </c>
      <c r="C310" s="440" t="str">
        <f ca="1">IF($A310="*","",OFFSET(ITEMS_UPS!$C$8,AR310,0))</f>
        <v>UELEA1HGN</v>
      </c>
      <c r="D310" s="440" t="str">
        <f ca="1">IF($A310="*","",IF(VLOOKUP("*#"&amp;$AS310,$A$10:$I$24,D$9+1,FALSE)="-","-",OFFSET(UPS!$C$37,AU310+AV310,SUMIF($A$10:$A$20,"*#"&amp;AS310,$AT$10:$AT$20))))</f>
        <v>-</v>
      </c>
      <c r="E310" s="440" t="str">
        <f t="shared" ref="E310:E321" si="150">IF($A310="*","",IF(VLOOKUP("*#"&amp;$AS310,$A$10:$I$24,E$9+1,FALSE)="-","-",C310&amp;"-"&amp;RIGHT(VLOOKUP("*#"&amp;$AS310,$A$10:$I$24,E$9+1,FALSE),1)))</f>
        <v>-</v>
      </c>
      <c r="F310" s="440" t="str">
        <f t="shared" ref="F310:F321" si="151">IF($A310="*","",IF(VLOOKUP("*#"&amp;$AS310,$A$10:$I$24,F$9+1,FALSE)="-","-",C310&amp;"-"&amp;RIGHT(VLOOKUP("*#"&amp;$AS310,$A$10:$I$24,F$9+1,FALSE),1)))</f>
        <v>-</v>
      </c>
      <c r="G310" s="440" t="str">
        <f t="shared" ref="G310:G318" si="152">IF($A310="*","",VLOOKUP("*#"&amp;$AS310,$A$10:$I$20,G$9+1,FALSE))</f>
        <v>-</v>
      </c>
      <c r="H310" s="441" t="str">
        <f t="shared" si="146"/>
        <v>-</v>
      </c>
      <c r="I310" s="441">
        <f t="shared" ref="I310:I318" si="153">IF($A310="*","",VLOOKUP("*#"&amp;$AS310,$A$10:$I$20,I$9+1,FALSE))</f>
        <v>0</v>
      </c>
      <c r="J310" s="163">
        <f ca="1">IF($A310="*","",OFFSET(UPS!$C$37,AU310,SUMIF($A$10:$A$20,"*#"&amp;AS310,$AT$10:$AT$20)))</f>
        <v>0</v>
      </c>
      <c r="K310" s="163" t="str">
        <f t="array" aca="1" ref="K310" ca="1">IFERROR(INDEX(HydrogenELT2019!$F$6:$J$17,MATCH(TS_TTech!$C310&amp;TS_TTech!$B310,HydrogenELT2019!$A$6:$A$17&amp;HydrogenELT2019!$B$6:$B$17,0),MATCH(TS_TTech!K$7,HydrogenELT2019!$F$5:$J$5,0)),"")</f>
        <v/>
      </c>
      <c r="L310" s="163" t="str">
        <f t="array" aca="1" ref="L310" ca="1">IFERROR(INDEX(HydrogenELT2019!$F$6:$J$17,MATCH(TS_TTech!$C310&amp;TS_TTech!$B310,HydrogenELT2019!$A$6:$A$17&amp;HydrogenELT2019!$B$6:$B$17,0),MATCH(TS_TTech!L$7,HydrogenELT2019!$F$5:$J$5,0)),"")</f>
        <v/>
      </c>
      <c r="M310" s="163" t="str">
        <f t="array" aca="1" ref="M310" ca="1">IFERROR(INDEX(HydrogenELT2019!$F$6:$J$17,MATCH(TS_TTech!$C310&amp;TS_TTech!$B310,HydrogenELT2019!$A$6:$A$17&amp;HydrogenELT2019!$B$6:$B$17,0),MATCH(TS_TTech!M$7,HydrogenELT2019!$F$5:$J$5,0)),"")</f>
        <v/>
      </c>
      <c r="N310" s="163" t="str">
        <f t="array" aca="1" ref="N310" ca="1">IFERROR(INDEX(HydrogenELT2019!$F$6:$J$17,MATCH(TS_TTech!$C310&amp;TS_TTech!$B310,HydrogenELT2019!$A$6:$A$17&amp;HydrogenELT2019!$B$6:$B$17,0),MATCH(TS_TTech!N$7,HydrogenELT2019!$F$5:$J$5,0)),"")</f>
        <v/>
      </c>
      <c r="O310" s="163" t="str">
        <f t="array" aca="1" ref="O310" ca="1">IFERROR(INDEX(HydrogenELT2019!$F$6:$J$17,MATCH(TS_TTech!$C310&amp;TS_TTech!$B310,HydrogenELT2019!$A$6:$A$17&amp;HydrogenELT2019!$B$6:$B$17,0),MATCH(TS_TTech!O$7,HydrogenELT2019!$F$5:$J$5,0)),"")</f>
        <v/>
      </c>
      <c r="P310" s="163" t="str">
        <f t="array" aca="1" ref="P310" ca="1">IFERROR(INDEX(HydrogenELT2019!$F$6:$J$17,MATCH(TS_TTech!$C310&amp;TS_TTech!$B310,HydrogenELT2019!$A$6:$A$17&amp;HydrogenELT2019!$B$6:$B$17,0),MATCH(TS_TTech!P$7,HydrogenELT2019!$F$5:$J$5,0)),"")</f>
        <v/>
      </c>
      <c r="Q310" s="163" t="str">
        <f t="array" aca="1" ref="Q310" ca="1">IFERROR(INDEX(HydrogenELT2019!$F$6:$J$17,MATCH(TS_TTech!$C310&amp;TS_TTech!$B310,HydrogenELT2019!$A$6:$A$17&amp;HydrogenELT2019!$B$6:$B$17,0),MATCH(TS_TTech!Q$7,HydrogenELT2019!$F$5:$J$5,0)),"")</f>
        <v/>
      </c>
      <c r="R310" s="163" t="str">
        <f t="array" aca="1" ref="R310" ca="1">IFERROR(INDEX(HydrogenELT2019!$F$6:$J$17,MATCH(TS_TTech!$C310&amp;TS_TTech!$B310,HydrogenELT2019!$A$6:$A$17&amp;HydrogenELT2019!$B$6:$B$17,0),MATCH(TS_TTech!R$7,HydrogenELT2019!$F$5:$J$5,0)),"")</f>
        <v/>
      </c>
      <c r="S310" s="163" t="str">
        <f t="array" aca="1" ref="S310" ca="1">IFERROR(INDEX(HydrogenELT2019!$F$6:$J$17,MATCH(TS_TTech!$C310&amp;TS_TTech!$B310,HydrogenELT2019!$A$6:$A$17&amp;HydrogenELT2019!$B$6:$B$17,0),MATCH(TS_TTech!S$7,HydrogenELT2019!$F$5:$J$5,0)),"")</f>
        <v/>
      </c>
      <c r="T310" s="163" t="str">
        <f t="array" aca="1" ref="T310" ca="1">IFERROR(INDEX(HydrogenELT2019!$F$6:$J$17,MATCH(TS_TTech!$C310&amp;TS_TTech!$B310,HydrogenELT2019!$A$6:$A$17&amp;HydrogenELT2019!$B$6:$B$17,0),MATCH(TS_TTech!T$7,HydrogenELT2019!$F$5:$J$5,0)),"")</f>
        <v/>
      </c>
      <c r="U310" s="163" t="str">
        <f t="array" aca="1" ref="U310" ca="1">IFERROR(INDEX(HydrogenELT2019!$F$6:$J$17,MATCH(TS_TTech!$C310&amp;TS_TTech!$B310,HydrogenELT2019!$A$6:$A$17&amp;HydrogenELT2019!$B$6:$B$17,0),MATCH(TS_TTech!U$7,HydrogenELT2019!$F$5:$J$5,0)),"")</f>
        <v/>
      </c>
      <c r="V310" s="163" t="str">
        <f t="array" aca="1" ref="V310" ca="1">IFERROR(INDEX(HydrogenELT2019!$F$6:$J$17,MATCH(TS_TTech!$C310&amp;TS_TTech!$B310,HydrogenELT2019!$A$6:$A$17&amp;HydrogenELT2019!$B$6:$B$17,0),MATCH(TS_TTech!V$7,HydrogenELT2019!$F$5:$J$5,0)),"")</f>
        <v/>
      </c>
      <c r="W310" s="163" t="str">
        <f t="array" aca="1" ref="W310" ca="1">IFERROR(INDEX(HydrogenELT2019!$F$6:$J$17,MATCH(TS_TTech!$C310&amp;TS_TTech!$B310,HydrogenELT2019!$A$6:$A$17&amp;HydrogenELT2019!$B$6:$B$17,0),MATCH(TS_TTech!W$7,HydrogenELT2019!$F$5:$J$5,0)),"")</f>
        <v/>
      </c>
      <c r="X310" s="163" t="str">
        <f t="array" aca="1" ref="X310" ca="1">IFERROR(INDEX(HydrogenELT2019!$F$6:$J$17,MATCH(TS_TTech!$C310&amp;TS_TTech!$B310,HydrogenELT2019!$A$6:$A$17&amp;HydrogenELT2019!$B$6:$B$17,0),MATCH(TS_TTech!X$7,HydrogenELT2019!$F$5:$J$5,0)),"")</f>
        <v/>
      </c>
      <c r="Y310" s="163" t="str">
        <f t="array" aca="1" ref="Y310" ca="1">IFERROR(INDEX(HydrogenELT2019!$F$6:$J$17,MATCH(TS_TTech!$C310&amp;TS_TTech!$B310,HydrogenELT2019!$A$6:$A$17&amp;HydrogenELT2019!$B$6:$B$17,0),MATCH(TS_TTech!Y$7,HydrogenELT2019!$F$5:$J$5,0)),"")</f>
        <v/>
      </c>
      <c r="Z310" s="163" t="str">
        <f t="array" aca="1" ref="Z310" ca="1">IFERROR(INDEX(HydrogenELT2019!$F$6:$J$17,MATCH(TS_TTech!$C310&amp;TS_TTech!$B310,HydrogenELT2019!$A$6:$A$17&amp;HydrogenELT2019!$B$6:$B$17,0),MATCH(TS_TTech!Z$7,HydrogenELT2019!$F$5:$J$5,0)),"")</f>
        <v/>
      </c>
      <c r="AA310" s="163" t="str">
        <f t="array" aca="1" ref="AA310" ca="1">IFERROR(INDEX(HydrogenELT2019!$F$6:$J$17,MATCH(TS_TTech!$C310&amp;TS_TTech!$B310,HydrogenELT2019!$A$6:$A$17&amp;HydrogenELT2019!$B$6:$B$17,0),MATCH(TS_TTech!AA$7,HydrogenELT2019!$F$5:$J$5,0)),"")</f>
        <v/>
      </c>
      <c r="AB310" s="163" t="str">
        <f t="array" aca="1" ref="AB310" ca="1">IFERROR(INDEX(HydrogenELT2019!$F$6:$J$17,MATCH(TS_TTech!$C310&amp;TS_TTech!$B310,HydrogenELT2019!$A$6:$A$17&amp;HydrogenELT2019!$B$6:$B$17,0),MATCH(TS_TTech!AB$7,HydrogenELT2019!$F$5:$J$5,0)),"")</f>
        <v/>
      </c>
      <c r="AC310" s="163" t="str">
        <f t="array" aca="1" ref="AC310" ca="1">IFERROR(INDEX(HydrogenELT2019!$F$6:$J$17,MATCH(TS_TTech!$C310&amp;TS_TTech!$B310,HydrogenELT2019!$A$6:$A$17&amp;HydrogenELT2019!$B$6:$B$17,0),MATCH(TS_TTech!AC$7,HydrogenELT2019!$F$5:$J$5,0)),"")</f>
        <v/>
      </c>
      <c r="AD310" s="163" t="str">
        <f t="array" aca="1" ref="AD310" ca="1">IFERROR(INDEX(HydrogenELT2019!$F$6:$J$17,MATCH(TS_TTech!$C310&amp;TS_TTech!$B310,HydrogenELT2019!$A$6:$A$17&amp;HydrogenELT2019!$B$6:$B$17,0),MATCH(TS_TTech!AD$7,HydrogenELT2019!$F$5:$J$5,0)),"")</f>
        <v/>
      </c>
      <c r="AE310" s="163" t="str">
        <f t="array" aca="1" ref="AE310" ca="1">IFERROR(INDEX(HydrogenELT2019!$F$6:$J$17,MATCH(TS_TTech!$C310&amp;TS_TTech!$B310,HydrogenELT2019!$A$6:$A$17&amp;HydrogenELT2019!$B$6:$B$17,0),MATCH(TS_TTech!AE$7,HydrogenELT2019!$F$5:$J$5,0)),"")</f>
        <v/>
      </c>
      <c r="AF310" s="163" t="str">
        <f t="array" aca="1" ref="AF310" ca="1">IFERROR(INDEX(HydrogenELT2019!$F$6:$J$17,MATCH(TS_TTech!$C310&amp;TS_TTech!$B310,HydrogenELT2019!$A$6:$A$17&amp;HydrogenELT2019!$B$6:$B$17,0),MATCH(TS_TTech!AF$7,HydrogenELT2019!$F$5:$J$5,0)),"")</f>
        <v/>
      </c>
      <c r="AG310" s="163" t="str">
        <f t="array" aca="1" ref="AG310" ca="1">IFERROR(INDEX(HydrogenELT2019!$F$6:$J$17,MATCH(TS_TTech!$C310&amp;TS_TTech!$B310,HydrogenELT2019!$A$6:$A$17&amp;HydrogenELT2019!$B$6:$B$17,0),MATCH(TS_TTech!AG$7,HydrogenELT2019!$F$5:$J$5,0)),"")</f>
        <v/>
      </c>
      <c r="AH310" s="163" t="str">
        <f t="array" aca="1" ref="AH310" ca="1">IFERROR(INDEX(HydrogenELT2019!$F$6:$J$17,MATCH(TS_TTech!$C310&amp;TS_TTech!$B310,HydrogenELT2019!$A$6:$A$17&amp;HydrogenELT2019!$B$6:$B$17,0),MATCH(TS_TTech!AH$7,HydrogenELT2019!$F$5:$J$5,0)),"")</f>
        <v/>
      </c>
      <c r="AI310" s="163" t="str">
        <f t="array" aca="1" ref="AI310" ca="1">IFERROR(INDEX(HydrogenELT2019!$F$6:$J$17,MATCH(TS_TTech!$C310&amp;TS_TTech!$B310,HydrogenELT2019!$A$6:$A$17&amp;HydrogenELT2019!$B$6:$B$17,0),MATCH(TS_TTech!AI$7,HydrogenELT2019!$F$5:$J$5,0)),"")</f>
        <v/>
      </c>
      <c r="AJ310" s="163" t="str">
        <f t="array" aca="1" ref="AJ310" ca="1">IFERROR(INDEX(HydrogenELT2019!$F$6:$J$17,MATCH(TS_TTech!$C310&amp;TS_TTech!$B310,HydrogenELT2019!$A$6:$A$17&amp;HydrogenELT2019!$B$6:$B$17,0),MATCH(TS_TTech!AJ$7,HydrogenELT2019!$F$5:$J$5,0)),"")</f>
        <v/>
      </c>
      <c r="AK310" s="163" t="str">
        <f t="array" aca="1" ref="AK310" ca="1">IFERROR(INDEX(HydrogenELT2019!$F$6:$J$17,MATCH(TS_TTech!$C310&amp;TS_TTech!$B310,HydrogenELT2019!$A$6:$A$17&amp;HydrogenELT2019!$B$6:$B$17,0),MATCH(TS_TTech!AK$7,HydrogenELT2019!$F$5:$J$5,0)),"")</f>
        <v/>
      </c>
      <c r="AL310" s="163" t="str">
        <f t="array" aca="1" ref="AL310" ca="1">IFERROR(INDEX(HydrogenELT2019!$F$6:$J$17,MATCH(TS_TTech!$C310&amp;TS_TTech!$B310,HydrogenELT2019!$A$6:$A$17&amp;HydrogenELT2019!$B$6:$B$17,0),MATCH(TS_TTech!AL$7,HydrogenELT2019!$F$5:$J$5,0)),"")</f>
        <v/>
      </c>
      <c r="AM310" s="163" t="str">
        <f t="array" aca="1" ref="AM310" ca="1">IFERROR(INDEX(HydrogenELT2019!$F$6:$J$17,MATCH(TS_TTech!$C310&amp;TS_TTech!$B310,HydrogenELT2019!$A$6:$A$17&amp;HydrogenELT2019!$B$6:$B$17,0),MATCH(TS_TTech!AM$7,HydrogenELT2019!$F$5:$J$5,0)),"")</f>
        <v/>
      </c>
      <c r="AN310" s="163" t="str">
        <f t="array" aca="1" ref="AN310" ca="1">IFERROR(INDEX(HydrogenELT2019!$F$6:$J$17,MATCH(TS_TTech!$C310&amp;TS_TTech!$B310,HydrogenELT2019!$A$6:$A$17&amp;HydrogenELT2019!$B$6:$B$17,0),MATCH(TS_TTech!AN$7,HydrogenELT2019!$F$5:$J$5,0)),"")</f>
        <v/>
      </c>
      <c r="AO310" s="163" t="str">
        <f t="array" aca="1" ref="AO310" ca="1">IFERROR(INDEX(HydrogenELT2019!$F$6:$J$17,MATCH(TS_TTech!$C310&amp;TS_TTech!$B310,HydrogenELT2019!$A$6:$A$17&amp;HydrogenELT2019!$B$6:$B$17,0),MATCH(TS_TTech!AO$7,HydrogenELT2019!$F$5:$J$5,0)),"")</f>
        <v/>
      </c>
      <c r="AP310" s="163" t="str">
        <f t="array" aca="1" ref="AP310" ca="1">IFERROR(INDEX(HydrogenELT2019!$F$6:$J$17,MATCH(TS_TTech!$C310&amp;TS_TTech!$B310,HydrogenELT2019!$A$6:$A$17&amp;HydrogenELT2019!$B$6:$B$17,0),MATCH(TS_TTech!AP$7,HydrogenELT2019!$F$5:$J$5,0)),"")</f>
        <v/>
      </c>
      <c r="AR310" s="42">
        <f>AR308+1</f>
        <v>27</v>
      </c>
      <c r="AS310" s="42">
        <v>1</v>
      </c>
      <c r="AU310" s="42">
        <f ca="1">SUMIF(UPS!B$38:B$171,C310,UPS!BD$38:BD$171)</f>
        <v>131</v>
      </c>
    </row>
    <row r="311" spans="1:51">
      <c r="B311" s="440" t="str">
        <f t="shared" si="149"/>
        <v>NCAP_AFA</v>
      </c>
      <c r="C311" s="440" t="str">
        <f ca="1">IF($A311="*","",OFFSET(ITEMS_UPS!$C$8,AR311,0))</f>
        <v>UELEA1HGN</v>
      </c>
      <c r="D311" s="440" t="str">
        <f ca="1">IF($A311="*","",IF(VLOOKUP("*#"&amp;$AS311,$A$10:$I$24,D$9+1,FALSE)="-","-",OFFSET(UPS!$C$37,AU311+AV311,SUMIF($A$10:$A$20,"*#"&amp;AS311,$AT$10:$AT$20))))</f>
        <v>-</v>
      </c>
      <c r="E311" s="440" t="str">
        <f t="shared" si="150"/>
        <v>-</v>
      </c>
      <c r="F311" s="440" t="str">
        <f t="shared" si="151"/>
        <v>-</v>
      </c>
      <c r="G311" s="440" t="str">
        <f t="shared" si="152"/>
        <v>ANNUAL</v>
      </c>
      <c r="H311" s="441" t="str">
        <f t="shared" si="146"/>
        <v>UP</v>
      </c>
      <c r="I311" s="441">
        <f t="shared" si="153"/>
        <v>3</v>
      </c>
      <c r="J311" s="163">
        <f ca="1">IF($A311="*","",OFFSET(UPS!$C$37,AU311,SUMIF($A$10:$A$20,"*#"&amp;AS311,$AT$10:$AT$20)))</f>
        <v>0.9</v>
      </c>
      <c r="K311" s="163" t="str">
        <f t="array" aca="1" ref="K311" ca="1">IFERROR(INDEX(HydrogenELT2019!$F$6:$J$17,MATCH(TS_TTech!$C311&amp;TS_TTech!$B311,HydrogenELT2019!$A$6:$A$17&amp;HydrogenELT2019!$B$6:$B$17,0),MATCH(TS_TTech!K$7,HydrogenELT2019!$F$5:$J$5,0)),"")</f>
        <v/>
      </c>
      <c r="L311" s="163" t="str">
        <f t="array" aca="1" ref="L311" ca="1">IFERROR(INDEX(HydrogenELT2019!$F$6:$J$17,MATCH(TS_TTech!$C311&amp;TS_TTech!$B311,HydrogenELT2019!$A$6:$A$17&amp;HydrogenELT2019!$B$6:$B$17,0),MATCH(TS_TTech!L$7,HydrogenELT2019!$F$5:$J$5,0)),"")</f>
        <v/>
      </c>
      <c r="M311" s="163" t="str">
        <f t="array" aca="1" ref="M311" ca="1">IFERROR(INDEX(HydrogenELT2019!$F$6:$J$17,MATCH(TS_TTech!$C311&amp;TS_TTech!$B311,HydrogenELT2019!$A$6:$A$17&amp;HydrogenELT2019!$B$6:$B$17,0),MATCH(TS_TTech!M$7,HydrogenELT2019!$F$5:$J$5,0)),"")</f>
        <v/>
      </c>
      <c r="N311" s="163" t="str">
        <f t="array" aca="1" ref="N311" ca="1">IFERROR(INDEX(HydrogenELT2019!$F$6:$J$17,MATCH(TS_TTech!$C311&amp;TS_TTech!$B311,HydrogenELT2019!$A$6:$A$17&amp;HydrogenELT2019!$B$6:$B$17,0),MATCH(TS_TTech!N$7,HydrogenELT2019!$F$5:$J$5,0)),"")</f>
        <v/>
      </c>
      <c r="O311" s="163" t="str">
        <f t="array" aca="1" ref="O311" ca="1">IFERROR(INDEX(HydrogenELT2019!$F$6:$J$17,MATCH(TS_TTech!$C311&amp;TS_TTech!$B311,HydrogenELT2019!$A$6:$A$17&amp;HydrogenELT2019!$B$6:$B$17,0),MATCH(TS_TTech!O$7,HydrogenELT2019!$F$5:$J$5,0)),"")</f>
        <v/>
      </c>
      <c r="P311" s="163" t="str">
        <f t="array" aca="1" ref="P311" ca="1">IFERROR(INDEX(HydrogenELT2019!$F$6:$J$17,MATCH(TS_TTech!$C311&amp;TS_TTech!$B311,HydrogenELT2019!$A$6:$A$17&amp;HydrogenELT2019!$B$6:$B$17,0),MATCH(TS_TTech!P$7,HydrogenELT2019!$F$5:$J$5,0)),"")</f>
        <v/>
      </c>
      <c r="Q311" s="163" t="str">
        <f t="array" aca="1" ref="Q311" ca="1">IFERROR(INDEX(HydrogenELT2019!$F$6:$J$17,MATCH(TS_TTech!$C311&amp;TS_TTech!$B311,HydrogenELT2019!$A$6:$A$17&amp;HydrogenELT2019!$B$6:$B$17,0),MATCH(TS_TTech!Q$7,HydrogenELT2019!$F$5:$J$5,0)),"")</f>
        <v/>
      </c>
      <c r="R311" s="163">
        <f t="array" aca="1" ref="R311" ca="1">IFERROR(INDEX(HydrogenELT2019!$F$6:$J$17,MATCH(TS_TTech!$C311&amp;TS_TTech!$B311,HydrogenELT2019!$A$6:$A$17&amp;HydrogenELT2019!$B$6:$B$17,0),MATCH(TS_TTech!R$7,HydrogenELT2019!$F$5:$J$5,0)),"")</f>
        <v>0.9</v>
      </c>
      <c r="S311" s="163" t="str">
        <f t="array" aca="1" ref="S311" ca="1">IFERROR(INDEX(HydrogenELT2019!$F$6:$J$17,MATCH(TS_TTech!$C311&amp;TS_TTech!$B311,HydrogenELT2019!$A$6:$A$17&amp;HydrogenELT2019!$B$6:$B$17,0),MATCH(TS_TTech!S$7,HydrogenELT2019!$F$5:$J$5,0)),"")</f>
        <v/>
      </c>
      <c r="T311" s="163" t="str">
        <f t="array" aca="1" ref="T311" ca="1">IFERROR(INDEX(HydrogenELT2019!$F$6:$J$17,MATCH(TS_TTech!$C311&amp;TS_TTech!$B311,HydrogenELT2019!$A$6:$A$17&amp;HydrogenELT2019!$B$6:$B$17,0),MATCH(TS_TTech!T$7,HydrogenELT2019!$F$5:$J$5,0)),"")</f>
        <v/>
      </c>
      <c r="U311" s="163" t="str">
        <f t="array" aca="1" ref="U311" ca="1">IFERROR(INDEX(HydrogenELT2019!$F$6:$J$17,MATCH(TS_TTech!$C311&amp;TS_TTech!$B311,HydrogenELT2019!$A$6:$A$17&amp;HydrogenELT2019!$B$6:$B$17,0),MATCH(TS_TTech!U$7,HydrogenELT2019!$F$5:$J$5,0)),"")</f>
        <v/>
      </c>
      <c r="V311" s="163" t="str">
        <f t="array" aca="1" ref="V311" ca="1">IFERROR(INDEX(HydrogenELT2019!$F$6:$J$17,MATCH(TS_TTech!$C311&amp;TS_TTech!$B311,HydrogenELT2019!$A$6:$A$17&amp;HydrogenELT2019!$B$6:$B$17,0),MATCH(TS_TTech!V$7,HydrogenELT2019!$F$5:$J$5,0)),"")</f>
        <v/>
      </c>
      <c r="W311" s="163" t="str">
        <f t="array" aca="1" ref="W311" ca="1">IFERROR(INDEX(HydrogenELT2019!$F$6:$J$17,MATCH(TS_TTech!$C311&amp;TS_TTech!$B311,HydrogenELT2019!$A$6:$A$17&amp;HydrogenELT2019!$B$6:$B$17,0),MATCH(TS_TTech!W$7,HydrogenELT2019!$F$5:$J$5,0)),"")</f>
        <v/>
      </c>
      <c r="X311" s="163" t="str">
        <f t="array" aca="1" ref="X311" ca="1">IFERROR(INDEX(HydrogenELT2019!$F$6:$J$17,MATCH(TS_TTech!$C311&amp;TS_TTech!$B311,HydrogenELT2019!$A$6:$A$17&amp;HydrogenELT2019!$B$6:$B$17,0),MATCH(TS_TTech!X$7,HydrogenELT2019!$F$5:$J$5,0)),"")</f>
        <v/>
      </c>
      <c r="Y311" s="163" t="str">
        <f t="array" aca="1" ref="Y311" ca="1">IFERROR(INDEX(HydrogenELT2019!$F$6:$J$17,MATCH(TS_TTech!$C311&amp;TS_TTech!$B311,HydrogenELT2019!$A$6:$A$17&amp;HydrogenELT2019!$B$6:$B$17,0),MATCH(TS_TTech!Y$7,HydrogenELT2019!$F$5:$J$5,0)),"")</f>
        <v/>
      </c>
      <c r="Z311" s="163" t="str">
        <f t="array" aca="1" ref="Z311" ca="1">IFERROR(INDEX(HydrogenELT2019!$F$6:$J$17,MATCH(TS_TTech!$C311&amp;TS_TTech!$B311,HydrogenELT2019!$A$6:$A$17&amp;HydrogenELT2019!$B$6:$B$17,0),MATCH(TS_TTech!Z$7,HydrogenELT2019!$F$5:$J$5,0)),"")</f>
        <v/>
      </c>
      <c r="AA311" s="163" t="str">
        <f t="array" aca="1" ref="AA311" ca="1">IFERROR(INDEX(HydrogenELT2019!$F$6:$J$17,MATCH(TS_TTech!$C311&amp;TS_TTech!$B311,HydrogenELT2019!$A$6:$A$17&amp;HydrogenELT2019!$B$6:$B$17,0),MATCH(TS_TTech!AA$7,HydrogenELT2019!$F$5:$J$5,0)),"")</f>
        <v/>
      </c>
      <c r="AB311" s="163">
        <f t="array" aca="1" ref="AB311" ca="1">IFERROR(INDEX(HydrogenELT2019!$F$6:$J$17,MATCH(TS_TTech!$C311&amp;TS_TTech!$B311,HydrogenELT2019!$A$6:$A$17&amp;HydrogenELT2019!$B$6:$B$17,0),MATCH(TS_TTech!AB$7,HydrogenELT2019!$F$5:$J$5,0)),"")</f>
        <v>0.9</v>
      </c>
      <c r="AC311" s="163" t="str">
        <f t="array" aca="1" ref="AC311" ca="1">IFERROR(INDEX(HydrogenELT2019!$F$6:$J$17,MATCH(TS_TTech!$C311&amp;TS_TTech!$B311,HydrogenELT2019!$A$6:$A$17&amp;HydrogenELT2019!$B$6:$B$17,0),MATCH(TS_TTech!AC$7,HydrogenELT2019!$F$5:$J$5,0)),"")</f>
        <v/>
      </c>
      <c r="AD311" s="163" t="str">
        <f t="array" aca="1" ref="AD311" ca="1">IFERROR(INDEX(HydrogenELT2019!$F$6:$J$17,MATCH(TS_TTech!$C311&amp;TS_TTech!$B311,HydrogenELT2019!$A$6:$A$17&amp;HydrogenELT2019!$B$6:$B$17,0),MATCH(TS_TTech!AD$7,HydrogenELT2019!$F$5:$J$5,0)),"")</f>
        <v/>
      </c>
      <c r="AE311" s="163" t="str">
        <f t="array" aca="1" ref="AE311" ca="1">IFERROR(INDEX(HydrogenELT2019!$F$6:$J$17,MATCH(TS_TTech!$C311&amp;TS_TTech!$B311,HydrogenELT2019!$A$6:$A$17&amp;HydrogenELT2019!$B$6:$B$17,0),MATCH(TS_TTech!AE$7,HydrogenELT2019!$F$5:$J$5,0)),"")</f>
        <v/>
      </c>
      <c r="AF311" s="163" t="str">
        <f t="array" aca="1" ref="AF311" ca="1">IFERROR(INDEX(HydrogenELT2019!$F$6:$J$17,MATCH(TS_TTech!$C311&amp;TS_TTech!$B311,HydrogenELT2019!$A$6:$A$17&amp;HydrogenELT2019!$B$6:$B$17,0),MATCH(TS_TTech!AF$7,HydrogenELT2019!$F$5:$J$5,0)),"")</f>
        <v/>
      </c>
      <c r="AG311" s="163">
        <f t="array" aca="1" ref="AG311" ca="1">IFERROR(INDEX(HydrogenELT2019!$F$6:$J$17,MATCH(TS_TTech!$C311&amp;TS_TTech!$B311,HydrogenELT2019!$A$6:$A$17&amp;HydrogenELT2019!$B$6:$B$17,0),MATCH(TS_TTech!AG$7,HydrogenELT2019!$F$5:$J$5,0)),"")</f>
        <v>0.9</v>
      </c>
      <c r="AH311" s="163" t="str">
        <f t="array" aca="1" ref="AH311" ca="1">IFERROR(INDEX(HydrogenELT2019!$F$6:$J$17,MATCH(TS_TTech!$C311&amp;TS_TTech!$B311,HydrogenELT2019!$A$6:$A$17&amp;HydrogenELT2019!$B$6:$B$17,0),MATCH(TS_TTech!AH$7,HydrogenELT2019!$F$5:$J$5,0)),"")</f>
        <v/>
      </c>
      <c r="AI311" s="163" t="str">
        <f t="array" aca="1" ref="AI311" ca="1">IFERROR(INDEX(HydrogenELT2019!$F$6:$J$17,MATCH(TS_TTech!$C311&amp;TS_TTech!$B311,HydrogenELT2019!$A$6:$A$17&amp;HydrogenELT2019!$B$6:$B$17,0),MATCH(TS_TTech!AI$7,HydrogenELT2019!$F$5:$J$5,0)),"")</f>
        <v/>
      </c>
      <c r="AJ311" s="163" t="str">
        <f t="array" aca="1" ref="AJ311" ca="1">IFERROR(INDEX(HydrogenELT2019!$F$6:$J$17,MATCH(TS_TTech!$C311&amp;TS_TTech!$B311,HydrogenELT2019!$A$6:$A$17&amp;HydrogenELT2019!$B$6:$B$17,0),MATCH(TS_TTech!AJ$7,HydrogenELT2019!$F$5:$J$5,0)),"")</f>
        <v/>
      </c>
      <c r="AK311" s="163" t="str">
        <f t="array" aca="1" ref="AK311" ca="1">IFERROR(INDEX(HydrogenELT2019!$F$6:$J$17,MATCH(TS_TTech!$C311&amp;TS_TTech!$B311,HydrogenELT2019!$A$6:$A$17&amp;HydrogenELT2019!$B$6:$B$17,0),MATCH(TS_TTech!AK$7,HydrogenELT2019!$F$5:$J$5,0)),"")</f>
        <v/>
      </c>
      <c r="AL311" s="163">
        <f t="array" aca="1" ref="AL311" ca="1">IFERROR(INDEX(HydrogenELT2019!$F$6:$J$17,MATCH(TS_TTech!$C311&amp;TS_TTech!$B311,HydrogenELT2019!$A$6:$A$17&amp;HydrogenELT2019!$B$6:$B$17,0),MATCH(TS_TTech!AL$7,HydrogenELT2019!$F$5:$J$5,0)),"")</f>
        <v>0.9</v>
      </c>
      <c r="AM311" s="163" t="str">
        <f t="array" aca="1" ref="AM311" ca="1">IFERROR(INDEX(HydrogenELT2019!$F$6:$J$17,MATCH(TS_TTech!$C311&amp;TS_TTech!$B311,HydrogenELT2019!$A$6:$A$17&amp;HydrogenELT2019!$B$6:$B$17,0),MATCH(TS_TTech!AM$7,HydrogenELT2019!$F$5:$J$5,0)),"")</f>
        <v/>
      </c>
      <c r="AN311" s="163">
        <f t="array" aca="1" ref="AN311" ca="1">IFERROR(INDEX(HydrogenELT2019!$F$6:$J$17,MATCH(TS_TTech!$C311&amp;TS_TTech!$B311,HydrogenELT2019!$A$6:$A$17&amp;HydrogenELT2019!$B$6:$B$17,0),MATCH(TS_TTech!AN$7,HydrogenELT2019!$F$5:$J$5,0)),"")</f>
        <v>0.9</v>
      </c>
      <c r="AO311" s="163" t="str">
        <f t="array" aca="1" ref="AO311" ca="1">IFERROR(INDEX(HydrogenELT2019!$F$6:$J$17,MATCH(TS_TTech!$C311&amp;TS_TTech!$B311,HydrogenELT2019!$A$6:$A$17&amp;HydrogenELT2019!$B$6:$B$17,0),MATCH(TS_TTech!AO$7,HydrogenELT2019!$F$5:$J$5,0)),"")</f>
        <v/>
      </c>
      <c r="AP311" s="163" t="str">
        <f t="array" aca="1" ref="AP311" ca="1">IFERROR(INDEX(HydrogenELT2019!$F$6:$J$17,MATCH(TS_TTech!$C311&amp;TS_TTech!$B311,HydrogenELT2019!$A$6:$A$17&amp;HydrogenELT2019!$B$6:$B$17,0),MATCH(TS_TTech!AP$7,HydrogenELT2019!$F$5:$J$5,0)),"")</f>
        <v/>
      </c>
      <c r="AR311" s="163">
        <f t="shared" si="148"/>
        <v>27</v>
      </c>
      <c r="AS311" s="42">
        <f>IF(AR311=AR310,AS310+1,1)</f>
        <v>2</v>
      </c>
      <c r="AU311" s="42">
        <f ca="1">SUMIF(UPS!B$38:B$171,C311,UPS!BD$38:BD$171)</f>
        <v>131</v>
      </c>
    </row>
    <row r="312" spans="1:51">
      <c r="B312" s="440" t="str">
        <f t="shared" si="149"/>
        <v>NCAP_AFA</v>
      </c>
      <c r="C312" s="440" t="str">
        <f ca="1">IF($A312="*","",OFFSET(ITEMS_UPS!$C$8,AR312,0))</f>
        <v>UELEA1HGN</v>
      </c>
      <c r="D312" s="440" t="str">
        <f ca="1">IF($A312="*","",IF(VLOOKUP("*#"&amp;$AS312,$A$10:$I$24,D$9+1,FALSE)="-","-",OFFSET(UPS!$C$37,AU312+AV312,SUMIF($A$10:$A$20,"*#"&amp;AS312,$AT$10:$AT$20))))</f>
        <v>-</v>
      </c>
      <c r="E312" s="440" t="str">
        <f t="shared" si="150"/>
        <v>-</v>
      </c>
      <c r="F312" s="440" t="str">
        <f t="shared" si="151"/>
        <v>-</v>
      </c>
      <c r="G312" s="440" t="str">
        <f t="shared" si="152"/>
        <v>ANNUAL</v>
      </c>
      <c r="H312" s="441" t="str">
        <f t="shared" si="146"/>
        <v>LO</v>
      </c>
      <c r="I312" s="441">
        <f t="shared" si="153"/>
        <v>3</v>
      </c>
      <c r="J312" s="163" t="str">
        <f ca="1">IF($A312="*","",OFFSET(UPS!$C$37,AU312,SUMIF($A$10:$A$20,"*#"&amp;AS312,$AT$10:$AT$20)))</f>
        <v/>
      </c>
      <c r="K312" s="163" t="str">
        <f t="array" aca="1" ref="K312" ca="1">IFERROR(INDEX(HydrogenELT2019!$F$6:$J$17,MATCH(TS_TTech!$C312&amp;TS_TTech!$B312,HydrogenELT2019!$A$6:$A$17&amp;HydrogenELT2019!$B$6:$B$17,0),MATCH(TS_TTech!K$7,HydrogenELT2019!$F$5:$J$5,0)),"")</f>
        <v/>
      </c>
      <c r="L312" s="163" t="str">
        <f t="array" aca="1" ref="L312" ca="1">IFERROR(INDEX(HydrogenELT2019!$F$6:$J$17,MATCH(TS_TTech!$C312&amp;TS_TTech!$B312,HydrogenELT2019!$A$6:$A$17&amp;HydrogenELT2019!$B$6:$B$17,0),MATCH(TS_TTech!L$7,HydrogenELT2019!$F$5:$J$5,0)),"")</f>
        <v/>
      </c>
      <c r="M312" s="163" t="str">
        <f t="array" aca="1" ref="M312" ca="1">IFERROR(INDEX(HydrogenELT2019!$F$6:$J$17,MATCH(TS_TTech!$C312&amp;TS_TTech!$B312,HydrogenELT2019!$A$6:$A$17&amp;HydrogenELT2019!$B$6:$B$17,0),MATCH(TS_TTech!M$7,HydrogenELT2019!$F$5:$J$5,0)),"")</f>
        <v/>
      </c>
      <c r="N312" s="163" t="str">
        <f t="array" aca="1" ref="N312" ca="1">IFERROR(INDEX(HydrogenELT2019!$F$6:$J$17,MATCH(TS_TTech!$C312&amp;TS_TTech!$B312,HydrogenELT2019!$A$6:$A$17&amp;HydrogenELT2019!$B$6:$B$17,0),MATCH(TS_TTech!N$7,HydrogenELT2019!$F$5:$J$5,0)),"")</f>
        <v/>
      </c>
      <c r="O312" s="163" t="str">
        <f t="array" aca="1" ref="O312" ca="1">IFERROR(INDEX(HydrogenELT2019!$F$6:$J$17,MATCH(TS_TTech!$C312&amp;TS_TTech!$B312,HydrogenELT2019!$A$6:$A$17&amp;HydrogenELT2019!$B$6:$B$17,0),MATCH(TS_TTech!O$7,HydrogenELT2019!$F$5:$J$5,0)),"")</f>
        <v/>
      </c>
      <c r="P312" s="163" t="str">
        <f t="array" aca="1" ref="P312" ca="1">IFERROR(INDEX(HydrogenELT2019!$F$6:$J$17,MATCH(TS_TTech!$C312&amp;TS_TTech!$B312,HydrogenELT2019!$A$6:$A$17&amp;HydrogenELT2019!$B$6:$B$17,0),MATCH(TS_TTech!P$7,HydrogenELT2019!$F$5:$J$5,0)),"")</f>
        <v/>
      </c>
      <c r="Q312" s="163" t="str">
        <f t="array" aca="1" ref="Q312" ca="1">IFERROR(INDEX(HydrogenELT2019!$F$6:$J$17,MATCH(TS_TTech!$C312&amp;TS_TTech!$B312,HydrogenELT2019!$A$6:$A$17&amp;HydrogenELT2019!$B$6:$B$17,0),MATCH(TS_TTech!Q$7,HydrogenELT2019!$F$5:$J$5,0)),"")</f>
        <v/>
      </c>
      <c r="R312" s="163"/>
      <c r="S312" s="163"/>
      <c r="T312" s="163"/>
      <c r="U312" s="163"/>
      <c r="V312" s="163"/>
      <c r="W312" s="163"/>
      <c r="X312" s="163"/>
      <c r="Y312" s="163"/>
      <c r="Z312" s="163"/>
      <c r="AA312" s="163"/>
      <c r="AB312" s="163"/>
      <c r="AC312" s="163"/>
      <c r="AD312" s="163"/>
      <c r="AE312" s="163"/>
      <c r="AF312" s="163"/>
      <c r="AG312" s="163"/>
      <c r="AH312" s="163"/>
      <c r="AI312" s="163"/>
      <c r="AJ312" s="163"/>
      <c r="AK312" s="163"/>
      <c r="AL312" s="163"/>
      <c r="AM312" s="163"/>
      <c r="AN312" s="163"/>
      <c r="AO312" s="163"/>
      <c r="AP312" s="163" t="str">
        <f t="array" aca="1" ref="AP312" ca="1">IFERROR(INDEX(HydrogenELT2019!$F$6:$J$17,MATCH(TS_TTech!$C312&amp;TS_TTech!$B312,HydrogenELT2019!$A$6:$A$17&amp;HydrogenELT2019!$B$6:$B$17,0),MATCH(TS_TTech!AP$7,HydrogenELT2019!$F$5:$J$5,0)),"")</f>
        <v/>
      </c>
      <c r="AR312" s="163">
        <f t="shared" si="148"/>
        <v>27</v>
      </c>
      <c r="AS312" s="42">
        <f t="shared" ref="AS312:AS323" si="154">IF(AR312=AR311,AS311+1,1)</f>
        <v>3</v>
      </c>
      <c r="AU312" s="42">
        <f ca="1">SUMIF(UPS!B$38:B$171,C312,UPS!BD$38:BD$171)</f>
        <v>131</v>
      </c>
    </row>
    <row r="313" spans="1:51">
      <c r="B313" s="440" t="str">
        <f t="shared" si="149"/>
        <v>NCAP_FOM</v>
      </c>
      <c r="C313" s="440" t="str">
        <f ca="1">IF($A313="*","",OFFSET(ITEMS_UPS!$C$8,AR313,0))</f>
        <v>UELEA1HGN</v>
      </c>
      <c r="D313" s="440" t="str">
        <f ca="1">IF($A313="*","",IF(VLOOKUP("*#"&amp;$AS313,$A$10:$I$24,D$9+1,FALSE)="-","-",OFFSET(UPS!$C$37,AU313+AV313,SUMIF($A$10:$A$20,"*#"&amp;AS313,$AT$10:$AT$20))))</f>
        <v>-</v>
      </c>
      <c r="E313" s="440" t="str">
        <f t="shared" si="150"/>
        <v>-</v>
      </c>
      <c r="F313" s="440" t="str">
        <f t="shared" si="151"/>
        <v>-</v>
      </c>
      <c r="G313" s="440" t="str">
        <f t="shared" si="152"/>
        <v>-</v>
      </c>
      <c r="H313" s="441" t="str">
        <f t="shared" si="146"/>
        <v>-</v>
      </c>
      <c r="I313" s="441">
        <f t="shared" si="153"/>
        <v>0</v>
      </c>
      <c r="J313" s="163">
        <f ca="1">IF($A313="*","",OFFSET(UPS!$C$37,AU313,SUMIF($A$10:$A$20,"*#"&amp;AS313,$AT$10:$AT$20)))</f>
        <v>6.1210557282273639</v>
      </c>
      <c r="K313" s="163" t="str">
        <f t="array" aca="1" ref="K313" ca="1">IFERROR(INDEX(HydrogenELT2019!$F$6:$J$17,MATCH(TS_TTech!$C313&amp;TS_TTech!$B313,HydrogenELT2019!$A$6:$A$17&amp;HydrogenELT2019!$B$6:$B$17,0),MATCH(TS_TTech!K$7,HydrogenELT2019!$F$5:$J$5,0)),"")</f>
        <v/>
      </c>
      <c r="L313" s="163" t="str">
        <f t="array" aca="1" ref="L313" ca="1">IFERROR(INDEX(HydrogenELT2019!$F$6:$J$17,MATCH(TS_TTech!$C313&amp;TS_TTech!$B313,HydrogenELT2019!$A$6:$A$17&amp;HydrogenELT2019!$B$6:$B$17,0),MATCH(TS_TTech!L$7,HydrogenELT2019!$F$5:$J$5,0)),"")</f>
        <v/>
      </c>
      <c r="M313" s="163" t="str">
        <f t="array" aca="1" ref="M313" ca="1">IFERROR(INDEX(HydrogenELT2019!$F$6:$J$17,MATCH(TS_TTech!$C313&amp;TS_TTech!$B313,HydrogenELT2019!$A$6:$A$17&amp;HydrogenELT2019!$B$6:$B$17,0),MATCH(TS_TTech!M$7,HydrogenELT2019!$F$5:$J$5,0)),"")</f>
        <v/>
      </c>
      <c r="N313" s="163" t="str">
        <f t="array" aca="1" ref="N313" ca="1">IFERROR(INDEX(HydrogenELT2019!$F$6:$J$17,MATCH(TS_TTech!$C313&amp;TS_TTech!$B313,HydrogenELT2019!$A$6:$A$17&amp;HydrogenELT2019!$B$6:$B$17,0),MATCH(TS_TTech!N$7,HydrogenELT2019!$F$5:$J$5,0)),"")</f>
        <v/>
      </c>
      <c r="O313" s="163" t="str">
        <f t="array" aca="1" ref="O313" ca="1">IFERROR(INDEX(HydrogenELT2019!$F$6:$J$17,MATCH(TS_TTech!$C313&amp;TS_TTech!$B313,HydrogenELT2019!$A$6:$A$17&amp;HydrogenELT2019!$B$6:$B$17,0),MATCH(TS_TTech!O$7,HydrogenELT2019!$F$5:$J$5,0)),"")</f>
        <v/>
      </c>
      <c r="P313" s="163" t="str">
        <f t="array" aca="1" ref="P313" ca="1">IFERROR(INDEX(HydrogenELT2019!$F$6:$J$17,MATCH(TS_TTech!$C313&amp;TS_TTech!$B313,HydrogenELT2019!$A$6:$A$17&amp;HydrogenELT2019!$B$6:$B$17,0),MATCH(TS_TTech!P$7,HydrogenELT2019!$F$5:$J$5,0)),"")</f>
        <v/>
      </c>
      <c r="Q313" s="163" t="str">
        <f t="array" aca="1" ref="Q313" ca="1">IFERROR(INDEX(HydrogenELT2019!$F$6:$J$17,MATCH(TS_TTech!$C313&amp;TS_TTech!$B313,HydrogenELT2019!$A$6:$A$17&amp;HydrogenELT2019!$B$6:$B$17,0),MATCH(TS_TTech!Q$7,HydrogenELT2019!$F$5:$J$5,0)),"")</f>
        <v/>
      </c>
      <c r="R313" s="163">
        <f t="array" aca="1" ref="R313" ca="1">IFERROR(INDEX(HydrogenELT2019!$F$6:$J$17,MATCH(TS_TTech!$C313&amp;TS_TTech!$B313,HydrogenELT2019!$A$6:$A$17&amp;HydrogenELT2019!$B$6:$B$17,0),MATCH(TS_TTech!R$7,HydrogenELT2019!$F$5:$J$5,0)),"")</f>
        <v>6.1210557282273639</v>
      </c>
      <c r="S313" s="163" t="str">
        <f t="array" aca="1" ref="S313" ca="1">IFERROR(INDEX(HydrogenELT2019!$F$6:$J$17,MATCH(TS_TTech!$C313&amp;TS_TTech!$B313,HydrogenELT2019!$A$6:$A$17&amp;HydrogenELT2019!$B$6:$B$17,0),MATCH(TS_TTech!S$7,HydrogenELT2019!$F$5:$J$5,0)),"")</f>
        <v/>
      </c>
      <c r="T313" s="163" t="str">
        <f t="array" aca="1" ref="T313" ca="1">IFERROR(INDEX(HydrogenELT2019!$F$6:$J$17,MATCH(TS_TTech!$C313&amp;TS_TTech!$B313,HydrogenELT2019!$A$6:$A$17&amp;HydrogenELT2019!$B$6:$B$17,0),MATCH(TS_TTech!T$7,HydrogenELT2019!$F$5:$J$5,0)),"")</f>
        <v/>
      </c>
      <c r="U313" s="163" t="str">
        <f t="array" aca="1" ref="U313" ca="1">IFERROR(INDEX(HydrogenELT2019!$F$6:$J$17,MATCH(TS_TTech!$C313&amp;TS_TTech!$B313,HydrogenELT2019!$A$6:$A$17&amp;HydrogenELT2019!$B$6:$B$17,0),MATCH(TS_TTech!U$7,HydrogenELT2019!$F$5:$J$5,0)),"")</f>
        <v/>
      </c>
      <c r="V313" s="163" t="str">
        <f t="array" aca="1" ref="V313" ca="1">IFERROR(INDEX(HydrogenELT2019!$F$6:$J$17,MATCH(TS_TTech!$C313&amp;TS_TTech!$B313,HydrogenELT2019!$A$6:$A$17&amp;HydrogenELT2019!$B$6:$B$17,0),MATCH(TS_TTech!V$7,HydrogenELT2019!$F$5:$J$5,0)),"")</f>
        <v/>
      </c>
      <c r="W313" s="163" t="str">
        <f t="array" aca="1" ref="W313" ca="1">IFERROR(INDEX(HydrogenELT2019!$F$6:$J$17,MATCH(TS_TTech!$C313&amp;TS_TTech!$B313,HydrogenELT2019!$A$6:$A$17&amp;HydrogenELT2019!$B$6:$B$17,0),MATCH(TS_TTech!W$7,HydrogenELT2019!$F$5:$J$5,0)),"")</f>
        <v/>
      </c>
      <c r="X313" s="163" t="str">
        <f t="array" aca="1" ref="X313" ca="1">IFERROR(INDEX(HydrogenELT2019!$F$6:$J$17,MATCH(TS_TTech!$C313&amp;TS_TTech!$B313,HydrogenELT2019!$A$6:$A$17&amp;HydrogenELT2019!$B$6:$B$17,0),MATCH(TS_TTech!X$7,HydrogenELT2019!$F$5:$J$5,0)),"")</f>
        <v/>
      </c>
      <c r="Y313" s="163" t="str">
        <f t="array" aca="1" ref="Y313" ca="1">IFERROR(INDEX(HydrogenELT2019!$F$6:$J$17,MATCH(TS_TTech!$C313&amp;TS_TTech!$B313,HydrogenELT2019!$A$6:$A$17&amp;HydrogenELT2019!$B$6:$B$17,0),MATCH(TS_TTech!Y$7,HydrogenELT2019!$F$5:$J$5,0)),"")</f>
        <v/>
      </c>
      <c r="Z313" s="163" t="str">
        <f t="array" aca="1" ref="Z313" ca="1">IFERROR(INDEX(HydrogenELT2019!$F$6:$J$17,MATCH(TS_TTech!$C313&amp;TS_TTech!$B313,HydrogenELT2019!$A$6:$A$17&amp;HydrogenELT2019!$B$6:$B$17,0),MATCH(TS_TTech!Z$7,HydrogenELT2019!$F$5:$J$5,0)),"")</f>
        <v/>
      </c>
      <c r="AA313" s="163" t="str">
        <f t="array" aca="1" ref="AA313" ca="1">IFERROR(INDEX(HydrogenELT2019!$F$6:$J$17,MATCH(TS_TTech!$C313&amp;TS_TTech!$B313,HydrogenELT2019!$A$6:$A$17&amp;HydrogenELT2019!$B$6:$B$17,0),MATCH(TS_TTech!AA$7,HydrogenELT2019!$F$5:$J$5,0)),"")</f>
        <v/>
      </c>
      <c r="AB313" s="163">
        <f t="array" aca="1" ref="AB313" ca="1">IFERROR(INDEX(HydrogenELT2019!$F$6:$J$17,MATCH(TS_TTech!$C313&amp;TS_TTech!$B313,HydrogenELT2019!$A$6:$A$17&amp;HydrogenELT2019!$B$6:$B$17,0),MATCH(TS_TTech!AB$7,HydrogenELT2019!$F$5:$J$5,0)),"")</f>
        <v>4.5102515892201627</v>
      </c>
      <c r="AC313" s="163" t="str">
        <f t="array" aca="1" ref="AC313" ca="1">IFERROR(INDEX(HydrogenELT2019!$F$6:$J$17,MATCH(TS_TTech!$C313&amp;TS_TTech!$B313,HydrogenELT2019!$A$6:$A$17&amp;HydrogenELT2019!$B$6:$B$17,0),MATCH(TS_TTech!AC$7,HydrogenELT2019!$F$5:$J$5,0)),"")</f>
        <v/>
      </c>
      <c r="AD313" s="163" t="str">
        <f t="array" aca="1" ref="AD313" ca="1">IFERROR(INDEX(HydrogenELT2019!$F$6:$J$17,MATCH(TS_TTech!$C313&amp;TS_TTech!$B313,HydrogenELT2019!$A$6:$A$17&amp;HydrogenELT2019!$B$6:$B$17,0),MATCH(TS_TTech!AD$7,HydrogenELT2019!$F$5:$J$5,0)),"")</f>
        <v/>
      </c>
      <c r="AE313" s="163" t="str">
        <f t="array" aca="1" ref="AE313" ca="1">IFERROR(INDEX(HydrogenELT2019!$F$6:$J$17,MATCH(TS_TTech!$C313&amp;TS_TTech!$B313,HydrogenELT2019!$A$6:$A$17&amp;HydrogenELT2019!$B$6:$B$17,0),MATCH(TS_TTech!AE$7,HydrogenELT2019!$F$5:$J$5,0)),"")</f>
        <v/>
      </c>
      <c r="AF313" s="163" t="str">
        <f t="array" aca="1" ref="AF313" ca="1">IFERROR(INDEX(HydrogenELT2019!$F$6:$J$17,MATCH(TS_TTech!$C313&amp;TS_TTech!$B313,HydrogenELT2019!$A$6:$A$17&amp;HydrogenELT2019!$B$6:$B$17,0),MATCH(TS_TTech!AF$7,HydrogenELT2019!$F$5:$J$5,0)),"")</f>
        <v/>
      </c>
      <c r="AG313" s="163">
        <f t="array" aca="1" ref="AG313" ca="1">IFERROR(INDEX(HydrogenELT2019!$F$6:$J$17,MATCH(TS_TTech!$C313&amp;TS_TTech!$B313,HydrogenELT2019!$A$6:$A$17&amp;HydrogenELT2019!$B$6:$B$17,0),MATCH(TS_TTech!AG$7,HydrogenELT2019!$F$5:$J$5,0)),"")</f>
        <v>2.8994474502129619</v>
      </c>
      <c r="AH313" s="163" t="str">
        <f t="array" aca="1" ref="AH313" ca="1">IFERROR(INDEX(HydrogenELT2019!$F$6:$J$17,MATCH(TS_TTech!$C313&amp;TS_TTech!$B313,HydrogenELT2019!$A$6:$A$17&amp;HydrogenELT2019!$B$6:$B$17,0),MATCH(TS_TTech!AH$7,HydrogenELT2019!$F$5:$J$5,0)),"")</f>
        <v/>
      </c>
      <c r="AI313" s="163" t="str">
        <f t="array" aca="1" ref="AI313" ca="1">IFERROR(INDEX(HydrogenELT2019!$F$6:$J$17,MATCH(TS_TTech!$C313&amp;TS_TTech!$B313,HydrogenELT2019!$A$6:$A$17&amp;HydrogenELT2019!$B$6:$B$17,0),MATCH(TS_TTech!AI$7,HydrogenELT2019!$F$5:$J$5,0)),"")</f>
        <v/>
      </c>
      <c r="AJ313" s="163" t="str">
        <f t="array" aca="1" ref="AJ313" ca="1">IFERROR(INDEX(HydrogenELT2019!$F$6:$J$17,MATCH(TS_TTech!$C313&amp;TS_TTech!$B313,HydrogenELT2019!$A$6:$A$17&amp;HydrogenELT2019!$B$6:$B$17,0),MATCH(TS_TTech!AJ$7,HydrogenELT2019!$F$5:$J$5,0)),"")</f>
        <v/>
      </c>
      <c r="AK313" s="163" t="str">
        <f t="array" aca="1" ref="AK313" ca="1">IFERROR(INDEX(HydrogenELT2019!$F$6:$J$17,MATCH(TS_TTech!$C313&amp;TS_TTech!$B313,HydrogenELT2019!$A$6:$A$17&amp;HydrogenELT2019!$B$6:$B$17,0),MATCH(TS_TTech!AK$7,HydrogenELT2019!$F$5:$J$5,0)),"")</f>
        <v/>
      </c>
      <c r="AL313" s="163">
        <f t="array" aca="1" ref="AL313" ca="1">IFERROR(INDEX(HydrogenELT2019!$F$6:$J$17,MATCH(TS_TTech!$C313&amp;TS_TTech!$B313,HydrogenELT2019!$A$6:$A$17&amp;HydrogenELT2019!$B$6:$B$17,0),MATCH(TS_TTech!AL$7,HydrogenELT2019!$F$5:$J$5,0)),"")</f>
        <v>2.3101960215846868</v>
      </c>
      <c r="AM313" s="163" t="str">
        <f t="array" aca="1" ref="AM313" ca="1">IFERROR(INDEX(HydrogenELT2019!$F$6:$J$17,MATCH(TS_TTech!$C313&amp;TS_TTech!$B313,HydrogenELT2019!$A$6:$A$17&amp;HydrogenELT2019!$B$6:$B$17,0),MATCH(TS_TTech!AM$7,HydrogenELT2019!$F$5:$J$5,0)),"")</f>
        <v/>
      </c>
      <c r="AN313" s="163">
        <f t="array" aca="1" ref="AN313" ca="1">IFERROR(INDEX(HydrogenELT2019!$F$6:$J$17,MATCH(TS_TTech!$C313&amp;TS_TTech!$B313,HydrogenELT2019!$A$6:$A$17&amp;HydrogenELT2019!$B$6:$B$17,0),MATCH(TS_TTech!AN$7,HydrogenELT2019!$F$5:$J$5,0)),"")</f>
        <v>1.7209445929564113</v>
      </c>
      <c r="AO313" s="163" t="str">
        <f t="array" aca="1" ref="AO313" ca="1">IFERROR(INDEX(HydrogenELT2019!$F$6:$J$17,MATCH(TS_TTech!$C313&amp;TS_TTech!$B313,HydrogenELT2019!$A$6:$A$17&amp;HydrogenELT2019!$B$6:$B$17,0),MATCH(TS_TTech!AO$7,HydrogenELT2019!$F$5:$J$5,0)),"")</f>
        <v/>
      </c>
      <c r="AP313" s="163" t="str">
        <f t="array" aca="1" ref="AP313" ca="1">IFERROR(INDEX(HydrogenELT2019!$F$6:$J$17,MATCH(TS_TTech!$C313&amp;TS_TTech!$B313,HydrogenELT2019!$A$6:$A$17&amp;HydrogenELT2019!$B$6:$B$17,0),MATCH(TS_TTech!AP$7,HydrogenELT2019!$F$5:$J$5,0)),"")</f>
        <v/>
      </c>
      <c r="AR313" s="163">
        <f t="shared" si="148"/>
        <v>27</v>
      </c>
      <c r="AS313" s="42">
        <f t="shared" si="154"/>
        <v>4</v>
      </c>
      <c r="AU313" s="42">
        <f ca="1">SUMIF(UPS!B$38:B$171,C313,UPS!BD$38:BD$171)</f>
        <v>131</v>
      </c>
    </row>
    <row r="314" spans="1:51">
      <c r="B314" s="440" t="str">
        <f t="shared" si="149"/>
        <v>NCAP_BND</v>
      </c>
      <c r="C314" s="440" t="str">
        <f ca="1">IF($A314="*","",OFFSET(ITEMS_UPS!$C$8,AR314,0))</f>
        <v>UELEA1HGN</v>
      </c>
      <c r="D314" s="440" t="str">
        <f ca="1">IF($A314="*","",IF(VLOOKUP("*#"&amp;$AS314,$A$10:$I$24,D$9+1,FALSE)="-","-",OFFSET(UPS!$C$37,AU314+AV314,SUMIF($A$10:$A$20,"*#"&amp;AS314,$AT$10:$AT$20))))</f>
        <v>-</v>
      </c>
      <c r="E314" s="440" t="str">
        <f t="shared" si="150"/>
        <v>-</v>
      </c>
      <c r="F314" s="440" t="str">
        <f t="shared" si="151"/>
        <v>-</v>
      </c>
      <c r="G314" s="440" t="str">
        <f t="shared" si="152"/>
        <v>-</v>
      </c>
      <c r="H314" s="441" t="str">
        <f t="shared" ref="H314:H321" si="155">IF($A314="*","",VLOOKUP("*#"&amp;$AS314,$A$10:$I$24,H$9+1,FALSE))</f>
        <v>UP</v>
      </c>
      <c r="I314" s="441">
        <f t="shared" si="153"/>
        <v>3</v>
      </c>
      <c r="J314" s="163" t="str">
        <f ca="1">IF($A314="*","",OFFSET(UPS!$C$37,AU314,SUMIF($A$10:$A$20,"*#"&amp;AS314,$AT$10:$AT$20)))</f>
        <v/>
      </c>
      <c r="K314" s="163" t="str">
        <f t="array" aca="1" ref="K314" ca="1">IFERROR(INDEX(HydrogenELT2019!$F$6:$J$17,MATCH(TS_TTech!$C314&amp;TS_TTech!$B314,HydrogenELT2019!$A$6:$A$17&amp;HydrogenELT2019!$B$6:$B$17,0),MATCH(TS_TTech!K$7,HydrogenELT2019!$F$5:$J$5,0)),"")</f>
        <v/>
      </c>
      <c r="L314" s="163" t="str">
        <f t="array" aca="1" ref="L314" ca="1">IFERROR(INDEX(HydrogenELT2019!$F$6:$J$17,MATCH(TS_TTech!$C314&amp;TS_TTech!$B314,HydrogenELT2019!$A$6:$A$17&amp;HydrogenELT2019!$B$6:$B$17,0),MATCH(TS_TTech!L$7,HydrogenELT2019!$F$5:$J$5,0)),"")</f>
        <v/>
      </c>
      <c r="M314" s="163" t="str">
        <f t="array" aca="1" ref="M314" ca="1">IFERROR(INDEX(HydrogenELT2019!$F$6:$J$17,MATCH(TS_TTech!$C314&amp;TS_TTech!$B314,HydrogenELT2019!$A$6:$A$17&amp;HydrogenELT2019!$B$6:$B$17,0),MATCH(TS_TTech!M$7,HydrogenELT2019!$F$5:$J$5,0)),"")</f>
        <v/>
      </c>
      <c r="N314" s="163" t="str">
        <f t="array" aca="1" ref="N314" ca="1">IFERROR(INDEX(HydrogenELT2019!$F$6:$J$17,MATCH(TS_TTech!$C314&amp;TS_TTech!$B314,HydrogenELT2019!$A$6:$A$17&amp;HydrogenELT2019!$B$6:$B$17,0),MATCH(TS_TTech!N$7,HydrogenELT2019!$F$5:$J$5,0)),"")</f>
        <v/>
      </c>
      <c r="O314" s="163" t="str">
        <f t="array" aca="1" ref="O314" ca="1">IFERROR(INDEX(HydrogenELT2019!$F$6:$J$17,MATCH(TS_TTech!$C314&amp;TS_TTech!$B314,HydrogenELT2019!$A$6:$A$17&amp;HydrogenELT2019!$B$6:$B$17,0),MATCH(TS_TTech!O$7,HydrogenELT2019!$F$5:$J$5,0)),"")</f>
        <v/>
      </c>
      <c r="P314" s="163" t="str">
        <f t="array" aca="1" ref="P314" ca="1">IFERROR(INDEX(HydrogenELT2019!$F$6:$J$17,MATCH(TS_TTech!$C314&amp;TS_TTech!$B314,HydrogenELT2019!$A$6:$A$17&amp;HydrogenELT2019!$B$6:$B$17,0),MATCH(TS_TTech!P$7,HydrogenELT2019!$F$5:$J$5,0)),"")</f>
        <v/>
      </c>
      <c r="Q314" s="163" t="str">
        <f t="array" aca="1" ref="Q314" ca="1">IFERROR(INDEX(HydrogenELT2019!$F$6:$J$17,MATCH(TS_TTech!$C314&amp;TS_TTech!$B314,HydrogenELT2019!$A$6:$A$17&amp;HydrogenELT2019!$B$6:$B$17,0),MATCH(TS_TTech!Q$7,HydrogenELT2019!$F$5:$J$5,0)),"")</f>
        <v/>
      </c>
      <c r="R314" s="163" t="str">
        <f t="array" aca="1" ref="R314" ca="1">IFERROR(INDEX(HydrogenELT2019!$F$6:$J$17,MATCH(TS_TTech!$C314&amp;TS_TTech!$B314,HydrogenELT2019!$A$6:$A$17&amp;HydrogenELT2019!$B$6:$B$17,0),MATCH(TS_TTech!R$7,HydrogenELT2019!$F$5:$J$5,0)),"")</f>
        <v/>
      </c>
      <c r="S314" s="163" t="str">
        <f t="array" aca="1" ref="S314" ca="1">IFERROR(INDEX(HydrogenELT2019!$F$6:$J$17,MATCH(TS_TTech!$C314&amp;TS_TTech!$B314,HydrogenELT2019!$A$6:$A$17&amp;HydrogenELT2019!$B$6:$B$17,0),MATCH(TS_TTech!S$7,HydrogenELT2019!$F$5:$J$5,0)),"")</f>
        <v/>
      </c>
      <c r="T314" s="163" t="str">
        <f t="array" aca="1" ref="T314" ca="1">IFERROR(INDEX(HydrogenELT2019!$F$6:$J$17,MATCH(TS_TTech!$C314&amp;TS_TTech!$B314,HydrogenELT2019!$A$6:$A$17&amp;HydrogenELT2019!$B$6:$B$17,0),MATCH(TS_TTech!T$7,HydrogenELT2019!$F$5:$J$5,0)),"")</f>
        <v/>
      </c>
      <c r="U314" s="163" t="str">
        <f t="array" aca="1" ref="U314" ca="1">IFERROR(INDEX(HydrogenELT2019!$F$6:$J$17,MATCH(TS_TTech!$C314&amp;TS_TTech!$B314,HydrogenELT2019!$A$6:$A$17&amp;HydrogenELT2019!$B$6:$B$17,0),MATCH(TS_TTech!U$7,HydrogenELT2019!$F$5:$J$5,0)),"")</f>
        <v/>
      </c>
      <c r="V314" s="163" t="str">
        <f t="array" aca="1" ref="V314" ca="1">IFERROR(INDEX(HydrogenELT2019!$F$6:$J$17,MATCH(TS_TTech!$C314&amp;TS_TTech!$B314,HydrogenELT2019!$A$6:$A$17&amp;HydrogenELT2019!$B$6:$B$17,0),MATCH(TS_TTech!V$7,HydrogenELT2019!$F$5:$J$5,0)),"")</f>
        <v/>
      </c>
      <c r="W314" s="163" t="str">
        <f t="array" aca="1" ref="W314" ca="1">IFERROR(INDEX(HydrogenELT2019!$F$6:$J$17,MATCH(TS_TTech!$C314&amp;TS_TTech!$B314,HydrogenELT2019!$A$6:$A$17&amp;HydrogenELT2019!$B$6:$B$17,0),MATCH(TS_TTech!W$7,HydrogenELT2019!$F$5:$J$5,0)),"")</f>
        <v/>
      </c>
      <c r="X314" s="163" t="str">
        <f t="array" aca="1" ref="X314" ca="1">IFERROR(INDEX(HydrogenELT2019!$F$6:$J$17,MATCH(TS_TTech!$C314&amp;TS_TTech!$B314,HydrogenELT2019!$A$6:$A$17&amp;HydrogenELT2019!$B$6:$B$17,0),MATCH(TS_TTech!X$7,HydrogenELT2019!$F$5:$J$5,0)),"")</f>
        <v/>
      </c>
      <c r="Y314" s="163" t="str">
        <f t="array" aca="1" ref="Y314" ca="1">IFERROR(INDEX(HydrogenELT2019!$F$6:$J$17,MATCH(TS_TTech!$C314&amp;TS_TTech!$B314,HydrogenELT2019!$A$6:$A$17&amp;HydrogenELT2019!$B$6:$B$17,0),MATCH(TS_TTech!Y$7,HydrogenELT2019!$F$5:$J$5,0)),"")</f>
        <v/>
      </c>
      <c r="Z314" s="163" t="str">
        <f t="array" aca="1" ref="Z314" ca="1">IFERROR(INDEX(HydrogenELT2019!$F$6:$J$17,MATCH(TS_TTech!$C314&amp;TS_TTech!$B314,HydrogenELT2019!$A$6:$A$17&amp;HydrogenELT2019!$B$6:$B$17,0),MATCH(TS_TTech!Z$7,HydrogenELT2019!$F$5:$J$5,0)),"")</f>
        <v/>
      </c>
      <c r="AA314" s="163" t="str">
        <f t="array" aca="1" ref="AA314" ca="1">IFERROR(INDEX(HydrogenELT2019!$F$6:$J$17,MATCH(TS_TTech!$C314&amp;TS_TTech!$B314,HydrogenELT2019!$A$6:$A$17&amp;HydrogenELT2019!$B$6:$B$17,0),MATCH(TS_TTech!AA$7,HydrogenELT2019!$F$5:$J$5,0)),"")</f>
        <v/>
      </c>
      <c r="AB314" s="163" t="str">
        <f t="array" aca="1" ref="AB314" ca="1">IFERROR(INDEX(HydrogenELT2019!$F$6:$J$17,MATCH(TS_TTech!$C314&amp;TS_TTech!$B314,HydrogenELT2019!$A$6:$A$17&amp;HydrogenELT2019!$B$6:$B$17,0),MATCH(TS_TTech!AB$7,HydrogenELT2019!$F$5:$J$5,0)),"")</f>
        <v/>
      </c>
      <c r="AC314" s="163" t="str">
        <f t="array" aca="1" ref="AC314" ca="1">IFERROR(INDEX(HydrogenELT2019!$F$6:$J$17,MATCH(TS_TTech!$C314&amp;TS_TTech!$B314,HydrogenELT2019!$A$6:$A$17&amp;HydrogenELT2019!$B$6:$B$17,0),MATCH(TS_TTech!AC$7,HydrogenELT2019!$F$5:$J$5,0)),"")</f>
        <v/>
      </c>
      <c r="AD314" s="163" t="str">
        <f t="array" aca="1" ref="AD314" ca="1">IFERROR(INDEX(HydrogenELT2019!$F$6:$J$17,MATCH(TS_TTech!$C314&amp;TS_TTech!$B314,HydrogenELT2019!$A$6:$A$17&amp;HydrogenELT2019!$B$6:$B$17,0),MATCH(TS_TTech!AD$7,HydrogenELT2019!$F$5:$J$5,0)),"")</f>
        <v/>
      </c>
      <c r="AE314" s="163" t="str">
        <f t="array" aca="1" ref="AE314" ca="1">IFERROR(INDEX(HydrogenELT2019!$F$6:$J$17,MATCH(TS_TTech!$C314&amp;TS_TTech!$B314,HydrogenELT2019!$A$6:$A$17&amp;HydrogenELT2019!$B$6:$B$17,0),MATCH(TS_TTech!AE$7,HydrogenELT2019!$F$5:$J$5,0)),"")</f>
        <v/>
      </c>
      <c r="AF314" s="163" t="str">
        <f t="array" aca="1" ref="AF314" ca="1">IFERROR(INDEX(HydrogenELT2019!$F$6:$J$17,MATCH(TS_TTech!$C314&amp;TS_TTech!$B314,HydrogenELT2019!$A$6:$A$17&amp;HydrogenELT2019!$B$6:$B$17,0),MATCH(TS_TTech!AF$7,HydrogenELT2019!$F$5:$J$5,0)),"")</f>
        <v/>
      </c>
      <c r="AG314" s="163" t="str">
        <f t="array" aca="1" ref="AG314" ca="1">IFERROR(INDEX(HydrogenELT2019!$F$6:$J$17,MATCH(TS_TTech!$C314&amp;TS_TTech!$B314,HydrogenELT2019!$A$6:$A$17&amp;HydrogenELT2019!$B$6:$B$17,0),MATCH(TS_TTech!AG$7,HydrogenELT2019!$F$5:$J$5,0)),"")</f>
        <v/>
      </c>
      <c r="AH314" s="163" t="str">
        <f t="array" aca="1" ref="AH314" ca="1">IFERROR(INDEX(HydrogenELT2019!$F$6:$J$17,MATCH(TS_TTech!$C314&amp;TS_TTech!$B314,HydrogenELT2019!$A$6:$A$17&amp;HydrogenELT2019!$B$6:$B$17,0),MATCH(TS_TTech!AH$7,HydrogenELT2019!$F$5:$J$5,0)),"")</f>
        <v/>
      </c>
      <c r="AI314" s="163" t="str">
        <f t="array" aca="1" ref="AI314" ca="1">IFERROR(INDEX(HydrogenELT2019!$F$6:$J$17,MATCH(TS_TTech!$C314&amp;TS_TTech!$B314,HydrogenELT2019!$A$6:$A$17&amp;HydrogenELT2019!$B$6:$B$17,0),MATCH(TS_TTech!AI$7,HydrogenELT2019!$F$5:$J$5,0)),"")</f>
        <v/>
      </c>
      <c r="AJ314" s="163" t="str">
        <f t="array" aca="1" ref="AJ314" ca="1">IFERROR(INDEX(HydrogenELT2019!$F$6:$J$17,MATCH(TS_TTech!$C314&amp;TS_TTech!$B314,HydrogenELT2019!$A$6:$A$17&amp;HydrogenELT2019!$B$6:$B$17,0),MATCH(TS_TTech!AJ$7,HydrogenELT2019!$F$5:$J$5,0)),"")</f>
        <v/>
      </c>
      <c r="AK314" s="163" t="str">
        <f t="array" aca="1" ref="AK314" ca="1">IFERROR(INDEX(HydrogenELT2019!$F$6:$J$17,MATCH(TS_TTech!$C314&amp;TS_TTech!$B314,HydrogenELT2019!$A$6:$A$17&amp;HydrogenELT2019!$B$6:$B$17,0),MATCH(TS_TTech!AK$7,HydrogenELT2019!$F$5:$J$5,0)),"")</f>
        <v/>
      </c>
      <c r="AL314" s="163" t="str">
        <f t="array" aca="1" ref="AL314" ca="1">IFERROR(INDEX(HydrogenELT2019!$F$6:$J$17,MATCH(TS_TTech!$C314&amp;TS_TTech!$B314,HydrogenELT2019!$A$6:$A$17&amp;HydrogenELT2019!$B$6:$B$17,0),MATCH(TS_TTech!AL$7,HydrogenELT2019!$F$5:$J$5,0)),"")</f>
        <v/>
      </c>
      <c r="AM314" s="163" t="str">
        <f t="array" aca="1" ref="AM314" ca="1">IFERROR(INDEX(HydrogenELT2019!$F$6:$J$17,MATCH(TS_TTech!$C314&amp;TS_TTech!$B314,HydrogenELT2019!$A$6:$A$17&amp;HydrogenELT2019!$B$6:$B$17,0),MATCH(TS_TTech!AM$7,HydrogenELT2019!$F$5:$J$5,0)),"")</f>
        <v/>
      </c>
      <c r="AN314" s="163" t="str">
        <f t="array" aca="1" ref="AN314" ca="1">IFERROR(INDEX(HydrogenELT2019!$F$6:$J$17,MATCH(TS_TTech!$C314&amp;TS_TTech!$B314,HydrogenELT2019!$A$6:$A$17&amp;HydrogenELT2019!$B$6:$B$17,0),MATCH(TS_TTech!AN$7,HydrogenELT2019!$F$5:$J$5,0)),"")</f>
        <v/>
      </c>
      <c r="AO314" s="163" t="str">
        <f t="array" aca="1" ref="AO314" ca="1">IFERROR(INDEX(HydrogenELT2019!$F$6:$J$17,MATCH(TS_TTech!$C314&amp;TS_TTech!$B314,HydrogenELT2019!$A$6:$A$17&amp;HydrogenELT2019!$B$6:$B$17,0),MATCH(TS_TTech!AO$7,HydrogenELT2019!$F$5:$J$5,0)),"")</f>
        <v/>
      </c>
      <c r="AP314" s="163" t="str">
        <f t="array" aca="1" ref="AP314" ca="1">IFERROR(INDEX(HydrogenELT2019!$F$6:$J$17,MATCH(TS_TTech!$C314&amp;TS_TTech!$B314,HydrogenELT2019!$A$6:$A$17&amp;HydrogenELT2019!$B$6:$B$17,0),MATCH(TS_TTech!AP$7,HydrogenELT2019!$F$5:$J$5,0)),"")</f>
        <v/>
      </c>
      <c r="AR314" s="163">
        <f t="shared" si="148"/>
        <v>27</v>
      </c>
      <c r="AS314" s="42">
        <f t="shared" si="154"/>
        <v>5</v>
      </c>
      <c r="AU314" s="42">
        <f ca="1">SUMIF(UPS!B$38:B$171,C314,UPS!BD$38:BD$171)</f>
        <v>131</v>
      </c>
    </row>
    <row r="315" spans="1:51">
      <c r="B315" s="440" t="str">
        <f t="shared" si="149"/>
        <v>FLO_FUNC</v>
      </c>
      <c r="C315" s="440" t="str">
        <f ca="1">IF($A315="*","",OFFSET(ITEMS_UPS!$C$8,AR315,0))</f>
        <v>UELEA1HGN</v>
      </c>
      <c r="D315" s="440" t="str">
        <f ca="1">IF($A315="*","",IF(VLOOKUP("*#"&amp;$AS315,$A$10:$I$24,D$9+1,FALSE)="-","-",OFFSET(UPS!$C$37,AU315+AV315,SUMIF($A$10:$A$20,"*#"&amp;AS315,$AT$10:$AT$20))))</f>
        <v>-</v>
      </c>
      <c r="E315" s="440" t="str">
        <f t="shared" ca="1" si="150"/>
        <v>UELEA1HGN-I</v>
      </c>
      <c r="F315" s="440" t="str">
        <f t="shared" ca="1" si="151"/>
        <v>UELEA1HGN-O</v>
      </c>
      <c r="G315" s="440" t="str">
        <f t="shared" si="152"/>
        <v>ANNUAL</v>
      </c>
      <c r="H315" s="441" t="str">
        <f t="shared" si="155"/>
        <v>-</v>
      </c>
      <c r="I315" s="441">
        <f t="shared" si="153"/>
        <v>0</v>
      </c>
      <c r="J315" s="163">
        <f ca="1">IF($A315="*","",OFFSET(UPS!$C$37,AU315,SUMIF($A$10:$A$20,"*#"&amp;AS315,$AT$10:$AT$20)))</f>
        <v>0.66500000000000004</v>
      </c>
      <c r="K315" s="163" t="str">
        <f t="array" aca="1" ref="K315" ca="1">IFERROR(INDEX(HydrogenELT2019!$F$6:$J$17,MATCH(TS_TTech!$C315&amp;TS_TTech!$B315,HydrogenELT2019!$A$6:$A$17&amp;HydrogenELT2019!$B$6:$B$17,0),MATCH(TS_TTech!K$7,HydrogenELT2019!$F$5:$J$5,0)),"")</f>
        <v/>
      </c>
      <c r="L315" s="163" t="str">
        <f t="array" aca="1" ref="L315" ca="1">IFERROR(INDEX(HydrogenELT2019!$F$6:$J$17,MATCH(TS_TTech!$C315&amp;TS_TTech!$B315,HydrogenELT2019!$A$6:$A$17&amp;HydrogenELT2019!$B$6:$B$17,0),MATCH(TS_TTech!L$7,HydrogenELT2019!$F$5:$J$5,0)),"")</f>
        <v/>
      </c>
      <c r="M315" s="163" t="str">
        <f t="array" aca="1" ref="M315" ca="1">IFERROR(INDEX(HydrogenELT2019!$F$6:$J$17,MATCH(TS_TTech!$C315&amp;TS_TTech!$B315,HydrogenELT2019!$A$6:$A$17&amp;HydrogenELT2019!$B$6:$B$17,0),MATCH(TS_TTech!M$7,HydrogenELT2019!$F$5:$J$5,0)),"")</f>
        <v/>
      </c>
      <c r="N315" s="163" t="str">
        <f t="array" aca="1" ref="N315" ca="1">IFERROR(INDEX(HydrogenELT2019!$F$6:$J$17,MATCH(TS_TTech!$C315&amp;TS_TTech!$B315,HydrogenELT2019!$A$6:$A$17&amp;HydrogenELT2019!$B$6:$B$17,0),MATCH(TS_TTech!N$7,HydrogenELT2019!$F$5:$J$5,0)),"")</f>
        <v/>
      </c>
      <c r="O315" s="163" t="str">
        <f t="array" aca="1" ref="O315" ca="1">IFERROR(INDEX(HydrogenELT2019!$F$6:$J$17,MATCH(TS_TTech!$C315&amp;TS_TTech!$B315,HydrogenELT2019!$A$6:$A$17&amp;HydrogenELT2019!$B$6:$B$17,0),MATCH(TS_TTech!O$7,HydrogenELT2019!$F$5:$J$5,0)),"")</f>
        <v/>
      </c>
      <c r="P315" s="163" t="str">
        <f t="array" aca="1" ref="P315" ca="1">IFERROR(INDEX(HydrogenELT2019!$F$6:$J$17,MATCH(TS_TTech!$C315&amp;TS_TTech!$B315,HydrogenELT2019!$A$6:$A$17&amp;HydrogenELT2019!$B$6:$B$17,0),MATCH(TS_TTech!P$7,HydrogenELT2019!$F$5:$J$5,0)),"")</f>
        <v/>
      </c>
      <c r="Q315" s="163" t="str">
        <f t="array" aca="1" ref="Q315" ca="1">IFERROR(INDEX(HydrogenELT2019!$F$6:$J$17,MATCH(TS_TTech!$C315&amp;TS_TTech!$B315,HydrogenELT2019!$A$6:$A$17&amp;HydrogenELT2019!$B$6:$B$17,0),MATCH(TS_TTech!Q$7,HydrogenELT2019!$F$5:$J$5,0)),"")</f>
        <v/>
      </c>
      <c r="R315" s="163">
        <f t="array" aca="1" ref="R315" ca="1">IFERROR(INDEX(HydrogenELT2019!$F$6:$J$17,MATCH(TS_TTech!$C315&amp;TS_TTech!$B315,HydrogenELT2019!$A$6:$A$17&amp;HydrogenELT2019!$B$6:$B$17,0),MATCH(TS_TTech!R$7,HydrogenELT2019!$F$5:$J$5,0)),"")</f>
        <v>0.66500000000000004</v>
      </c>
      <c r="S315" s="163" t="str">
        <f t="array" aca="1" ref="S315" ca="1">IFERROR(INDEX(HydrogenELT2019!$F$6:$J$17,MATCH(TS_TTech!$C315&amp;TS_TTech!$B315,HydrogenELT2019!$A$6:$A$17&amp;HydrogenELT2019!$B$6:$B$17,0),MATCH(TS_TTech!S$7,HydrogenELT2019!$F$5:$J$5,0)),"")</f>
        <v/>
      </c>
      <c r="T315" s="163" t="str">
        <f t="array" aca="1" ref="T315" ca="1">IFERROR(INDEX(HydrogenELT2019!$F$6:$J$17,MATCH(TS_TTech!$C315&amp;TS_TTech!$B315,HydrogenELT2019!$A$6:$A$17&amp;HydrogenELT2019!$B$6:$B$17,0),MATCH(TS_TTech!T$7,HydrogenELT2019!$F$5:$J$5,0)),"")</f>
        <v/>
      </c>
      <c r="U315" s="163" t="str">
        <f t="array" aca="1" ref="U315" ca="1">IFERROR(INDEX(HydrogenELT2019!$F$6:$J$17,MATCH(TS_TTech!$C315&amp;TS_TTech!$B315,HydrogenELT2019!$A$6:$A$17&amp;HydrogenELT2019!$B$6:$B$17,0),MATCH(TS_TTech!U$7,HydrogenELT2019!$F$5:$J$5,0)),"")</f>
        <v/>
      </c>
      <c r="V315" s="163" t="str">
        <f t="array" aca="1" ref="V315" ca="1">IFERROR(INDEX(HydrogenELT2019!$F$6:$J$17,MATCH(TS_TTech!$C315&amp;TS_TTech!$B315,HydrogenELT2019!$A$6:$A$17&amp;HydrogenELT2019!$B$6:$B$17,0),MATCH(TS_TTech!V$7,HydrogenELT2019!$F$5:$J$5,0)),"")</f>
        <v/>
      </c>
      <c r="W315" s="163" t="str">
        <f t="array" aca="1" ref="W315" ca="1">IFERROR(INDEX(HydrogenELT2019!$F$6:$J$17,MATCH(TS_TTech!$C315&amp;TS_TTech!$B315,HydrogenELT2019!$A$6:$A$17&amp;HydrogenELT2019!$B$6:$B$17,0),MATCH(TS_TTech!W$7,HydrogenELT2019!$F$5:$J$5,0)),"")</f>
        <v/>
      </c>
      <c r="X315" s="163" t="str">
        <f t="array" aca="1" ref="X315" ca="1">IFERROR(INDEX(HydrogenELT2019!$F$6:$J$17,MATCH(TS_TTech!$C315&amp;TS_TTech!$B315,HydrogenELT2019!$A$6:$A$17&amp;HydrogenELT2019!$B$6:$B$17,0),MATCH(TS_TTech!X$7,HydrogenELT2019!$F$5:$J$5,0)),"")</f>
        <v/>
      </c>
      <c r="Y315" s="163" t="str">
        <f t="array" aca="1" ref="Y315" ca="1">IFERROR(INDEX(HydrogenELT2019!$F$6:$J$17,MATCH(TS_TTech!$C315&amp;TS_TTech!$B315,HydrogenELT2019!$A$6:$A$17&amp;HydrogenELT2019!$B$6:$B$17,0),MATCH(TS_TTech!Y$7,HydrogenELT2019!$F$5:$J$5,0)),"")</f>
        <v/>
      </c>
      <c r="Z315" s="163" t="str">
        <f t="array" aca="1" ref="Z315" ca="1">IFERROR(INDEX(HydrogenELT2019!$F$6:$J$17,MATCH(TS_TTech!$C315&amp;TS_TTech!$B315,HydrogenELT2019!$A$6:$A$17&amp;HydrogenELT2019!$B$6:$B$17,0),MATCH(TS_TTech!Z$7,HydrogenELT2019!$F$5:$J$5,0)),"")</f>
        <v/>
      </c>
      <c r="AA315" s="163" t="str">
        <f t="array" aca="1" ref="AA315" ca="1">IFERROR(INDEX(HydrogenELT2019!$F$6:$J$17,MATCH(TS_TTech!$C315&amp;TS_TTech!$B315,HydrogenELT2019!$A$6:$A$17&amp;HydrogenELT2019!$B$6:$B$17,0),MATCH(TS_TTech!AA$7,HydrogenELT2019!$F$5:$J$5,0)),"")</f>
        <v/>
      </c>
      <c r="AB315" s="163">
        <f t="array" aca="1" ref="AB315" ca="1">IFERROR(INDEX(HydrogenELT2019!$F$6:$J$17,MATCH(TS_TTech!$C315&amp;TS_TTech!$B315,HydrogenELT2019!$A$6:$A$17&amp;HydrogenELT2019!$B$6:$B$17,0),MATCH(TS_TTech!AB$7,HydrogenELT2019!$F$5:$J$5,0)),"")</f>
        <v>0.68</v>
      </c>
      <c r="AC315" s="163" t="str">
        <f t="array" aca="1" ref="AC315" ca="1">IFERROR(INDEX(HydrogenELT2019!$F$6:$J$17,MATCH(TS_TTech!$C315&amp;TS_TTech!$B315,HydrogenELT2019!$A$6:$A$17&amp;HydrogenELT2019!$B$6:$B$17,0),MATCH(TS_TTech!AC$7,HydrogenELT2019!$F$5:$J$5,0)),"")</f>
        <v/>
      </c>
      <c r="AD315" s="163" t="str">
        <f t="array" aca="1" ref="AD315" ca="1">IFERROR(INDEX(HydrogenELT2019!$F$6:$J$17,MATCH(TS_TTech!$C315&amp;TS_TTech!$B315,HydrogenELT2019!$A$6:$A$17&amp;HydrogenELT2019!$B$6:$B$17,0),MATCH(TS_TTech!AD$7,HydrogenELT2019!$F$5:$J$5,0)),"")</f>
        <v/>
      </c>
      <c r="AE315" s="163" t="str">
        <f t="array" aca="1" ref="AE315" ca="1">IFERROR(INDEX(HydrogenELT2019!$F$6:$J$17,MATCH(TS_TTech!$C315&amp;TS_TTech!$B315,HydrogenELT2019!$A$6:$A$17&amp;HydrogenELT2019!$B$6:$B$17,0),MATCH(TS_TTech!AE$7,HydrogenELT2019!$F$5:$J$5,0)),"")</f>
        <v/>
      </c>
      <c r="AF315" s="163" t="str">
        <f t="array" aca="1" ref="AF315" ca="1">IFERROR(INDEX(HydrogenELT2019!$F$6:$J$17,MATCH(TS_TTech!$C315&amp;TS_TTech!$B315,HydrogenELT2019!$A$6:$A$17&amp;HydrogenELT2019!$B$6:$B$17,0),MATCH(TS_TTech!AF$7,HydrogenELT2019!$F$5:$J$5,0)),"")</f>
        <v/>
      </c>
      <c r="AG315" s="163">
        <f t="array" aca="1" ref="AG315" ca="1">IFERROR(INDEX(HydrogenELT2019!$F$6:$J$17,MATCH(TS_TTech!$C315&amp;TS_TTech!$B315,HydrogenELT2019!$A$6:$A$17&amp;HydrogenELT2019!$B$6:$B$17,0),MATCH(TS_TTech!AG$7,HydrogenELT2019!$F$5:$J$5,0)),"")</f>
        <v>0.75</v>
      </c>
      <c r="AH315" s="163" t="str">
        <f t="array" aca="1" ref="AH315" ca="1">IFERROR(INDEX(HydrogenELT2019!$F$6:$J$17,MATCH(TS_TTech!$C315&amp;TS_TTech!$B315,HydrogenELT2019!$A$6:$A$17&amp;HydrogenELT2019!$B$6:$B$17,0),MATCH(TS_TTech!AH$7,HydrogenELT2019!$F$5:$J$5,0)),"")</f>
        <v/>
      </c>
      <c r="AI315" s="163" t="str">
        <f t="array" aca="1" ref="AI315" ca="1">IFERROR(INDEX(HydrogenELT2019!$F$6:$J$17,MATCH(TS_TTech!$C315&amp;TS_TTech!$B315,HydrogenELT2019!$A$6:$A$17&amp;HydrogenELT2019!$B$6:$B$17,0),MATCH(TS_TTech!AI$7,HydrogenELT2019!$F$5:$J$5,0)),"")</f>
        <v/>
      </c>
      <c r="AJ315" s="163" t="str">
        <f t="array" aca="1" ref="AJ315" ca="1">IFERROR(INDEX(HydrogenELT2019!$F$6:$J$17,MATCH(TS_TTech!$C315&amp;TS_TTech!$B315,HydrogenELT2019!$A$6:$A$17&amp;HydrogenELT2019!$B$6:$B$17,0),MATCH(TS_TTech!AJ$7,HydrogenELT2019!$F$5:$J$5,0)),"")</f>
        <v/>
      </c>
      <c r="AK315" s="163" t="str">
        <f t="array" aca="1" ref="AK315" ca="1">IFERROR(INDEX(HydrogenELT2019!$F$6:$J$17,MATCH(TS_TTech!$C315&amp;TS_TTech!$B315,HydrogenELT2019!$A$6:$A$17&amp;HydrogenELT2019!$B$6:$B$17,0),MATCH(TS_TTech!AK$7,HydrogenELT2019!$F$5:$J$5,0)),"")</f>
        <v/>
      </c>
      <c r="AL315" s="163">
        <f t="array" aca="1" ref="AL315" ca="1">IFERROR(INDEX(HydrogenELT2019!$F$6:$J$17,MATCH(TS_TTech!$C315&amp;TS_TTech!$B315,HydrogenELT2019!$A$6:$A$17&amp;HydrogenELT2019!$B$6:$B$17,0),MATCH(TS_TTech!AL$7,HydrogenELT2019!$F$5:$J$5,0)),"")</f>
        <v>0.81579999999999941</v>
      </c>
      <c r="AM315" s="163" t="str">
        <f t="array" aca="1" ref="AM315" ca="1">IFERROR(INDEX(HydrogenELT2019!$F$6:$J$17,MATCH(TS_TTech!$C315&amp;TS_TTech!$B315,HydrogenELT2019!$A$6:$A$17&amp;HydrogenELT2019!$B$6:$B$17,0),MATCH(TS_TTech!AM$7,HydrogenELT2019!$F$5:$J$5,0)),"")</f>
        <v/>
      </c>
      <c r="AN315" s="163">
        <f t="array" aca="1" ref="AN315" ca="1">IFERROR(INDEX(HydrogenELT2019!$F$6:$J$17,MATCH(TS_TTech!$C315&amp;TS_TTech!$B315,HydrogenELT2019!$A$6:$A$17&amp;HydrogenELT2019!$B$6:$B$17,0),MATCH(TS_TTech!AN$7,HydrogenELT2019!$F$5:$J$5,0)),"")</f>
        <v>0.81579999999999941</v>
      </c>
      <c r="AO315" s="163" t="str">
        <f t="array" aca="1" ref="AO315" ca="1">IFERROR(INDEX(HydrogenELT2019!$F$6:$J$17,MATCH(TS_TTech!$C315&amp;TS_TTech!$B315,HydrogenELT2019!$A$6:$A$17&amp;HydrogenELT2019!$B$6:$B$17,0),MATCH(TS_TTech!AO$7,HydrogenELT2019!$F$5:$J$5,0)),"")</f>
        <v/>
      </c>
      <c r="AP315" s="163" t="str">
        <f t="array" aca="1" ref="AP315" ca="1">IFERROR(INDEX(HydrogenELT2019!$F$6:$J$17,MATCH(TS_TTech!$C315&amp;TS_TTech!$B315,HydrogenELT2019!$A$6:$A$17&amp;HydrogenELT2019!$B$6:$B$17,0),MATCH(TS_TTech!AP$7,HydrogenELT2019!$F$5:$J$5,0)),"")</f>
        <v/>
      </c>
      <c r="AR315" s="163">
        <f t="shared" si="148"/>
        <v>27</v>
      </c>
      <c r="AS315" s="42">
        <f t="shared" si="154"/>
        <v>6</v>
      </c>
      <c r="AU315" s="42">
        <f ca="1">SUMIF(UPS!B$38:B$171,C315,UPS!BD$38:BD$171)</f>
        <v>131</v>
      </c>
    </row>
    <row r="316" spans="1:51">
      <c r="B316" s="440" t="str">
        <f t="shared" si="149"/>
        <v>FLO_SHAR</v>
      </c>
      <c r="C316" s="440" t="str">
        <f ca="1">IF($A316="*","",OFFSET(ITEMS_UPS!$C$8,AR316,0))</f>
        <v>UELEA1HGN</v>
      </c>
      <c r="D316" s="440" t="str">
        <f ca="1">IF($A316="*","",IF(VLOOKUP("*#"&amp;$AS316,$A$10:$I$24,D$9+1,FALSE)="-","-",OFFSET(UPS!$C$37,AU316+AV316,SUMIF($A$10:$A$20,"*#"&amp;AS316,$AT$10:$AT$20))))</f>
        <v>UPSELC</v>
      </c>
      <c r="E316" s="440" t="str">
        <f t="shared" ca="1" si="150"/>
        <v>UELEA1HGN-I</v>
      </c>
      <c r="F316" s="440" t="str">
        <f t="shared" si="151"/>
        <v>-</v>
      </c>
      <c r="G316" s="440" t="str">
        <f t="shared" si="152"/>
        <v>ANNUAL</v>
      </c>
      <c r="H316" s="441" t="str">
        <f t="shared" si="155"/>
        <v>FX</v>
      </c>
      <c r="I316" s="441">
        <f t="shared" si="153"/>
        <v>3</v>
      </c>
      <c r="J316" s="163">
        <f ca="1">IF($A316="*","",OFFSET(UPS!$C$37,AU316+AV316,SUMIF($A$10:$A$20,"*#"&amp;AS316,$AV$10:$AV$20)))</f>
        <v>1</v>
      </c>
      <c r="K316" s="163" t="str">
        <f t="array" aca="1" ref="K316" ca="1">IFERROR(INDEX(HydrogenELT2019!$F$6:$J$17,MATCH(TS_TTech!$C316&amp;TS_TTech!$B316,HydrogenELT2019!$A$6:$A$17&amp;HydrogenELT2019!$B$6:$B$17,0),MATCH(TS_TTech!K$7,HydrogenELT2019!$F$5:$J$5,0)),"")</f>
        <v/>
      </c>
      <c r="L316" s="163" t="str">
        <f t="array" aca="1" ref="L316" ca="1">IFERROR(INDEX(HydrogenELT2019!$F$6:$J$17,MATCH(TS_TTech!$C316&amp;TS_TTech!$B316,HydrogenELT2019!$A$6:$A$17&amp;HydrogenELT2019!$B$6:$B$17,0),MATCH(TS_TTech!L$7,HydrogenELT2019!$F$5:$J$5,0)),"")</f>
        <v/>
      </c>
      <c r="M316" s="163" t="str">
        <f t="array" aca="1" ref="M316" ca="1">IFERROR(INDEX(HydrogenELT2019!$F$6:$J$17,MATCH(TS_TTech!$C316&amp;TS_TTech!$B316,HydrogenELT2019!$A$6:$A$17&amp;HydrogenELT2019!$B$6:$B$17,0),MATCH(TS_TTech!M$7,HydrogenELT2019!$F$5:$J$5,0)),"")</f>
        <v/>
      </c>
      <c r="N316" s="163" t="str">
        <f t="array" aca="1" ref="N316" ca="1">IFERROR(INDEX(HydrogenELT2019!$F$6:$J$17,MATCH(TS_TTech!$C316&amp;TS_TTech!$B316,HydrogenELT2019!$A$6:$A$17&amp;HydrogenELT2019!$B$6:$B$17,0),MATCH(TS_TTech!N$7,HydrogenELT2019!$F$5:$J$5,0)),"")</f>
        <v/>
      </c>
      <c r="O316" s="163" t="str">
        <f t="array" aca="1" ref="O316" ca="1">IFERROR(INDEX(HydrogenELT2019!$F$6:$J$17,MATCH(TS_TTech!$C316&amp;TS_TTech!$B316,HydrogenELT2019!$A$6:$A$17&amp;HydrogenELT2019!$B$6:$B$17,0),MATCH(TS_TTech!O$7,HydrogenELT2019!$F$5:$J$5,0)),"")</f>
        <v/>
      </c>
      <c r="P316" s="163" t="str">
        <f t="array" aca="1" ref="P316" ca="1">IFERROR(INDEX(HydrogenELT2019!$F$6:$J$17,MATCH(TS_TTech!$C316&amp;TS_TTech!$B316,HydrogenELT2019!$A$6:$A$17&amp;HydrogenELT2019!$B$6:$B$17,0),MATCH(TS_TTech!P$7,HydrogenELT2019!$F$5:$J$5,0)),"")</f>
        <v/>
      </c>
      <c r="Q316" s="163" t="str">
        <f t="array" aca="1" ref="Q316" ca="1">IFERROR(INDEX(HydrogenELT2019!$F$6:$J$17,MATCH(TS_TTech!$C316&amp;TS_TTech!$B316,HydrogenELT2019!$A$6:$A$17&amp;HydrogenELT2019!$B$6:$B$17,0),MATCH(TS_TTech!Q$7,HydrogenELT2019!$F$5:$J$5,0)),"")</f>
        <v/>
      </c>
      <c r="R316" s="163" t="str">
        <f t="array" aca="1" ref="R316" ca="1">IFERROR(INDEX(HydrogenELT2019!$F$6:$J$17,MATCH(TS_TTech!$C316&amp;TS_TTech!$B316,HydrogenELT2019!$A$6:$A$17&amp;HydrogenELT2019!$B$6:$B$17,0),MATCH(TS_TTech!R$7,HydrogenELT2019!$F$5:$J$5,0)),"")</f>
        <v/>
      </c>
      <c r="S316" s="163" t="str">
        <f t="array" aca="1" ref="S316" ca="1">IFERROR(INDEX(HydrogenELT2019!$F$6:$J$17,MATCH(TS_TTech!$C316&amp;TS_TTech!$B316,HydrogenELT2019!$A$6:$A$17&amp;HydrogenELT2019!$B$6:$B$17,0),MATCH(TS_TTech!S$7,HydrogenELT2019!$F$5:$J$5,0)),"")</f>
        <v/>
      </c>
      <c r="T316" s="163" t="str">
        <f t="array" aca="1" ref="T316" ca="1">IFERROR(INDEX(HydrogenELT2019!$F$6:$J$17,MATCH(TS_TTech!$C316&amp;TS_TTech!$B316,HydrogenELT2019!$A$6:$A$17&amp;HydrogenELT2019!$B$6:$B$17,0),MATCH(TS_TTech!T$7,HydrogenELT2019!$F$5:$J$5,0)),"")</f>
        <v/>
      </c>
      <c r="U316" s="163" t="str">
        <f t="array" aca="1" ref="U316" ca="1">IFERROR(INDEX(HydrogenELT2019!$F$6:$J$17,MATCH(TS_TTech!$C316&amp;TS_TTech!$B316,HydrogenELT2019!$A$6:$A$17&amp;HydrogenELT2019!$B$6:$B$17,0),MATCH(TS_TTech!U$7,HydrogenELT2019!$F$5:$J$5,0)),"")</f>
        <v/>
      </c>
      <c r="V316" s="163" t="str">
        <f t="array" aca="1" ref="V316" ca="1">IFERROR(INDEX(HydrogenELT2019!$F$6:$J$17,MATCH(TS_TTech!$C316&amp;TS_TTech!$B316,HydrogenELT2019!$A$6:$A$17&amp;HydrogenELT2019!$B$6:$B$17,0),MATCH(TS_TTech!V$7,HydrogenELT2019!$F$5:$J$5,0)),"")</f>
        <v/>
      </c>
      <c r="W316" s="163" t="str">
        <f t="array" aca="1" ref="W316" ca="1">IFERROR(INDEX(HydrogenELT2019!$F$6:$J$17,MATCH(TS_TTech!$C316&amp;TS_TTech!$B316,HydrogenELT2019!$A$6:$A$17&amp;HydrogenELT2019!$B$6:$B$17,0),MATCH(TS_TTech!W$7,HydrogenELT2019!$F$5:$J$5,0)),"")</f>
        <v/>
      </c>
      <c r="X316" s="163" t="str">
        <f t="array" aca="1" ref="X316" ca="1">IFERROR(INDEX(HydrogenELT2019!$F$6:$J$17,MATCH(TS_TTech!$C316&amp;TS_TTech!$B316,HydrogenELT2019!$A$6:$A$17&amp;HydrogenELT2019!$B$6:$B$17,0),MATCH(TS_TTech!X$7,HydrogenELT2019!$F$5:$J$5,0)),"")</f>
        <v/>
      </c>
      <c r="Y316" s="163" t="str">
        <f t="array" aca="1" ref="Y316" ca="1">IFERROR(INDEX(HydrogenELT2019!$F$6:$J$17,MATCH(TS_TTech!$C316&amp;TS_TTech!$B316,HydrogenELT2019!$A$6:$A$17&amp;HydrogenELT2019!$B$6:$B$17,0),MATCH(TS_TTech!Y$7,HydrogenELT2019!$F$5:$J$5,0)),"")</f>
        <v/>
      </c>
      <c r="Z316" s="163" t="str">
        <f t="array" aca="1" ref="Z316" ca="1">IFERROR(INDEX(HydrogenELT2019!$F$6:$J$17,MATCH(TS_TTech!$C316&amp;TS_TTech!$B316,HydrogenELT2019!$A$6:$A$17&amp;HydrogenELT2019!$B$6:$B$17,0),MATCH(TS_TTech!Z$7,HydrogenELT2019!$F$5:$J$5,0)),"")</f>
        <v/>
      </c>
      <c r="AA316" s="163" t="str">
        <f t="array" aca="1" ref="AA316" ca="1">IFERROR(INDEX(HydrogenELT2019!$F$6:$J$17,MATCH(TS_TTech!$C316&amp;TS_TTech!$B316,HydrogenELT2019!$A$6:$A$17&amp;HydrogenELT2019!$B$6:$B$17,0),MATCH(TS_TTech!AA$7,HydrogenELT2019!$F$5:$J$5,0)),"")</f>
        <v/>
      </c>
      <c r="AB316" s="163" t="str">
        <f t="array" aca="1" ref="AB316" ca="1">IFERROR(INDEX(HydrogenELT2019!$F$6:$J$17,MATCH(TS_TTech!$C316&amp;TS_TTech!$B316,HydrogenELT2019!$A$6:$A$17&amp;HydrogenELT2019!$B$6:$B$17,0),MATCH(TS_TTech!AB$7,HydrogenELT2019!$F$5:$J$5,0)),"")</f>
        <v/>
      </c>
      <c r="AC316" s="163" t="str">
        <f t="array" aca="1" ref="AC316" ca="1">IFERROR(INDEX(HydrogenELT2019!$F$6:$J$17,MATCH(TS_TTech!$C316&amp;TS_TTech!$B316,HydrogenELT2019!$A$6:$A$17&amp;HydrogenELT2019!$B$6:$B$17,0),MATCH(TS_TTech!AC$7,HydrogenELT2019!$F$5:$J$5,0)),"")</f>
        <v/>
      </c>
      <c r="AD316" s="163" t="str">
        <f t="array" aca="1" ref="AD316" ca="1">IFERROR(INDEX(HydrogenELT2019!$F$6:$J$17,MATCH(TS_TTech!$C316&amp;TS_TTech!$B316,HydrogenELT2019!$A$6:$A$17&amp;HydrogenELT2019!$B$6:$B$17,0),MATCH(TS_TTech!AD$7,HydrogenELT2019!$F$5:$J$5,0)),"")</f>
        <v/>
      </c>
      <c r="AE316" s="163" t="str">
        <f t="array" aca="1" ref="AE316" ca="1">IFERROR(INDEX(HydrogenELT2019!$F$6:$J$17,MATCH(TS_TTech!$C316&amp;TS_TTech!$B316,HydrogenELT2019!$A$6:$A$17&amp;HydrogenELT2019!$B$6:$B$17,0),MATCH(TS_TTech!AE$7,HydrogenELT2019!$F$5:$J$5,0)),"")</f>
        <v/>
      </c>
      <c r="AF316" s="163" t="str">
        <f t="array" aca="1" ref="AF316" ca="1">IFERROR(INDEX(HydrogenELT2019!$F$6:$J$17,MATCH(TS_TTech!$C316&amp;TS_TTech!$B316,HydrogenELT2019!$A$6:$A$17&amp;HydrogenELT2019!$B$6:$B$17,0),MATCH(TS_TTech!AF$7,HydrogenELT2019!$F$5:$J$5,0)),"")</f>
        <v/>
      </c>
      <c r="AG316" s="163" t="str">
        <f t="array" aca="1" ref="AG316" ca="1">IFERROR(INDEX(HydrogenELT2019!$F$6:$J$17,MATCH(TS_TTech!$C316&amp;TS_TTech!$B316,HydrogenELT2019!$A$6:$A$17&amp;HydrogenELT2019!$B$6:$B$17,0),MATCH(TS_TTech!AG$7,HydrogenELT2019!$F$5:$J$5,0)),"")</f>
        <v/>
      </c>
      <c r="AH316" s="163" t="str">
        <f t="array" aca="1" ref="AH316" ca="1">IFERROR(INDEX(HydrogenELT2019!$F$6:$J$17,MATCH(TS_TTech!$C316&amp;TS_TTech!$B316,HydrogenELT2019!$A$6:$A$17&amp;HydrogenELT2019!$B$6:$B$17,0),MATCH(TS_TTech!AH$7,HydrogenELT2019!$F$5:$J$5,0)),"")</f>
        <v/>
      </c>
      <c r="AI316" s="163" t="str">
        <f t="array" aca="1" ref="AI316" ca="1">IFERROR(INDEX(HydrogenELT2019!$F$6:$J$17,MATCH(TS_TTech!$C316&amp;TS_TTech!$B316,HydrogenELT2019!$A$6:$A$17&amp;HydrogenELT2019!$B$6:$B$17,0),MATCH(TS_TTech!AI$7,HydrogenELT2019!$F$5:$J$5,0)),"")</f>
        <v/>
      </c>
      <c r="AJ316" s="163" t="str">
        <f t="array" aca="1" ref="AJ316" ca="1">IFERROR(INDEX(HydrogenELT2019!$F$6:$J$17,MATCH(TS_TTech!$C316&amp;TS_TTech!$B316,HydrogenELT2019!$A$6:$A$17&amp;HydrogenELT2019!$B$6:$B$17,0),MATCH(TS_TTech!AJ$7,HydrogenELT2019!$F$5:$J$5,0)),"")</f>
        <v/>
      </c>
      <c r="AK316" s="163" t="str">
        <f t="array" aca="1" ref="AK316" ca="1">IFERROR(INDEX(HydrogenELT2019!$F$6:$J$17,MATCH(TS_TTech!$C316&amp;TS_TTech!$B316,HydrogenELT2019!$A$6:$A$17&amp;HydrogenELT2019!$B$6:$B$17,0),MATCH(TS_TTech!AK$7,HydrogenELT2019!$F$5:$J$5,0)),"")</f>
        <v/>
      </c>
      <c r="AL316" s="163" t="str">
        <f t="array" aca="1" ref="AL316" ca="1">IFERROR(INDEX(HydrogenELT2019!$F$6:$J$17,MATCH(TS_TTech!$C316&amp;TS_TTech!$B316,HydrogenELT2019!$A$6:$A$17&amp;HydrogenELT2019!$B$6:$B$17,0),MATCH(TS_TTech!AL$7,HydrogenELT2019!$F$5:$J$5,0)),"")</f>
        <v/>
      </c>
      <c r="AM316" s="163" t="str">
        <f t="array" aca="1" ref="AM316" ca="1">IFERROR(INDEX(HydrogenELT2019!$F$6:$J$17,MATCH(TS_TTech!$C316&amp;TS_TTech!$B316,HydrogenELT2019!$A$6:$A$17&amp;HydrogenELT2019!$B$6:$B$17,0),MATCH(TS_TTech!AM$7,HydrogenELT2019!$F$5:$J$5,0)),"")</f>
        <v/>
      </c>
      <c r="AN316" s="163" t="str">
        <f t="array" aca="1" ref="AN316" ca="1">IFERROR(INDEX(HydrogenELT2019!$F$6:$J$17,MATCH(TS_TTech!$C316&amp;TS_TTech!$B316,HydrogenELT2019!$A$6:$A$17&amp;HydrogenELT2019!$B$6:$B$17,0),MATCH(TS_TTech!AN$7,HydrogenELT2019!$F$5:$J$5,0)),"")</f>
        <v/>
      </c>
      <c r="AO316" s="163" t="str">
        <f t="array" aca="1" ref="AO316" ca="1">IFERROR(INDEX(HydrogenELT2019!$F$6:$J$17,MATCH(TS_TTech!$C316&amp;TS_TTech!$B316,HydrogenELT2019!$A$6:$A$17&amp;HydrogenELT2019!$B$6:$B$17,0),MATCH(TS_TTech!AO$7,HydrogenELT2019!$F$5:$J$5,0)),"")</f>
        <v/>
      </c>
      <c r="AP316" s="163" t="str">
        <f t="array" aca="1" ref="AP316" ca="1">IFERROR(INDEX(HydrogenELT2019!$F$6:$J$17,MATCH(TS_TTech!$C316&amp;TS_TTech!$B316,HydrogenELT2019!$A$6:$A$17&amp;HydrogenELT2019!$B$6:$B$17,0),MATCH(TS_TTech!AP$7,HydrogenELT2019!$F$5:$J$5,0)),"")</f>
        <v/>
      </c>
      <c r="AR316" s="163">
        <f t="shared" si="148"/>
        <v>27</v>
      </c>
      <c r="AS316" s="42">
        <f t="shared" si="154"/>
        <v>7</v>
      </c>
      <c r="AU316" s="42">
        <f ca="1">SUMIF(UPS!B$38:B$171,C316,UPS!BD$38:BD$171)</f>
        <v>131</v>
      </c>
      <c r="AV316" s="42">
        <v>0</v>
      </c>
    </row>
    <row r="317" spans="1:51">
      <c r="B317" s="440" t="str">
        <f t="shared" si="149"/>
        <v>FLO_SHAR</v>
      </c>
      <c r="C317" s="440" t="str">
        <f ca="1">IF($A317="*","",OFFSET(ITEMS_UPS!$C$8,AR317,0))</f>
        <v>UELEA1HGN</v>
      </c>
      <c r="D317" s="440" t="str">
        <f ca="1">IF($A317="*","",IF(VLOOKUP("*#"&amp;$AS317,$A$10:$I$24,D$9+1,FALSE)="-","-",OFFSET(UPS!$C$37,AU317+AV317,SUMIF($A$10:$A$20,"*#"&amp;AS317,$AT$10:$AT$20))))</f>
        <v>UPSHGN</v>
      </c>
      <c r="E317" s="440" t="str">
        <f t="shared" ca="1" si="150"/>
        <v>UELEA1HGN-O</v>
      </c>
      <c r="F317" s="440" t="str">
        <f t="shared" si="151"/>
        <v>-</v>
      </c>
      <c r="G317" s="440" t="str">
        <f t="shared" si="152"/>
        <v>ANNUAL</v>
      </c>
      <c r="H317" s="441" t="str">
        <f t="shared" si="155"/>
        <v>UP</v>
      </c>
      <c r="I317" s="441">
        <f t="shared" si="153"/>
        <v>3</v>
      </c>
      <c r="J317" s="163">
        <f ca="1">IF($A317="*","",OFFSET(UPS!$C$37,AU317+AV317,SUMIF($A$10:$A$20,"*#"&amp;AS317,$AV$10:$AV$20)))</f>
        <v>1</v>
      </c>
      <c r="K317" s="163" t="str">
        <f t="array" aca="1" ref="K317" ca="1">IFERROR(INDEX(HydrogenELT2019!$F$6:$J$17,MATCH(TS_TTech!$C317&amp;TS_TTech!$B317,HydrogenELT2019!$A$6:$A$17&amp;HydrogenELT2019!$B$6:$B$17,0),MATCH(TS_TTech!K$7,HydrogenELT2019!$F$5:$J$5,0)),"")</f>
        <v/>
      </c>
      <c r="L317" s="163" t="str">
        <f t="array" aca="1" ref="L317" ca="1">IFERROR(INDEX(HydrogenELT2019!$F$6:$J$17,MATCH(TS_TTech!$C317&amp;TS_TTech!$B317,HydrogenELT2019!$A$6:$A$17&amp;HydrogenELT2019!$B$6:$B$17,0),MATCH(TS_TTech!L$7,HydrogenELT2019!$F$5:$J$5,0)),"")</f>
        <v/>
      </c>
      <c r="M317" s="163" t="str">
        <f t="array" aca="1" ref="M317" ca="1">IFERROR(INDEX(HydrogenELT2019!$F$6:$J$17,MATCH(TS_TTech!$C317&amp;TS_TTech!$B317,HydrogenELT2019!$A$6:$A$17&amp;HydrogenELT2019!$B$6:$B$17,0),MATCH(TS_TTech!M$7,HydrogenELT2019!$F$5:$J$5,0)),"")</f>
        <v/>
      </c>
      <c r="N317" s="163" t="str">
        <f t="array" aca="1" ref="N317" ca="1">IFERROR(INDEX(HydrogenELT2019!$F$6:$J$17,MATCH(TS_TTech!$C317&amp;TS_TTech!$B317,HydrogenELT2019!$A$6:$A$17&amp;HydrogenELT2019!$B$6:$B$17,0),MATCH(TS_TTech!N$7,HydrogenELT2019!$F$5:$J$5,0)),"")</f>
        <v/>
      </c>
      <c r="O317" s="163" t="str">
        <f t="array" aca="1" ref="O317" ca="1">IFERROR(INDEX(HydrogenELT2019!$F$6:$J$17,MATCH(TS_TTech!$C317&amp;TS_TTech!$B317,HydrogenELT2019!$A$6:$A$17&amp;HydrogenELT2019!$B$6:$B$17,0),MATCH(TS_TTech!O$7,HydrogenELT2019!$F$5:$J$5,0)),"")</f>
        <v/>
      </c>
      <c r="P317" s="163" t="str">
        <f t="array" aca="1" ref="P317" ca="1">IFERROR(INDEX(HydrogenELT2019!$F$6:$J$17,MATCH(TS_TTech!$C317&amp;TS_TTech!$B317,HydrogenELT2019!$A$6:$A$17&amp;HydrogenELT2019!$B$6:$B$17,0),MATCH(TS_TTech!P$7,HydrogenELT2019!$F$5:$J$5,0)),"")</f>
        <v/>
      </c>
      <c r="Q317" s="163" t="str">
        <f t="array" aca="1" ref="Q317" ca="1">IFERROR(INDEX(HydrogenELT2019!$F$6:$J$17,MATCH(TS_TTech!$C317&amp;TS_TTech!$B317,HydrogenELT2019!$A$6:$A$17&amp;HydrogenELT2019!$B$6:$B$17,0),MATCH(TS_TTech!Q$7,HydrogenELT2019!$F$5:$J$5,0)),"")</f>
        <v/>
      </c>
      <c r="R317" s="163" t="str">
        <f t="array" aca="1" ref="R317" ca="1">IFERROR(INDEX(HydrogenELT2019!$F$6:$J$17,MATCH(TS_TTech!$C317&amp;TS_TTech!$B317,HydrogenELT2019!$A$6:$A$17&amp;HydrogenELT2019!$B$6:$B$17,0),MATCH(TS_TTech!R$7,HydrogenELT2019!$F$5:$J$5,0)),"")</f>
        <v/>
      </c>
      <c r="S317" s="163" t="str">
        <f t="array" aca="1" ref="S317" ca="1">IFERROR(INDEX(HydrogenELT2019!$F$6:$J$17,MATCH(TS_TTech!$C317&amp;TS_TTech!$B317,HydrogenELT2019!$A$6:$A$17&amp;HydrogenELT2019!$B$6:$B$17,0),MATCH(TS_TTech!S$7,HydrogenELT2019!$F$5:$J$5,0)),"")</f>
        <v/>
      </c>
      <c r="T317" s="163" t="str">
        <f t="array" aca="1" ref="T317" ca="1">IFERROR(INDEX(HydrogenELT2019!$F$6:$J$17,MATCH(TS_TTech!$C317&amp;TS_TTech!$B317,HydrogenELT2019!$A$6:$A$17&amp;HydrogenELT2019!$B$6:$B$17,0),MATCH(TS_TTech!T$7,HydrogenELT2019!$F$5:$J$5,0)),"")</f>
        <v/>
      </c>
      <c r="U317" s="163" t="str">
        <f t="array" aca="1" ref="U317" ca="1">IFERROR(INDEX(HydrogenELT2019!$F$6:$J$17,MATCH(TS_TTech!$C317&amp;TS_TTech!$B317,HydrogenELT2019!$A$6:$A$17&amp;HydrogenELT2019!$B$6:$B$17,0),MATCH(TS_TTech!U$7,HydrogenELT2019!$F$5:$J$5,0)),"")</f>
        <v/>
      </c>
      <c r="V317" s="163" t="str">
        <f t="array" aca="1" ref="V317" ca="1">IFERROR(INDEX(HydrogenELT2019!$F$6:$J$17,MATCH(TS_TTech!$C317&amp;TS_TTech!$B317,HydrogenELT2019!$A$6:$A$17&amp;HydrogenELT2019!$B$6:$B$17,0),MATCH(TS_TTech!V$7,HydrogenELT2019!$F$5:$J$5,0)),"")</f>
        <v/>
      </c>
      <c r="W317" s="163" t="str">
        <f t="array" aca="1" ref="W317" ca="1">IFERROR(INDEX(HydrogenELT2019!$F$6:$J$17,MATCH(TS_TTech!$C317&amp;TS_TTech!$B317,HydrogenELT2019!$A$6:$A$17&amp;HydrogenELT2019!$B$6:$B$17,0),MATCH(TS_TTech!W$7,HydrogenELT2019!$F$5:$J$5,0)),"")</f>
        <v/>
      </c>
      <c r="X317" s="163" t="str">
        <f t="array" aca="1" ref="X317" ca="1">IFERROR(INDEX(HydrogenELT2019!$F$6:$J$17,MATCH(TS_TTech!$C317&amp;TS_TTech!$B317,HydrogenELT2019!$A$6:$A$17&amp;HydrogenELT2019!$B$6:$B$17,0),MATCH(TS_TTech!X$7,HydrogenELT2019!$F$5:$J$5,0)),"")</f>
        <v/>
      </c>
      <c r="Y317" s="163" t="str">
        <f t="array" aca="1" ref="Y317" ca="1">IFERROR(INDEX(HydrogenELT2019!$F$6:$J$17,MATCH(TS_TTech!$C317&amp;TS_TTech!$B317,HydrogenELT2019!$A$6:$A$17&amp;HydrogenELT2019!$B$6:$B$17,0),MATCH(TS_TTech!Y$7,HydrogenELT2019!$F$5:$J$5,0)),"")</f>
        <v/>
      </c>
      <c r="Z317" s="163" t="str">
        <f t="array" aca="1" ref="Z317" ca="1">IFERROR(INDEX(HydrogenELT2019!$F$6:$J$17,MATCH(TS_TTech!$C317&amp;TS_TTech!$B317,HydrogenELT2019!$A$6:$A$17&amp;HydrogenELT2019!$B$6:$B$17,0),MATCH(TS_TTech!Z$7,HydrogenELT2019!$F$5:$J$5,0)),"")</f>
        <v/>
      </c>
      <c r="AA317" s="163" t="str">
        <f t="array" aca="1" ref="AA317" ca="1">IFERROR(INDEX(HydrogenELT2019!$F$6:$J$17,MATCH(TS_TTech!$C317&amp;TS_TTech!$B317,HydrogenELT2019!$A$6:$A$17&amp;HydrogenELT2019!$B$6:$B$17,0),MATCH(TS_TTech!AA$7,HydrogenELT2019!$F$5:$J$5,0)),"")</f>
        <v/>
      </c>
      <c r="AB317" s="163" t="str">
        <f t="array" aca="1" ref="AB317" ca="1">IFERROR(INDEX(HydrogenELT2019!$F$6:$J$17,MATCH(TS_TTech!$C317&amp;TS_TTech!$B317,HydrogenELT2019!$A$6:$A$17&amp;HydrogenELT2019!$B$6:$B$17,0),MATCH(TS_TTech!AB$7,HydrogenELT2019!$F$5:$J$5,0)),"")</f>
        <v/>
      </c>
      <c r="AC317" s="163" t="str">
        <f t="array" aca="1" ref="AC317" ca="1">IFERROR(INDEX(HydrogenELT2019!$F$6:$J$17,MATCH(TS_TTech!$C317&amp;TS_TTech!$B317,HydrogenELT2019!$A$6:$A$17&amp;HydrogenELT2019!$B$6:$B$17,0),MATCH(TS_TTech!AC$7,HydrogenELT2019!$F$5:$J$5,0)),"")</f>
        <v/>
      </c>
      <c r="AD317" s="163" t="str">
        <f t="array" aca="1" ref="AD317" ca="1">IFERROR(INDEX(HydrogenELT2019!$F$6:$J$17,MATCH(TS_TTech!$C317&amp;TS_TTech!$B317,HydrogenELT2019!$A$6:$A$17&amp;HydrogenELT2019!$B$6:$B$17,0),MATCH(TS_TTech!AD$7,HydrogenELT2019!$F$5:$J$5,0)),"")</f>
        <v/>
      </c>
      <c r="AE317" s="163" t="str">
        <f t="array" aca="1" ref="AE317" ca="1">IFERROR(INDEX(HydrogenELT2019!$F$6:$J$17,MATCH(TS_TTech!$C317&amp;TS_TTech!$B317,HydrogenELT2019!$A$6:$A$17&amp;HydrogenELT2019!$B$6:$B$17,0),MATCH(TS_TTech!AE$7,HydrogenELT2019!$F$5:$J$5,0)),"")</f>
        <v/>
      </c>
      <c r="AF317" s="163" t="str">
        <f t="array" aca="1" ref="AF317" ca="1">IFERROR(INDEX(HydrogenELT2019!$F$6:$J$17,MATCH(TS_TTech!$C317&amp;TS_TTech!$B317,HydrogenELT2019!$A$6:$A$17&amp;HydrogenELT2019!$B$6:$B$17,0),MATCH(TS_TTech!AF$7,HydrogenELT2019!$F$5:$J$5,0)),"")</f>
        <v/>
      </c>
      <c r="AG317" s="163" t="str">
        <f t="array" aca="1" ref="AG317" ca="1">IFERROR(INDEX(HydrogenELT2019!$F$6:$J$17,MATCH(TS_TTech!$C317&amp;TS_TTech!$B317,HydrogenELT2019!$A$6:$A$17&amp;HydrogenELT2019!$B$6:$B$17,0),MATCH(TS_TTech!AG$7,HydrogenELT2019!$F$5:$J$5,0)),"")</f>
        <v/>
      </c>
      <c r="AH317" s="163" t="str">
        <f t="array" aca="1" ref="AH317" ca="1">IFERROR(INDEX(HydrogenELT2019!$F$6:$J$17,MATCH(TS_TTech!$C317&amp;TS_TTech!$B317,HydrogenELT2019!$A$6:$A$17&amp;HydrogenELT2019!$B$6:$B$17,0),MATCH(TS_TTech!AH$7,HydrogenELT2019!$F$5:$J$5,0)),"")</f>
        <v/>
      </c>
      <c r="AI317" s="163" t="str">
        <f t="array" aca="1" ref="AI317" ca="1">IFERROR(INDEX(HydrogenELT2019!$F$6:$J$17,MATCH(TS_TTech!$C317&amp;TS_TTech!$B317,HydrogenELT2019!$A$6:$A$17&amp;HydrogenELT2019!$B$6:$B$17,0),MATCH(TS_TTech!AI$7,HydrogenELT2019!$F$5:$J$5,0)),"")</f>
        <v/>
      </c>
      <c r="AJ317" s="163" t="str">
        <f t="array" aca="1" ref="AJ317" ca="1">IFERROR(INDEX(HydrogenELT2019!$F$6:$J$17,MATCH(TS_TTech!$C317&amp;TS_TTech!$B317,HydrogenELT2019!$A$6:$A$17&amp;HydrogenELT2019!$B$6:$B$17,0),MATCH(TS_TTech!AJ$7,HydrogenELT2019!$F$5:$J$5,0)),"")</f>
        <v/>
      </c>
      <c r="AK317" s="163" t="str">
        <f t="array" aca="1" ref="AK317" ca="1">IFERROR(INDEX(HydrogenELT2019!$F$6:$J$17,MATCH(TS_TTech!$C317&amp;TS_TTech!$B317,HydrogenELT2019!$A$6:$A$17&amp;HydrogenELT2019!$B$6:$B$17,0),MATCH(TS_TTech!AK$7,HydrogenELT2019!$F$5:$J$5,0)),"")</f>
        <v/>
      </c>
      <c r="AL317" s="163" t="str">
        <f t="array" aca="1" ref="AL317" ca="1">IFERROR(INDEX(HydrogenELT2019!$F$6:$J$17,MATCH(TS_TTech!$C317&amp;TS_TTech!$B317,HydrogenELT2019!$A$6:$A$17&amp;HydrogenELT2019!$B$6:$B$17,0),MATCH(TS_TTech!AL$7,HydrogenELT2019!$F$5:$J$5,0)),"")</f>
        <v/>
      </c>
      <c r="AM317" s="163" t="str">
        <f t="array" aca="1" ref="AM317" ca="1">IFERROR(INDEX(HydrogenELT2019!$F$6:$J$17,MATCH(TS_TTech!$C317&amp;TS_TTech!$B317,HydrogenELT2019!$A$6:$A$17&amp;HydrogenELT2019!$B$6:$B$17,0),MATCH(TS_TTech!AM$7,HydrogenELT2019!$F$5:$J$5,0)),"")</f>
        <v/>
      </c>
      <c r="AN317" s="163" t="str">
        <f t="array" aca="1" ref="AN317" ca="1">IFERROR(INDEX(HydrogenELT2019!$F$6:$J$17,MATCH(TS_TTech!$C317&amp;TS_TTech!$B317,HydrogenELT2019!$A$6:$A$17&amp;HydrogenELT2019!$B$6:$B$17,0),MATCH(TS_TTech!AN$7,HydrogenELT2019!$F$5:$J$5,0)),"")</f>
        <v/>
      </c>
      <c r="AO317" s="163" t="str">
        <f t="array" aca="1" ref="AO317" ca="1">IFERROR(INDEX(HydrogenELT2019!$F$6:$J$17,MATCH(TS_TTech!$C317&amp;TS_TTech!$B317,HydrogenELT2019!$A$6:$A$17&amp;HydrogenELT2019!$B$6:$B$17,0),MATCH(TS_TTech!AO$7,HydrogenELT2019!$F$5:$J$5,0)),"")</f>
        <v/>
      </c>
      <c r="AP317" s="163" t="str">
        <f t="array" aca="1" ref="AP317" ca="1">IFERROR(INDEX(HydrogenELT2019!$F$6:$J$17,MATCH(TS_TTech!$C317&amp;TS_TTech!$B317,HydrogenELT2019!$A$6:$A$17&amp;HydrogenELT2019!$B$6:$B$17,0),MATCH(TS_TTech!AP$7,HydrogenELT2019!$F$5:$J$5,0)),"")</f>
        <v/>
      </c>
      <c r="AR317" s="163">
        <f t="shared" si="148"/>
        <v>27</v>
      </c>
      <c r="AS317" s="42">
        <f t="shared" si="154"/>
        <v>8</v>
      </c>
      <c r="AU317" s="42">
        <f ca="1">SUMIF(UPS!B$38:B$171,C317,UPS!BD$38:BD$171)</f>
        <v>131</v>
      </c>
      <c r="AV317" s="42">
        <v>1</v>
      </c>
    </row>
    <row r="318" spans="1:51">
      <c r="B318" s="440" t="str">
        <f t="shared" si="149"/>
        <v>FLO_EMIS</v>
      </c>
      <c r="C318" s="440" t="str">
        <f ca="1">IF($A318="*","",OFFSET(ITEMS_UPS!$C$8,AR318,0))</f>
        <v>UELEA1HGN</v>
      </c>
      <c r="D318" s="440" t="str">
        <f>$D$18</f>
        <v>UPSCO2S</v>
      </c>
      <c r="E318" s="440" t="str">
        <f t="shared" ca="1" si="150"/>
        <v>UELEA1HGN-O</v>
      </c>
      <c r="F318" s="440" t="str">
        <f t="shared" si="151"/>
        <v>-</v>
      </c>
      <c r="G318" s="440" t="str">
        <f t="shared" si="152"/>
        <v>ANNUAL</v>
      </c>
      <c r="H318" s="441" t="str">
        <f t="shared" si="155"/>
        <v>-</v>
      </c>
      <c r="I318" s="441">
        <f t="shared" si="153"/>
        <v>0</v>
      </c>
      <c r="J318" s="163">
        <f ca="1">IF($A318="*","",OFFSET(UPS!$C$37,AU318+AV318,SUMIF($A$10:$A$20,"*#"&amp;AS318,$AV$10:$AV$20)))</f>
        <v>0</v>
      </c>
      <c r="K318" s="163" t="str">
        <f t="array" aca="1" ref="K318" ca="1">IFERROR(INDEX(HydrogenELT2019!$F$6:$J$17,MATCH(TS_TTech!$C318&amp;TS_TTech!$B318,HydrogenELT2019!$A$6:$A$17&amp;HydrogenELT2019!$B$6:$B$17,0),MATCH(TS_TTech!K$7,HydrogenELT2019!$F$5:$J$5,0)),"")</f>
        <v/>
      </c>
      <c r="L318" s="163" t="str">
        <f t="array" aca="1" ref="L318" ca="1">IFERROR(INDEX(HydrogenELT2019!$F$6:$J$17,MATCH(TS_TTech!$C318&amp;TS_TTech!$B318,HydrogenELT2019!$A$6:$A$17&amp;HydrogenELT2019!$B$6:$B$17,0),MATCH(TS_TTech!L$7,HydrogenELT2019!$F$5:$J$5,0)),"")</f>
        <v/>
      </c>
      <c r="M318" s="163" t="str">
        <f t="array" aca="1" ref="M318" ca="1">IFERROR(INDEX(HydrogenELT2019!$F$6:$J$17,MATCH(TS_TTech!$C318&amp;TS_TTech!$B318,HydrogenELT2019!$A$6:$A$17&amp;HydrogenELT2019!$B$6:$B$17,0),MATCH(TS_TTech!M$7,HydrogenELT2019!$F$5:$J$5,0)),"")</f>
        <v/>
      </c>
      <c r="N318" s="163" t="str">
        <f t="array" aca="1" ref="N318" ca="1">IFERROR(INDEX(HydrogenELT2019!$F$6:$J$17,MATCH(TS_TTech!$C318&amp;TS_TTech!$B318,HydrogenELT2019!$A$6:$A$17&amp;HydrogenELT2019!$B$6:$B$17,0),MATCH(TS_TTech!N$7,HydrogenELT2019!$F$5:$J$5,0)),"")</f>
        <v/>
      </c>
      <c r="O318" s="163" t="str">
        <f t="array" aca="1" ref="O318" ca="1">IFERROR(INDEX(HydrogenELT2019!$F$6:$J$17,MATCH(TS_TTech!$C318&amp;TS_TTech!$B318,HydrogenELT2019!$A$6:$A$17&amp;HydrogenELT2019!$B$6:$B$17,0),MATCH(TS_TTech!O$7,HydrogenELT2019!$F$5:$J$5,0)),"")</f>
        <v/>
      </c>
      <c r="P318" s="163" t="str">
        <f t="array" aca="1" ref="P318" ca="1">IFERROR(INDEX(HydrogenELT2019!$F$6:$J$17,MATCH(TS_TTech!$C318&amp;TS_TTech!$B318,HydrogenELT2019!$A$6:$A$17&amp;HydrogenELT2019!$B$6:$B$17,0),MATCH(TS_TTech!P$7,HydrogenELT2019!$F$5:$J$5,0)),"")</f>
        <v/>
      </c>
      <c r="Q318" s="163" t="str">
        <f t="array" aca="1" ref="Q318" ca="1">IFERROR(INDEX(HydrogenELT2019!$F$6:$J$17,MATCH(TS_TTech!$C318&amp;TS_TTech!$B318,HydrogenELT2019!$A$6:$A$17&amp;HydrogenELT2019!$B$6:$B$17,0),MATCH(TS_TTech!Q$7,HydrogenELT2019!$F$5:$J$5,0)),"")</f>
        <v/>
      </c>
      <c r="R318" s="163" t="str">
        <f t="array" aca="1" ref="R318" ca="1">IFERROR(INDEX(HydrogenELT2019!$F$6:$J$17,MATCH(TS_TTech!$C318&amp;TS_TTech!$B318,HydrogenELT2019!$A$6:$A$17&amp;HydrogenELT2019!$B$6:$B$17,0),MATCH(TS_TTech!R$7,HydrogenELT2019!$F$5:$J$5,0)),"")</f>
        <v/>
      </c>
      <c r="S318" s="163" t="str">
        <f t="array" aca="1" ref="S318" ca="1">IFERROR(INDEX(HydrogenELT2019!$F$6:$J$17,MATCH(TS_TTech!$C318&amp;TS_TTech!$B318,HydrogenELT2019!$A$6:$A$17&amp;HydrogenELT2019!$B$6:$B$17,0),MATCH(TS_TTech!S$7,HydrogenELT2019!$F$5:$J$5,0)),"")</f>
        <v/>
      </c>
      <c r="T318" s="163" t="str">
        <f t="array" aca="1" ref="T318" ca="1">IFERROR(INDEX(HydrogenELT2019!$F$6:$J$17,MATCH(TS_TTech!$C318&amp;TS_TTech!$B318,HydrogenELT2019!$A$6:$A$17&amp;HydrogenELT2019!$B$6:$B$17,0),MATCH(TS_TTech!T$7,HydrogenELT2019!$F$5:$J$5,0)),"")</f>
        <v/>
      </c>
      <c r="U318" s="163" t="str">
        <f t="array" aca="1" ref="U318" ca="1">IFERROR(INDEX(HydrogenELT2019!$F$6:$J$17,MATCH(TS_TTech!$C318&amp;TS_TTech!$B318,HydrogenELT2019!$A$6:$A$17&amp;HydrogenELT2019!$B$6:$B$17,0),MATCH(TS_TTech!U$7,HydrogenELT2019!$F$5:$J$5,0)),"")</f>
        <v/>
      </c>
      <c r="V318" s="163" t="str">
        <f t="array" aca="1" ref="V318" ca="1">IFERROR(INDEX(HydrogenELT2019!$F$6:$J$17,MATCH(TS_TTech!$C318&amp;TS_TTech!$B318,HydrogenELT2019!$A$6:$A$17&amp;HydrogenELT2019!$B$6:$B$17,0),MATCH(TS_TTech!V$7,HydrogenELT2019!$F$5:$J$5,0)),"")</f>
        <v/>
      </c>
      <c r="W318" s="163" t="str">
        <f t="array" aca="1" ref="W318" ca="1">IFERROR(INDEX(HydrogenELT2019!$F$6:$J$17,MATCH(TS_TTech!$C318&amp;TS_TTech!$B318,HydrogenELT2019!$A$6:$A$17&amp;HydrogenELT2019!$B$6:$B$17,0),MATCH(TS_TTech!W$7,HydrogenELT2019!$F$5:$J$5,0)),"")</f>
        <v/>
      </c>
      <c r="X318" s="163" t="str">
        <f t="array" aca="1" ref="X318" ca="1">IFERROR(INDEX(HydrogenELT2019!$F$6:$J$17,MATCH(TS_TTech!$C318&amp;TS_TTech!$B318,HydrogenELT2019!$A$6:$A$17&amp;HydrogenELT2019!$B$6:$B$17,0),MATCH(TS_TTech!X$7,HydrogenELT2019!$F$5:$J$5,0)),"")</f>
        <v/>
      </c>
      <c r="Y318" s="163" t="str">
        <f t="array" aca="1" ref="Y318" ca="1">IFERROR(INDEX(HydrogenELT2019!$F$6:$J$17,MATCH(TS_TTech!$C318&amp;TS_TTech!$B318,HydrogenELT2019!$A$6:$A$17&amp;HydrogenELT2019!$B$6:$B$17,0),MATCH(TS_TTech!Y$7,HydrogenELT2019!$F$5:$J$5,0)),"")</f>
        <v/>
      </c>
      <c r="Z318" s="163" t="str">
        <f t="array" aca="1" ref="Z318" ca="1">IFERROR(INDEX(HydrogenELT2019!$F$6:$J$17,MATCH(TS_TTech!$C318&amp;TS_TTech!$B318,HydrogenELT2019!$A$6:$A$17&amp;HydrogenELT2019!$B$6:$B$17,0),MATCH(TS_TTech!Z$7,HydrogenELT2019!$F$5:$J$5,0)),"")</f>
        <v/>
      </c>
      <c r="AA318" s="163" t="str">
        <f t="array" aca="1" ref="AA318" ca="1">IFERROR(INDEX(HydrogenELT2019!$F$6:$J$17,MATCH(TS_TTech!$C318&amp;TS_TTech!$B318,HydrogenELT2019!$A$6:$A$17&amp;HydrogenELT2019!$B$6:$B$17,0),MATCH(TS_TTech!AA$7,HydrogenELT2019!$F$5:$J$5,0)),"")</f>
        <v/>
      </c>
      <c r="AB318" s="163" t="str">
        <f t="array" aca="1" ref="AB318" ca="1">IFERROR(INDEX(HydrogenELT2019!$F$6:$J$17,MATCH(TS_TTech!$C318&amp;TS_TTech!$B318,HydrogenELT2019!$A$6:$A$17&amp;HydrogenELT2019!$B$6:$B$17,0),MATCH(TS_TTech!AB$7,HydrogenELT2019!$F$5:$J$5,0)),"")</f>
        <v/>
      </c>
      <c r="AC318" s="163" t="str">
        <f t="array" aca="1" ref="AC318" ca="1">IFERROR(INDEX(HydrogenELT2019!$F$6:$J$17,MATCH(TS_TTech!$C318&amp;TS_TTech!$B318,HydrogenELT2019!$A$6:$A$17&amp;HydrogenELT2019!$B$6:$B$17,0),MATCH(TS_TTech!AC$7,HydrogenELT2019!$F$5:$J$5,0)),"")</f>
        <v/>
      </c>
      <c r="AD318" s="163" t="str">
        <f t="array" aca="1" ref="AD318" ca="1">IFERROR(INDEX(HydrogenELT2019!$F$6:$J$17,MATCH(TS_TTech!$C318&amp;TS_TTech!$B318,HydrogenELT2019!$A$6:$A$17&amp;HydrogenELT2019!$B$6:$B$17,0),MATCH(TS_TTech!AD$7,HydrogenELT2019!$F$5:$J$5,0)),"")</f>
        <v/>
      </c>
      <c r="AE318" s="163" t="str">
        <f t="array" aca="1" ref="AE318" ca="1">IFERROR(INDEX(HydrogenELT2019!$F$6:$J$17,MATCH(TS_TTech!$C318&amp;TS_TTech!$B318,HydrogenELT2019!$A$6:$A$17&amp;HydrogenELT2019!$B$6:$B$17,0),MATCH(TS_TTech!AE$7,HydrogenELT2019!$F$5:$J$5,0)),"")</f>
        <v/>
      </c>
      <c r="AF318" s="163" t="str">
        <f t="array" aca="1" ref="AF318" ca="1">IFERROR(INDEX(HydrogenELT2019!$F$6:$J$17,MATCH(TS_TTech!$C318&amp;TS_TTech!$B318,HydrogenELT2019!$A$6:$A$17&amp;HydrogenELT2019!$B$6:$B$17,0),MATCH(TS_TTech!AF$7,HydrogenELT2019!$F$5:$J$5,0)),"")</f>
        <v/>
      </c>
      <c r="AG318" s="163" t="str">
        <f t="array" aca="1" ref="AG318" ca="1">IFERROR(INDEX(HydrogenELT2019!$F$6:$J$17,MATCH(TS_TTech!$C318&amp;TS_TTech!$B318,HydrogenELT2019!$A$6:$A$17&amp;HydrogenELT2019!$B$6:$B$17,0),MATCH(TS_TTech!AG$7,HydrogenELT2019!$F$5:$J$5,0)),"")</f>
        <v/>
      </c>
      <c r="AH318" s="163" t="str">
        <f t="array" aca="1" ref="AH318" ca="1">IFERROR(INDEX(HydrogenELT2019!$F$6:$J$17,MATCH(TS_TTech!$C318&amp;TS_TTech!$B318,HydrogenELT2019!$A$6:$A$17&amp;HydrogenELT2019!$B$6:$B$17,0),MATCH(TS_TTech!AH$7,HydrogenELT2019!$F$5:$J$5,0)),"")</f>
        <v/>
      </c>
      <c r="AI318" s="163" t="str">
        <f t="array" aca="1" ref="AI318" ca="1">IFERROR(INDEX(HydrogenELT2019!$F$6:$J$17,MATCH(TS_TTech!$C318&amp;TS_TTech!$B318,HydrogenELT2019!$A$6:$A$17&amp;HydrogenELT2019!$B$6:$B$17,0),MATCH(TS_TTech!AI$7,HydrogenELT2019!$F$5:$J$5,0)),"")</f>
        <v/>
      </c>
      <c r="AJ318" s="163" t="str">
        <f t="array" aca="1" ref="AJ318" ca="1">IFERROR(INDEX(HydrogenELT2019!$F$6:$J$17,MATCH(TS_TTech!$C318&amp;TS_TTech!$B318,HydrogenELT2019!$A$6:$A$17&amp;HydrogenELT2019!$B$6:$B$17,0),MATCH(TS_TTech!AJ$7,HydrogenELT2019!$F$5:$J$5,0)),"")</f>
        <v/>
      </c>
      <c r="AK318" s="163" t="str">
        <f t="array" aca="1" ref="AK318" ca="1">IFERROR(INDEX(HydrogenELT2019!$F$6:$J$17,MATCH(TS_TTech!$C318&amp;TS_TTech!$B318,HydrogenELT2019!$A$6:$A$17&amp;HydrogenELT2019!$B$6:$B$17,0),MATCH(TS_TTech!AK$7,HydrogenELT2019!$F$5:$J$5,0)),"")</f>
        <v/>
      </c>
      <c r="AL318" s="163" t="str">
        <f t="array" aca="1" ref="AL318" ca="1">IFERROR(INDEX(HydrogenELT2019!$F$6:$J$17,MATCH(TS_TTech!$C318&amp;TS_TTech!$B318,HydrogenELT2019!$A$6:$A$17&amp;HydrogenELT2019!$B$6:$B$17,0),MATCH(TS_TTech!AL$7,HydrogenELT2019!$F$5:$J$5,0)),"")</f>
        <v/>
      </c>
      <c r="AM318" s="163" t="str">
        <f t="array" aca="1" ref="AM318" ca="1">IFERROR(INDEX(HydrogenELT2019!$F$6:$J$17,MATCH(TS_TTech!$C318&amp;TS_TTech!$B318,HydrogenELT2019!$A$6:$A$17&amp;HydrogenELT2019!$B$6:$B$17,0),MATCH(TS_TTech!AM$7,HydrogenELT2019!$F$5:$J$5,0)),"")</f>
        <v/>
      </c>
      <c r="AN318" s="163" t="str">
        <f t="array" aca="1" ref="AN318" ca="1">IFERROR(INDEX(HydrogenELT2019!$F$6:$J$17,MATCH(TS_TTech!$C318&amp;TS_TTech!$B318,HydrogenELT2019!$A$6:$A$17&amp;HydrogenELT2019!$B$6:$B$17,0),MATCH(TS_TTech!AN$7,HydrogenELT2019!$F$5:$J$5,0)),"")</f>
        <v/>
      </c>
      <c r="AO318" s="163" t="str">
        <f t="array" aca="1" ref="AO318" ca="1">IFERROR(INDEX(HydrogenELT2019!$F$6:$J$17,MATCH(TS_TTech!$C318&amp;TS_TTech!$B318,HydrogenELT2019!$A$6:$A$17&amp;HydrogenELT2019!$B$6:$B$17,0),MATCH(TS_TTech!AO$7,HydrogenELT2019!$F$5:$J$5,0)),"")</f>
        <v/>
      </c>
      <c r="AP318" s="163" t="str">
        <f t="array" aca="1" ref="AP318" ca="1">IFERROR(INDEX(HydrogenELT2019!$F$6:$J$17,MATCH(TS_TTech!$C318&amp;TS_TTech!$B318,HydrogenELT2019!$A$6:$A$17&amp;HydrogenELT2019!$B$6:$B$17,0),MATCH(TS_TTech!AP$7,HydrogenELT2019!$F$5:$J$5,0)),"")</f>
        <v/>
      </c>
      <c r="AR318" s="163">
        <f t="shared" si="148"/>
        <v>27</v>
      </c>
      <c r="AS318" s="42">
        <f t="shared" si="154"/>
        <v>9</v>
      </c>
      <c r="AU318" s="42">
        <f ca="1">SUMIF(UPS!B$38:B$171,C318,UPS!BD$38:BD$171)</f>
        <v>131</v>
      </c>
    </row>
    <row r="319" spans="1:51">
      <c r="B319" s="440" t="str">
        <f t="shared" si="149"/>
        <v>FLO_EMIS</v>
      </c>
      <c r="C319" s="440" t="str">
        <f ca="1">IF($A319="*","",OFFSET(ITEMS_UPS!$C$8,AR319,0))</f>
        <v>UELEA1HGN</v>
      </c>
      <c r="D319" s="440" t="str">
        <f>$D$19</f>
        <v>UPSCH4S</v>
      </c>
      <c r="E319" s="440" t="str">
        <f t="shared" ca="1" si="150"/>
        <v>UELEA1HGN-O</v>
      </c>
      <c r="F319" s="440" t="str">
        <f t="shared" si="151"/>
        <v>-</v>
      </c>
      <c r="G319" s="440" t="str">
        <f>IF($A319="*","",VLOOKUP("*#"&amp;$AS319,$A$10:$I$24,G$9+1,FALSE))</f>
        <v>ANNUAL</v>
      </c>
      <c r="H319" s="441" t="str">
        <f t="shared" si="155"/>
        <v>-</v>
      </c>
      <c r="I319" s="441">
        <f>IF($A319="*","",VLOOKUP("*#"&amp;$AS319,$A$10:$I$24,I$9+1,FALSE))</f>
        <v>0</v>
      </c>
      <c r="J319" s="163">
        <f ca="1">IF($A319="*","",OFFSET(UPS!$C$37,AU319+AV319,SUMIF($A$10:$A$20,"*#"&amp;AS319,$AV$10:$AV$20)))</f>
        <v>0</v>
      </c>
      <c r="K319" s="163" t="str">
        <f t="array" aca="1" ref="K319" ca="1">IFERROR(INDEX(HydrogenELT2019!$F$6:$J$17,MATCH(TS_TTech!$C319&amp;TS_TTech!$B319,HydrogenELT2019!$A$6:$A$17&amp;HydrogenELT2019!$B$6:$B$17,0),MATCH(TS_TTech!K$7,HydrogenELT2019!$F$5:$J$5,0)),"")</f>
        <v/>
      </c>
      <c r="L319" s="163" t="str">
        <f t="array" aca="1" ref="L319" ca="1">IFERROR(INDEX(HydrogenELT2019!$F$6:$J$17,MATCH(TS_TTech!$C319&amp;TS_TTech!$B319,HydrogenELT2019!$A$6:$A$17&amp;HydrogenELT2019!$B$6:$B$17,0),MATCH(TS_TTech!L$7,HydrogenELT2019!$F$5:$J$5,0)),"")</f>
        <v/>
      </c>
      <c r="M319" s="163" t="str">
        <f t="array" aca="1" ref="M319" ca="1">IFERROR(INDEX(HydrogenELT2019!$F$6:$J$17,MATCH(TS_TTech!$C319&amp;TS_TTech!$B319,HydrogenELT2019!$A$6:$A$17&amp;HydrogenELT2019!$B$6:$B$17,0),MATCH(TS_TTech!M$7,HydrogenELT2019!$F$5:$J$5,0)),"")</f>
        <v/>
      </c>
      <c r="N319" s="163" t="str">
        <f t="array" aca="1" ref="N319" ca="1">IFERROR(INDEX(HydrogenELT2019!$F$6:$J$17,MATCH(TS_TTech!$C319&amp;TS_TTech!$B319,HydrogenELT2019!$A$6:$A$17&amp;HydrogenELT2019!$B$6:$B$17,0),MATCH(TS_TTech!N$7,HydrogenELT2019!$F$5:$J$5,0)),"")</f>
        <v/>
      </c>
      <c r="O319" s="163" t="str">
        <f t="array" aca="1" ref="O319" ca="1">IFERROR(INDEX(HydrogenELT2019!$F$6:$J$17,MATCH(TS_TTech!$C319&amp;TS_TTech!$B319,HydrogenELT2019!$A$6:$A$17&amp;HydrogenELT2019!$B$6:$B$17,0),MATCH(TS_TTech!O$7,HydrogenELT2019!$F$5:$J$5,0)),"")</f>
        <v/>
      </c>
      <c r="P319" s="163" t="str">
        <f t="array" aca="1" ref="P319" ca="1">IFERROR(INDEX(HydrogenELT2019!$F$6:$J$17,MATCH(TS_TTech!$C319&amp;TS_TTech!$B319,HydrogenELT2019!$A$6:$A$17&amp;HydrogenELT2019!$B$6:$B$17,0),MATCH(TS_TTech!P$7,HydrogenELT2019!$F$5:$J$5,0)),"")</f>
        <v/>
      </c>
      <c r="Q319" s="163" t="str">
        <f t="array" aca="1" ref="Q319" ca="1">IFERROR(INDEX(HydrogenELT2019!$F$6:$J$17,MATCH(TS_TTech!$C319&amp;TS_TTech!$B319,HydrogenELT2019!$A$6:$A$17&amp;HydrogenELT2019!$B$6:$B$17,0),MATCH(TS_TTech!Q$7,HydrogenELT2019!$F$5:$J$5,0)),"")</f>
        <v/>
      </c>
      <c r="R319" s="163" t="str">
        <f t="array" aca="1" ref="R319" ca="1">IFERROR(INDEX(HydrogenELT2019!$F$6:$J$17,MATCH(TS_TTech!$C319&amp;TS_TTech!$B319,HydrogenELT2019!$A$6:$A$17&amp;HydrogenELT2019!$B$6:$B$17,0),MATCH(TS_TTech!R$7,HydrogenELT2019!$F$5:$J$5,0)),"")</f>
        <v/>
      </c>
      <c r="S319" s="163" t="str">
        <f t="array" aca="1" ref="S319" ca="1">IFERROR(INDEX(HydrogenELT2019!$F$6:$J$17,MATCH(TS_TTech!$C319&amp;TS_TTech!$B319,HydrogenELT2019!$A$6:$A$17&amp;HydrogenELT2019!$B$6:$B$17,0),MATCH(TS_TTech!S$7,HydrogenELT2019!$F$5:$J$5,0)),"")</f>
        <v/>
      </c>
      <c r="T319" s="163" t="str">
        <f t="array" aca="1" ref="T319" ca="1">IFERROR(INDEX(HydrogenELT2019!$F$6:$J$17,MATCH(TS_TTech!$C319&amp;TS_TTech!$B319,HydrogenELT2019!$A$6:$A$17&amp;HydrogenELT2019!$B$6:$B$17,0),MATCH(TS_TTech!T$7,HydrogenELT2019!$F$5:$J$5,0)),"")</f>
        <v/>
      </c>
      <c r="U319" s="163" t="str">
        <f t="array" aca="1" ref="U319" ca="1">IFERROR(INDEX(HydrogenELT2019!$F$6:$J$17,MATCH(TS_TTech!$C319&amp;TS_TTech!$B319,HydrogenELT2019!$A$6:$A$17&amp;HydrogenELT2019!$B$6:$B$17,0),MATCH(TS_TTech!U$7,HydrogenELT2019!$F$5:$J$5,0)),"")</f>
        <v/>
      </c>
      <c r="V319" s="163" t="str">
        <f t="array" aca="1" ref="V319" ca="1">IFERROR(INDEX(HydrogenELT2019!$F$6:$J$17,MATCH(TS_TTech!$C319&amp;TS_TTech!$B319,HydrogenELT2019!$A$6:$A$17&amp;HydrogenELT2019!$B$6:$B$17,0),MATCH(TS_TTech!V$7,HydrogenELT2019!$F$5:$J$5,0)),"")</f>
        <v/>
      </c>
      <c r="W319" s="163" t="str">
        <f t="array" aca="1" ref="W319" ca="1">IFERROR(INDEX(HydrogenELT2019!$F$6:$J$17,MATCH(TS_TTech!$C319&amp;TS_TTech!$B319,HydrogenELT2019!$A$6:$A$17&amp;HydrogenELT2019!$B$6:$B$17,0),MATCH(TS_TTech!W$7,HydrogenELT2019!$F$5:$J$5,0)),"")</f>
        <v/>
      </c>
      <c r="X319" s="163" t="str">
        <f t="array" aca="1" ref="X319" ca="1">IFERROR(INDEX(HydrogenELT2019!$F$6:$J$17,MATCH(TS_TTech!$C319&amp;TS_TTech!$B319,HydrogenELT2019!$A$6:$A$17&amp;HydrogenELT2019!$B$6:$B$17,0),MATCH(TS_TTech!X$7,HydrogenELT2019!$F$5:$J$5,0)),"")</f>
        <v/>
      </c>
      <c r="Y319" s="163" t="str">
        <f t="array" aca="1" ref="Y319" ca="1">IFERROR(INDEX(HydrogenELT2019!$F$6:$J$17,MATCH(TS_TTech!$C319&amp;TS_TTech!$B319,HydrogenELT2019!$A$6:$A$17&amp;HydrogenELT2019!$B$6:$B$17,0),MATCH(TS_TTech!Y$7,HydrogenELT2019!$F$5:$J$5,0)),"")</f>
        <v/>
      </c>
      <c r="Z319" s="163" t="str">
        <f t="array" aca="1" ref="Z319" ca="1">IFERROR(INDEX(HydrogenELT2019!$F$6:$J$17,MATCH(TS_TTech!$C319&amp;TS_TTech!$B319,HydrogenELT2019!$A$6:$A$17&amp;HydrogenELT2019!$B$6:$B$17,0),MATCH(TS_TTech!Z$7,HydrogenELT2019!$F$5:$J$5,0)),"")</f>
        <v/>
      </c>
      <c r="AA319" s="163" t="str">
        <f t="array" aca="1" ref="AA319" ca="1">IFERROR(INDEX(HydrogenELT2019!$F$6:$J$17,MATCH(TS_TTech!$C319&amp;TS_TTech!$B319,HydrogenELT2019!$A$6:$A$17&amp;HydrogenELT2019!$B$6:$B$17,0),MATCH(TS_TTech!AA$7,HydrogenELT2019!$F$5:$J$5,0)),"")</f>
        <v/>
      </c>
      <c r="AB319" s="163" t="str">
        <f t="array" aca="1" ref="AB319" ca="1">IFERROR(INDEX(HydrogenELT2019!$F$6:$J$17,MATCH(TS_TTech!$C319&amp;TS_TTech!$B319,HydrogenELT2019!$A$6:$A$17&amp;HydrogenELT2019!$B$6:$B$17,0),MATCH(TS_TTech!AB$7,HydrogenELT2019!$F$5:$J$5,0)),"")</f>
        <v/>
      </c>
      <c r="AC319" s="163" t="str">
        <f t="array" aca="1" ref="AC319" ca="1">IFERROR(INDEX(HydrogenELT2019!$F$6:$J$17,MATCH(TS_TTech!$C319&amp;TS_TTech!$B319,HydrogenELT2019!$A$6:$A$17&amp;HydrogenELT2019!$B$6:$B$17,0),MATCH(TS_TTech!AC$7,HydrogenELT2019!$F$5:$J$5,0)),"")</f>
        <v/>
      </c>
      <c r="AD319" s="163" t="str">
        <f t="array" aca="1" ref="AD319" ca="1">IFERROR(INDEX(HydrogenELT2019!$F$6:$J$17,MATCH(TS_TTech!$C319&amp;TS_TTech!$B319,HydrogenELT2019!$A$6:$A$17&amp;HydrogenELT2019!$B$6:$B$17,0),MATCH(TS_TTech!AD$7,HydrogenELT2019!$F$5:$J$5,0)),"")</f>
        <v/>
      </c>
      <c r="AE319" s="163" t="str">
        <f t="array" aca="1" ref="AE319" ca="1">IFERROR(INDEX(HydrogenELT2019!$F$6:$J$17,MATCH(TS_TTech!$C319&amp;TS_TTech!$B319,HydrogenELT2019!$A$6:$A$17&amp;HydrogenELT2019!$B$6:$B$17,0),MATCH(TS_TTech!AE$7,HydrogenELT2019!$F$5:$J$5,0)),"")</f>
        <v/>
      </c>
      <c r="AF319" s="163" t="str">
        <f t="array" aca="1" ref="AF319" ca="1">IFERROR(INDEX(HydrogenELT2019!$F$6:$J$17,MATCH(TS_TTech!$C319&amp;TS_TTech!$B319,HydrogenELT2019!$A$6:$A$17&amp;HydrogenELT2019!$B$6:$B$17,0),MATCH(TS_TTech!AF$7,HydrogenELT2019!$F$5:$J$5,0)),"")</f>
        <v/>
      </c>
      <c r="AG319" s="163" t="str">
        <f t="array" aca="1" ref="AG319" ca="1">IFERROR(INDEX(HydrogenELT2019!$F$6:$J$17,MATCH(TS_TTech!$C319&amp;TS_TTech!$B319,HydrogenELT2019!$A$6:$A$17&amp;HydrogenELT2019!$B$6:$B$17,0),MATCH(TS_TTech!AG$7,HydrogenELT2019!$F$5:$J$5,0)),"")</f>
        <v/>
      </c>
      <c r="AH319" s="163" t="str">
        <f t="array" aca="1" ref="AH319" ca="1">IFERROR(INDEX(HydrogenELT2019!$F$6:$J$17,MATCH(TS_TTech!$C319&amp;TS_TTech!$B319,HydrogenELT2019!$A$6:$A$17&amp;HydrogenELT2019!$B$6:$B$17,0),MATCH(TS_TTech!AH$7,HydrogenELT2019!$F$5:$J$5,0)),"")</f>
        <v/>
      </c>
      <c r="AI319" s="163" t="str">
        <f t="array" aca="1" ref="AI319" ca="1">IFERROR(INDEX(HydrogenELT2019!$F$6:$J$17,MATCH(TS_TTech!$C319&amp;TS_TTech!$B319,HydrogenELT2019!$A$6:$A$17&amp;HydrogenELT2019!$B$6:$B$17,0),MATCH(TS_TTech!AI$7,HydrogenELT2019!$F$5:$J$5,0)),"")</f>
        <v/>
      </c>
      <c r="AJ319" s="163" t="str">
        <f t="array" aca="1" ref="AJ319" ca="1">IFERROR(INDEX(HydrogenELT2019!$F$6:$J$17,MATCH(TS_TTech!$C319&amp;TS_TTech!$B319,HydrogenELT2019!$A$6:$A$17&amp;HydrogenELT2019!$B$6:$B$17,0),MATCH(TS_TTech!AJ$7,HydrogenELT2019!$F$5:$J$5,0)),"")</f>
        <v/>
      </c>
      <c r="AK319" s="163" t="str">
        <f t="array" aca="1" ref="AK319" ca="1">IFERROR(INDEX(HydrogenELT2019!$F$6:$J$17,MATCH(TS_TTech!$C319&amp;TS_TTech!$B319,HydrogenELT2019!$A$6:$A$17&amp;HydrogenELT2019!$B$6:$B$17,0),MATCH(TS_TTech!AK$7,HydrogenELT2019!$F$5:$J$5,0)),"")</f>
        <v/>
      </c>
      <c r="AL319" s="163" t="str">
        <f t="array" aca="1" ref="AL319" ca="1">IFERROR(INDEX(HydrogenELT2019!$F$6:$J$17,MATCH(TS_TTech!$C319&amp;TS_TTech!$B319,HydrogenELT2019!$A$6:$A$17&amp;HydrogenELT2019!$B$6:$B$17,0),MATCH(TS_TTech!AL$7,HydrogenELT2019!$F$5:$J$5,0)),"")</f>
        <v/>
      </c>
      <c r="AM319" s="163" t="str">
        <f t="array" aca="1" ref="AM319" ca="1">IFERROR(INDEX(HydrogenELT2019!$F$6:$J$17,MATCH(TS_TTech!$C319&amp;TS_TTech!$B319,HydrogenELT2019!$A$6:$A$17&amp;HydrogenELT2019!$B$6:$B$17,0),MATCH(TS_TTech!AM$7,HydrogenELT2019!$F$5:$J$5,0)),"")</f>
        <v/>
      </c>
      <c r="AN319" s="163" t="str">
        <f t="array" aca="1" ref="AN319" ca="1">IFERROR(INDEX(HydrogenELT2019!$F$6:$J$17,MATCH(TS_TTech!$C319&amp;TS_TTech!$B319,HydrogenELT2019!$A$6:$A$17&amp;HydrogenELT2019!$B$6:$B$17,0),MATCH(TS_TTech!AN$7,HydrogenELT2019!$F$5:$J$5,0)),"")</f>
        <v/>
      </c>
      <c r="AO319" s="163" t="str">
        <f t="array" aca="1" ref="AO319" ca="1">IFERROR(INDEX(HydrogenELT2019!$F$6:$J$17,MATCH(TS_TTech!$C319&amp;TS_TTech!$B319,HydrogenELT2019!$A$6:$A$17&amp;HydrogenELT2019!$B$6:$B$17,0),MATCH(TS_TTech!AO$7,HydrogenELT2019!$F$5:$J$5,0)),"")</f>
        <v/>
      </c>
      <c r="AP319" s="163" t="str">
        <f t="array" aca="1" ref="AP319" ca="1">IFERROR(INDEX(HydrogenELT2019!$F$6:$J$17,MATCH(TS_TTech!$C319&amp;TS_TTech!$B319,HydrogenELT2019!$A$6:$A$17&amp;HydrogenELT2019!$B$6:$B$17,0),MATCH(TS_TTech!AP$7,HydrogenELT2019!$F$5:$J$5,0)),"")</f>
        <v/>
      </c>
      <c r="AR319" s="163">
        <f t="shared" si="148"/>
        <v>27</v>
      </c>
      <c r="AS319" s="42">
        <f t="shared" si="154"/>
        <v>10</v>
      </c>
      <c r="AU319" s="42">
        <f ca="1">SUMIF(UPS!B$38:B$171,C319,UPS!BD$38:BD$171)</f>
        <v>131</v>
      </c>
    </row>
    <row r="320" spans="1:51">
      <c r="B320" s="440" t="str">
        <f t="shared" si="149"/>
        <v>PRC_RESID</v>
      </c>
      <c r="C320" s="440" t="str">
        <f ca="1">IF($A320="*","",OFFSET(ITEMS_UPS!$C$8,AR320,0))</f>
        <v>UELEA1HGN</v>
      </c>
      <c r="D320" s="440" t="str">
        <f ca="1">IF($A320="*","",IF(VLOOKUP("*#"&amp;$AS320,$A$10:$I$24,D$9+1,FALSE)="-","-",OFFSET(UPS!$C$37,AU320+AV320,SUMIF($A$10:$A$20,"*#"&amp;AS320,$AT$10:$AT$20))))</f>
        <v>-</v>
      </c>
      <c r="E320" s="440" t="str">
        <f t="shared" si="150"/>
        <v>-</v>
      </c>
      <c r="F320" s="440" t="str">
        <f t="shared" si="151"/>
        <v>-</v>
      </c>
      <c r="G320" s="440" t="str">
        <f>IF($A320="*","",VLOOKUP("*#"&amp;$AS320,$A$10:$I$24,G$9+1,FALSE))</f>
        <v>-</v>
      </c>
      <c r="H320" s="441" t="str">
        <f t="shared" si="155"/>
        <v>-</v>
      </c>
      <c r="I320" s="441">
        <f>IF($A320="*","",VLOOKUP("*#"&amp;$AS320,$A$10:$I$24,I$9+1,FALSE))</f>
        <v>0</v>
      </c>
      <c r="J320" s="163">
        <f ca="1">IF($A320="*","",OFFSET(UPS!$C$37,AU320+AV320,SUMIF($A$10:$A$20,"*#"&amp;AS320,$AV$10:$AV$20)))</f>
        <v>0</v>
      </c>
      <c r="K320" s="163" t="str">
        <f t="array" aca="1" ref="K320" ca="1">IFERROR(INDEX(HydrogenELT2019!$F$6:$J$17,MATCH(TS_TTech!$C320&amp;TS_TTech!$B320,HydrogenELT2019!$A$6:$A$17&amp;HydrogenELT2019!$B$6:$B$17,0),MATCH(TS_TTech!K$7,HydrogenELT2019!$F$5:$J$5,0)),"")</f>
        <v/>
      </c>
      <c r="L320" s="163" t="str">
        <f t="array" aca="1" ref="L320" ca="1">IFERROR(INDEX(HydrogenELT2019!$F$6:$J$17,MATCH(TS_TTech!$C320&amp;TS_TTech!$B320,HydrogenELT2019!$A$6:$A$17&amp;HydrogenELT2019!$B$6:$B$17,0),MATCH(TS_TTech!L$7,HydrogenELT2019!$F$5:$J$5,0)),"")</f>
        <v/>
      </c>
      <c r="M320" s="163" t="str">
        <f t="array" aca="1" ref="M320" ca="1">IFERROR(INDEX(HydrogenELT2019!$F$6:$J$17,MATCH(TS_TTech!$C320&amp;TS_TTech!$B320,HydrogenELT2019!$A$6:$A$17&amp;HydrogenELT2019!$B$6:$B$17,0),MATCH(TS_TTech!M$7,HydrogenELT2019!$F$5:$J$5,0)),"")</f>
        <v/>
      </c>
      <c r="N320" s="163" t="str">
        <f t="array" aca="1" ref="N320" ca="1">IFERROR(INDEX(HydrogenELT2019!$F$6:$J$17,MATCH(TS_TTech!$C320&amp;TS_TTech!$B320,HydrogenELT2019!$A$6:$A$17&amp;HydrogenELT2019!$B$6:$B$17,0),MATCH(TS_TTech!N$7,HydrogenELT2019!$F$5:$J$5,0)),"")</f>
        <v/>
      </c>
      <c r="O320" s="163" t="str">
        <f t="array" aca="1" ref="O320" ca="1">IFERROR(INDEX(HydrogenELT2019!$F$6:$J$17,MATCH(TS_TTech!$C320&amp;TS_TTech!$B320,HydrogenELT2019!$A$6:$A$17&amp;HydrogenELT2019!$B$6:$B$17,0),MATCH(TS_TTech!O$7,HydrogenELT2019!$F$5:$J$5,0)),"")</f>
        <v/>
      </c>
      <c r="P320" s="163" t="str">
        <f t="array" aca="1" ref="P320" ca="1">IFERROR(INDEX(HydrogenELT2019!$F$6:$J$17,MATCH(TS_TTech!$C320&amp;TS_TTech!$B320,HydrogenELT2019!$A$6:$A$17&amp;HydrogenELT2019!$B$6:$B$17,0),MATCH(TS_TTech!P$7,HydrogenELT2019!$F$5:$J$5,0)),"")</f>
        <v/>
      </c>
      <c r="Q320" s="163" t="str">
        <f t="array" aca="1" ref="Q320" ca="1">IFERROR(INDEX(HydrogenELT2019!$F$6:$J$17,MATCH(TS_TTech!$C320&amp;TS_TTech!$B320,HydrogenELT2019!$A$6:$A$17&amp;HydrogenELT2019!$B$6:$B$17,0),MATCH(TS_TTech!Q$7,HydrogenELT2019!$F$5:$J$5,0)),"")</f>
        <v/>
      </c>
      <c r="R320" s="163" t="str">
        <f t="array" aca="1" ref="R320" ca="1">IFERROR(INDEX(HydrogenELT2019!$F$6:$J$17,MATCH(TS_TTech!$C320&amp;TS_TTech!$B320,HydrogenELT2019!$A$6:$A$17&amp;HydrogenELT2019!$B$6:$B$17,0),MATCH(TS_TTech!R$7,HydrogenELT2019!$F$5:$J$5,0)),"")</f>
        <v/>
      </c>
      <c r="S320" s="163" t="str">
        <f t="array" aca="1" ref="S320" ca="1">IFERROR(INDEX(HydrogenELT2019!$F$6:$J$17,MATCH(TS_TTech!$C320&amp;TS_TTech!$B320,HydrogenELT2019!$A$6:$A$17&amp;HydrogenELT2019!$B$6:$B$17,0),MATCH(TS_TTech!S$7,HydrogenELT2019!$F$5:$J$5,0)),"")</f>
        <v/>
      </c>
      <c r="T320" s="163" t="str">
        <f t="array" aca="1" ref="T320" ca="1">IFERROR(INDEX(HydrogenELT2019!$F$6:$J$17,MATCH(TS_TTech!$C320&amp;TS_TTech!$B320,HydrogenELT2019!$A$6:$A$17&amp;HydrogenELT2019!$B$6:$B$17,0),MATCH(TS_TTech!T$7,HydrogenELT2019!$F$5:$J$5,0)),"")</f>
        <v/>
      </c>
      <c r="U320" s="163" t="str">
        <f t="array" aca="1" ref="U320" ca="1">IFERROR(INDEX(HydrogenELT2019!$F$6:$J$17,MATCH(TS_TTech!$C320&amp;TS_TTech!$B320,HydrogenELT2019!$A$6:$A$17&amp;HydrogenELT2019!$B$6:$B$17,0),MATCH(TS_TTech!U$7,HydrogenELT2019!$F$5:$J$5,0)),"")</f>
        <v/>
      </c>
      <c r="V320" s="163" t="str">
        <f t="array" aca="1" ref="V320" ca="1">IFERROR(INDEX(HydrogenELT2019!$F$6:$J$17,MATCH(TS_TTech!$C320&amp;TS_TTech!$B320,HydrogenELT2019!$A$6:$A$17&amp;HydrogenELT2019!$B$6:$B$17,0),MATCH(TS_TTech!V$7,HydrogenELT2019!$F$5:$J$5,0)),"")</f>
        <v/>
      </c>
      <c r="W320" s="163" t="str">
        <f t="array" aca="1" ref="W320" ca="1">IFERROR(INDEX(HydrogenELT2019!$F$6:$J$17,MATCH(TS_TTech!$C320&amp;TS_TTech!$B320,HydrogenELT2019!$A$6:$A$17&amp;HydrogenELT2019!$B$6:$B$17,0),MATCH(TS_TTech!W$7,HydrogenELT2019!$F$5:$J$5,0)),"")</f>
        <v/>
      </c>
      <c r="X320" s="163" t="str">
        <f t="array" aca="1" ref="X320" ca="1">IFERROR(INDEX(HydrogenELT2019!$F$6:$J$17,MATCH(TS_TTech!$C320&amp;TS_TTech!$B320,HydrogenELT2019!$A$6:$A$17&amp;HydrogenELT2019!$B$6:$B$17,0),MATCH(TS_TTech!X$7,HydrogenELT2019!$F$5:$J$5,0)),"")</f>
        <v/>
      </c>
      <c r="Y320" s="163" t="str">
        <f t="array" aca="1" ref="Y320" ca="1">IFERROR(INDEX(HydrogenELT2019!$F$6:$J$17,MATCH(TS_TTech!$C320&amp;TS_TTech!$B320,HydrogenELT2019!$A$6:$A$17&amp;HydrogenELT2019!$B$6:$B$17,0),MATCH(TS_TTech!Y$7,HydrogenELT2019!$F$5:$J$5,0)),"")</f>
        <v/>
      </c>
      <c r="Z320" s="163" t="str">
        <f t="array" aca="1" ref="Z320" ca="1">IFERROR(INDEX(HydrogenELT2019!$F$6:$J$17,MATCH(TS_TTech!$C320&amp;TS_TTech!$B320,HydrogenELT2019!$A$6:$A$17&amp;HydrogenELT2019!$B$6:$B$17,0),MATCH(TS_TTech!Z$7,HydrogenELT2019!$F$5:$J$5,0)),"")</f>
        <v/>
      </c>
      <c r="AA320" s="163" t="str">
        <f t="array" aca="1" ref="AA320" ca="1">IFERROR(INDEX(HydrogenELT2019!$F$6:$J$17,MATCH(TS_TTech!$C320&amp;TS_TTech!$B320,HydrogenELT2019!$A$6:$A$17&amp;HydrogenELT2019!$B$6:$B$17,0),MATCH(TS_TTech!AA$7,HydrogenELT2019!$F$5:$J$5,0)),"")</f>
        <v/>
      </c>
      <c r="AB320" s="163" t="str">
        <f t="array" aca="1" ref="AB320" ca="1">IFERROR(INDEX(HydrogenELT2019!$F$6:$J$17,MATCH(TS_TTech!$C320&amp;TS_TTech!$B320,HydrogenELT2019!$A$6:$A$17&amp;HydrogenELT2019!$B$6:$B$17,0),MATCH(TS_TTech!AB$7,HydrogenELT2019!$F$5:$J$5,0)),"")</f>
        <v/>
      </c>
      <c r="AC320" s="163" t="str">
        <f t="array" aca="1" ref="AC320" ca="1">IFERROR(INDEX(HydrogenELT2019!$F$6:$J$17,MATCH(TS_TTech!$C320&amp;TS_TTech!$B320,HydrogenELT2019!$A$6:$A$17&amp;HydrogenELT2019!$B$6:$B$17,0),MATCH(TS_TTech!AC$7,HydrogenELT2019!$F$5:$J$5,0)),"")</f>
        <v/>
      </c>
      <c r="AD320" s="163" t="str">
        <f t="array" aca="1" ref="AD320" ca="1">IFERROR(INDEX(HydrogenELT2019!$F$6:$J$17,MATCH(TS_TTech!$C320&amp;TS_TTech!$B320,HydrogenELT2019!$A$6:$A$17&amp;HydrogenELT2019!$B$6:$B$17,0),MATCH(TS_TTech!AD$7,HydrogenELT2019!$F$5:$J$5,0)),"")</f>
        <v/>
      </c>
      <c r="AE320" s="163" t="str">
        <f t="array" aca="1" ref="AE320" ca="1">IFERROR(INDEX(HydrogenELT2019!$F$6:$J$17,MATCH(TS_TTech!$C320&amp;TS_TTech!$B320,HydrogenELT2019!$A$6:$A$17&amp;HydrogenELT2019!$B$6:$B$17,0),MATCH(TS_TTech!AE$7,HydrogenELT2019!$F$5:$J$5,0)),"")</f>
        <v/>
      </c>
      <c r="AF320" s="163" t="str">
        <f t="array" aca="1" ref="AF320" ca="1">IFERROR(INDEX(HydrogenELT2019!$F$6:$J$17,MATCH(TS_TTech!$C320&amp;TS_TTech!$B320,HydrogenELT2019!$A$6:$A$17&amp;HydrogenELT2019!$B$6:$B$17,0),MATCH(TS_TTech!AF$7,HydrogenELT2019!$F$5:$J$5,0)),"")</f>
        <v/>
      </c>
      <c r="AG320" s="163" t="str">
        <f t="array" aca="1" ref="AG320" ca="1">IFERROR(INDEX(HydrogenELT2019!$F$6:$J$17,MATCH(TS_TTech!$C320&amp;TS_TTech!$B320,HydrogenELT2019!$A$6:$A$17&amp;HydrogenELT2019!$B$6:$B$17,0),MATCH(TS_TTech!AG$7,HydrogenELT2019!$F$5:$J$5,0)),"")</f>
        <v/>
      </c>
      <c r="AH320" s="163" t="str">
        <f t="array" aca="1" ref="AH320" ca="1">IFERROR(INDEX(HydrogenELT2019!$F$6:$J$17,MATCH(TS_TTech!$C320&amp;TS_TTech!$B320,HydrogenELT2019!$A$6:$A$17&amp;HydrogenELT2019!$B$6:$B$17,0),MATCH(TS_TTech!AH$7,HydrogenELT2019!$F$5:$J$5,0)),"")</f>
        <v/>
      </c>
      <c r="AI320" s="163" t="str">
        <f t="array" aca="1" ref="AI320" ca="1">IFERROR(INDEX(HydrogenELT2019!$F$6:$J$17,MATCH(TS_TTech!$C320&amp;TS_TTech!$B320,HydrogenELT2019!$A$6:$A$17&amp;HydrogenELT2019!$B$6:$B$17,0),MATCH(TS_TTech!AI$7,HydrogenELT2019!$F$5:$J$5,0)),"")</f>
        <v/>
      </c>
      <c r="AJ320" s="163" t="str">
        <f t="array" aca="1" ref="AJ320" ca="1">IFERROR(INDEX(HydrogenELT2019!$F$6:$J$17,MATCH(TS_TTech!$C320&amp;TS_TTech!$B320,HydrogenELT2019!$A$6:$A$17&amp;HydrogenELT2019!$B$6:$B$17,0),MATCH(TS_TTech!AJ$7,HydrogenELT2019!$F$5:$J$5,0)),"")</f>
        <v/>
      </c>
      <c r="AK320" s="163" t="str">
        <f t="array" aca="1" ref="AK320" ca="1">IFERROR(INDEX(HydrogenELT2019!$F$6:$J$17,MATCH(TS_TTech!$C320&amp;TS_TTech!$B320,HydrogenELT2019!$A$6:$A$17&amp;HydrogenELT2019!$B$6:$B$17,0),MATCH(TS_TTech!AK$7,HydrogenELT2019!$F$5:$J$5,0)),"")</f>
        <v/>
      </c>
      <c r="AL320" s="163" t="str">
        <f t="array" aca="1" ref="AL320" ca="1">IFERROR(INDEX(HydrogenELT2019!$F$6:$J$17,MATCH(TS_TTech!$C320&amp;TS_TTech!$B320,HydrogenELT2019!$A$6:$A$17&amp;HydrogenELT2019!$B$6:$B$17,0),MATCH(TS_TTech!AL$7,HydrogenELT2019!$F$5:$J$5,0)),"")</f>
        <v/>
      </c>
      <c r="AM320" s="163" t="str">
        <f t="array" aca="1" ref="AM320" ca="1">IFERROR(INDEX(HydrogenELT2019!$F$6:$J$17,MATCH(TS_TTech!$C320&amp;TS_TTech!$B320,HydrogenELT2019!$A$6:$A$17&amp;HydrogenELT2019!$B$6:$B$17,0),MATCH(TS_TTech!AM$7,HydrogenELT2019!$F$5:$J$5,0)),"")</f>
        <v/>
      </c>
      <c r="AN320" s="163" t="str">
        <f t="array" aca="1" ref="AN320" ca="1">IFERROR(INDEX(HydrogenELT2019!$F$6:$J$17,MATCH(TS_TTech!$C320&amp;TS_TTech!$B320,HydrogenELT2019!$A$6:$A$17&amp;HydrogenELT2019!$B$6:$B$17,0),MATCH(TS_TTech!AN$7,HydrogenELT2019!$F$5:$J$5,0)),"")</f>
        <v/>
      </c>
      <c r="AO320" s="163" t="str">
        <f t="array" aca="1" ref="AO320" ca="1">IFERROR(INDEX(HydrogenELT2019!$F$6:$J$17,MATCH(TS_TTech!$C320&amp;TS_TTech!$B320,HydrogenELT2019!$A$6:$A$17&amp;HydrogenELT2019!$B$6:$B$17,0),MATCH(TS_TTech!AO$7,HydrogenELT2019!$F$5:$J$5,0)),"")</f>
        <v/>
      </c>
      <c r="AP320" s="163" t="str">
        <f t="array" aca="1" ref="AP320" ca="1">IFERROR(INDEX(HydrogenELT2019!$F$6:$J$17,MATCH(TS_TTech!$C320&amp;TS_TTech!$B320,HydrogenELT2019!$A$6:$A$17&amp;HydrogenELT2019!$B$6:$B$17,0),MATCH(TS_TTech!AP$7,HydrogenELT2019!$F$5:$J$5,0)),"")</f>
        <v/>
      </c>
      <c r="AR320" s="163">
        <f t="shared" si="148"/>
        <v>27</v>
      </c>
      <c r="AS320" s="42">
        <f t="shared" si="154"/>
        <v>11</v>
      </c>
      <c r="AU320" s="42">
        <f ca="1">SUMIF(UPS!B$38:B$171,C320,UPS!BD$38:BD$171)</f>
        <v>131</v>
      </c>
    </row>
    <row r="321" spans="1:47">
      <c r="B321" s="440" t="str">
        <f t="shared" si="149"/>
        <v>NCAP_COST</v>
      </c>
      <c r="C321" s="440" t="str">
        <f ca="1">IF($A321="*","",OFFSET(ITEMS_UPS!$C$8,AR321,0))</f>
        <v>UELEA1HGN</v>
      </c>
      <c r="D321" s="440" t="str">
        <f ca="1">IF($A321="*","",IF(VLOOKUP("*#"&amp;$AS321,$A$10:$I$24,D$9+1,FALSE)="-","-",OFFSET(UPS!$C$37,AU321+AV321,SUMIF($A$10:$A$20,"*#"&amp;AS321,$AT$10:$AT$20))))</f>
        <v>-</v>
      </c>
      <c r="E321" s="440" t="str">
        <f t="shared" si="150"/>
        <v>-</v>
      </c>
      <c r="F321" s="440" t="str">
        <f t="shared" si="151"/>
        <v>-</v>
      </c>
      <c r="G321" s="440" t="str">
        <f>IF($A321="*","",VLOOKUP("*#"&amp;$AS321,$A$10:$I$24,G$9+1,FALSE))</f>
        <v>-</v>
      </c>
      <c r="H321" s="441" t="str">
        <f t="shared" si="155"/>
        <v>-</v>
      </c>
      <c r="I321" s="441">
        <f>IF($A321="*","",VLOOKUP("*#"&amp;$AS321,$A$10:$I$24,I$9+1,FALSE))</f>
        <v>0</v>
      </c>
      <c r="J321" s="163">
        <f ca="1">IF($A321="*","",OFFSET(UPS!$C$37,AU321,SUMIF($A$10:$A$24,"*#"&amp;AS321,$AT$10:$AT$24)))</f>
        <v>408.07038188182429</v>
      </c>
      <c r="K321" s="163" t="str">
        <f t="array" aca="1" ref="K321" ca="1">IFERROR(INDEX(HydrogenELT2019!$F$6:$J$17,MATCH(TS_TTech!$C321&amp;TS_TTech!$B321,HydrogenELT2019!$A$6:$A$17&amp;HydrogenELT2019!$B$6:$B$17,0),MATCH(TS_TTech!K$7,HydrogenELT2019!$F$5:$J$5,0)),"")</f>
        <v/>
      </c>
      <c r="L321" s="163" t="str">
        <f t="array" aca="1" ref="L321" ca="1">IFERROR(INDEX(HydrogenELT2019!$F$6:$J$17,MATCH(TS_TTech!$C321&amp;TS_TTech!$B321,HydrogenELT2019!$A$6:$A$17&amp;HydrogenELT2019!$B$6:$B$17,0),MATCH(TS_TTech!L$7,HydrogenELT2019!$F$5:$J$5,0)),"")</f>
        <v/>
      </c>
      <c r="M321" s="163" t="str">
        <f t="array" aca="1" ref="M321" ca="1">IFERROR(INDEX(HydrogenELT2019!$F$6:$J$17,MATCH(TS_TTech!$C321&amp;TS_TTech!$B321,HydrogenELT2019!$A$6:$A$17&amp;HydrogenELT2019!$B$6:$B$17,0),MATCH(TS_TTech!M$7,HydrogenELT2019!$F$5:$J$5,0)),"")</f>
        <v/>
      </c>
      <c r="N321" s="163" t="str">
        <f t="array" aca="1" ref="N321" ca="1">IFERROR(INDEX(HydrogenELT2019!$F$6:$J$17,MATCH(TS_TTech!$C321&amp;TS_TTech!$B321,HydrogenELT2019!$A$6:$A$17&amp;HydrogenELT2019!$B$6:$B$17,0),MATCH(TS_TTech!N$7,HydrogenELT2019!$F$5:$J$5,0)),"")</f>
        <v/>
      </c>
      <c r="O321" s="163" t="str">
        <f t="array" aca="1" ref="O321" ca="1">IFERROR(INDEX(HydrogenELT2019!$F$6:$J$17,MATCH(TS_TTech!$C321&amp;TS_TTech!$B321,HydrogenELT2019!$A$6:$A$17&amp;HydrogenELT2019!$B$6:$B$17,0),MATCH(TS_TTech!O$7,HydrogenELT2019!$F$5:$J$5,0)),"")</f>
        <v/>
      </c>
      <c r="P321" s="163" t="str">
        <f t="array" aca="1" ref="P321" ca="1">IFERROR(INDEX(HydrogenELT2019!$F$6:$J$17,MATCH(TS_TTech!$C321&amp;TS_TTech!$B321,HydrogenELT2019!$A$6:$A$17&amp;HydrogenELT2019!$B$6:$B$17,0),MATCH(TS_TTech!P$7,HydrogenELT2019!$F$5:$J$5,0)),"")</f>
        <v/>
      </c>
      <c r="Q321" s="163" t="str">
        <f t="array" aca="1" ref="Q321" ca="1">IFERROR(INDEX(HydrogenELT2019!$F$6:$J$17,MATCH(TS_TTech!$C321&amp;TS_TTech!$B321,HydrogenELT2019!$A$6:$A$17&amp;HydrogenELT2019!$B$6:$B$17,0),MATCH(TS_TTech!Q$7,HydrogenELT2019!$F$5:$J$5,0)),"")</f>
        <v/>
      </c>
      <c r="R321" s="163">
        <f t="array" aca="1" ref="R321" ca="1">IFERROR(INDEX(HydrogenELT2019!$F$6:$J$17,MATCH(TS_TTech!$C321&amp;TS_TTech!$B321,HydrogenELT2019!$A$6:$A$17&amp;HydrogenELT2019!$B$6:$B$17,0),MATCH(TS_TTech!R$7,HydrogenELT2019!$F$5:$J$5,0)),"")</f>
        <v>408.07038188182429</v>
      </c>
      <c r="S321" s="163" t="str">
        <f t="array" aca="1" ref="S321" ca="1">IFERROR(INDEX(HydrogenELT2019!$F$6:$J$17,MATCH(TS_TTech!$C321&amp;TS_TTech!$B321,HydrogenELT2019!$A$6:$A$17&amp;HydrogenELT2019!$B$6:$B$17,0),MATCH(TS_TTech!S$7,HydrogenELT2019!$F$5:$J$5,0)),"")</f>
        <v/>
      </c>
      <c r="T321" s="163" t="str">
        <f t="array" aca="1" ref="T321" ca="1">IFERROR(INDEX(HydrogenELT2019!$F$6:$J$17,MATCH(TS_TTech!$C321&amp;TS_TTech!$B321,HydrogenELT2019!$A$6:$A$17&amp;HydrogenELT2019!$B$6:$B$17,0),MATCH(TS_TTech!T$7,HydrogenELT2019!$F$5:$J$5,0)),"")</f>
        <v/>
      </c>
      <c r="U321" s="163" t="str">
        <f t="array" aca="1" ref="U321" ca="1">IFERROR(INDEX(HydrogenELT2019!$F$6:$J$17,MATCH(TS_TTech!$C321&amp;TS_TTech!$B321,HydrogenELT2019!$A$6:$A$17&amp;HydrogenELT2019!$B$6:$B$17,0),MATCH(TS_TTech!U$7,HydrogenELT2019!$F$5:$J$5,0)),"")</f>
        <v/>
      </c>
      <c r="V321" s="163" t="str">
        <f t="array" aca="1" ref="V321" ca="1">IFERROR(INDEX(HydrogenELT2019!$F$6:$J$17,MATCH(TS_TTech!$C321&amp;TS_TTech!$B321,HydrogenELT2019!$A$6:$A$17&amp;HydrogenELT2019!$B$6:$B$17,0),MATCH(TS_TTech!V$7,HydrogenELT2019!$F$5:$J$5,0)),"")</f>
        <v/>
      </c>
      <c r="W321" s="163" t="str">
        <f t="array" aca="1" ref="W321" ca="1">IFERROR(INDEX(HydrogenELT2019!$F$6:$J$17,MATCH(TS_TTech!$C321&amp;TS_TTech!$B321,HydrogenELT2019!$A$6:$A$17&amp;HydrogenELT2019!$B$6:$B$17,0),MATCH(TS_TTech!W$7,HydrogenELT2019!$F$5:$J$5,0)),"")</f>
        <v/>
      </c>
      <c r="X321" s="163" t="str">
        <f t="array" aca="1" ref="X321" ca="1">IFERROR(INDEX(HydrogenELT2019!$F$6:$J$17,MATCH(TS_TTech!$C321&amp;TS_TTech!$B321,HydrogenELT2019!$A$6:$A$17&amp;HydrogenELT2019!$B$6:$B$17,0),MATCH(TS_TTech!X$7,HydrogenELT2019!$F$5:$J$5,0)),"")</f>
        <v/>
      </c>
      <c r="Y321" s="163" t="str">
        <f t="array" aca="1" ref="Y321" ca="1">IFERROR(INDEX(HydrogenELT2019!$F$6:$J$17,MATCH(TS_TTech!$C321&amp;TS_TTech!$B321,HydrogenELT2019!$A$6:$A$17&amp;HydrogenELT2019!$B$6:$B$17,0),MATCH(TS_TTech!Y$7,HydrogenELT2019!$F$5:$J$5,0)),"")</f>
        <v/>
      </c>
      <c r="Z321" s="163" t="str">
        <f t="array" aca="1" ref="Z321" ca="1">IFERROR(INDEX(HydrogenELT2019!$F$6:$J$17,MATCH(TS_TTech!$C321&amp;TS_TTech!$B321,HydrogenELT2019!$A$6:$A$17&amp;HydrogenELT2019!$B$6:$B$17,0),MATCH(TS_TTech!Z$7,HydrogenELT2019!$F$5:$J$5,0)),"")</f>
        <v/>
      </c>
      <c r="AA321" s="163" t="str">
        <f t="array" aca="1" ref="AA321" ca="1">IFERROR(INDEX(HydrogenELT2019!$F$6:$J$17,MATCH(TS_TTech!$C321&amp;TS_TTech!$B321,HydrogenELT2019!$A$6:$A$17&amp;HydrogenELT2019!$B$6:$B$17,0),MATCH(TS_TTech!AA$7,HydrogenELT2019!$F$5:$J$5,0)),"")</f>
        <v/>
      </c>
      <c r="AB321" s="163">
        <f t="array" aca="1" ref="AB321" ca="1">IFERROR(INDEX(HydrogenELT2019!$F$6:$J$17,MATCH(TS_TTech!$C321&amp;TS_TTech!$B321,HydrogenELT2019!$A$6:$A$17&amp;HydrogenELT2019!$B$6:$B$17,0),MATCH(TS_TTech!AB$7,HydrogenELT2019!$F$5:$J$5,0)),"")</f>
        <v>300.68343928134419</v>
      </c>
      <c r="AC321" s="163" t="str">
        <f t="array" aca="1" ref="AC321" ca="1">IFERROR(INDEX(HydrogenELT2019!$F$6:$J$17,MATCH(TS_TTech!$C321&amp;TS_TTech!$B321,HydrogenELT2019!$A$6:$A$17&amp;HydrogenELT2019!$B$6:$B$17,0),MATCH(TS_TTech!AC$7,HydrogenELT2019!$F$5:$J$5,0)),"")</f>
        <v/>
      </c>
      <c r="AD321" s="163" t="str">
        <f t="array" aca="1" ref="AD321" ca="1">IFERROR(INDEX(HydrogenELT2019!$F$6:$J$17,MATCH(TS_TTech!$C321&amp;TS_TTech!$B321,HydrogenELT2019!$A$6:$A$17&amp;HydrogenELT2019!$B$6:$B$17,0),MATCH(TS_TTech!AD$7,HydrogenELT2019!$F$5:$J$5,0)),"")</f>
        <v/>
      </c>
      <c r="AE321" s="163" t="str">
        <f t="array" aca="1" ref="AE321" ca="1">IFERROR(INDEX(HydrogenELT2019!$F$6:$J$17,MATCH(TS_TTech!$C321&amp;TS_TTech!$B321,HydrogenELT2019!$A$6:$A$17&amp;HydrogenELT2019!$B$6:$B$17,0),MATCH(TS_TTech!AE$7,HydrogenELT2019!$F$5:$J$5,0)),"")</f>
        <v/>
      </c>
      <c r="AF321" s="163" t="str">
        <f t="array" aca="1" ref="AF321" ca="1">IFERROR(INDEX(HydrogenELT2019!$F$6:$J$17,MATCH(TS_TTech!$C321&amp;TS_TTech!$B321,HydrogenELT2019!$A$6:$A$17&amp;HydrogenELT2019!$B$6:$B$17,0),MATCH(TS_TTech!AF$7,HydrogenELT2019!$F$5:$J$5,0)),"")</f>
        <v/>
      </c>
      <c r="AG321" s="163">
        <f t="array" aca="1" ref="AG321" ca="1">IFERROR(INDEX(HydrogenELT2019!$F$6:$J$17,MATCH(TS_TTech!$C321&amp;TS_TTech!$B321,HydrogenELT2019!$A$6:$A$17&amp;HydrogenELT2019!$B$6:$B$17,0),MATCH(TS_TTech!AG$7,HydrogenELT2019!$F$5:$J$5,0)),"")</f>
        <v>193.29649668086412</v>
      </c>
      <c r="AH321" s="163" t="str">
        <f t="array" aca="1" ref="AH321" ca="1">IFERROR(INDEX(HydrogenELT2019!$F$6:$J$17,MATCH(TS_TTech!$C321&amp;TS_TTech!$B321,HydrogenELT2019!$A$6:$A$17&amp;HydrogenELT2019!$B$6:$B$17,0),MATCH(TS_TTech!AH$7,HydrogenELT2019!$F$5:$J$5,0)),"")</f>
        <v/>
      </c>
      <c r="AI321" s="163" t="str">
        <f t="array" aca="1" ref="AI321" ca="1">IFERROR(INDEX(HydrogenELT2019!$F$6:$J$17,MATCH(TS_TTech!$C321&amp;TS_TTech!$B321,HydrogenELT2019!$A$6:$A$17&amp;HydrogenELT2019!$B$6:$B$17,0),MATCH(TS_TTech!AI$7,HydrogenELT2019!$F$5:$J$5,0)),"")</f>
        <v/>
      </c>
      <c r="AJ321" s="163" t="str">
        <f t="array" aca="1" ref="AJ321" ca="1">IFERROR(INDEX(HydrogenELT2019!$F$6:$J$17,MATCH(TS_TTech!$C321&amp;TS_TTech!$B321,HydrogenELT2019!$A$6:$A$17&amp;HydrogenELT2019!$B$6:$B$17,0),MATCH(TS_TTech!AJ$7,HydrogenELT2019!$F$5:$J$5,0)),"")</f>
        <v/>
      </c>
      <c r="AK321" s="163" t="str">
        <f t="array" aca="1" ref="AK321" ca="1">IFERROR(INDEX(HydrogenELT2019!$F$6:$J$17,MATCH(TS_TTech!$C321&amp;TS_TTech!$B321,HydrogenELT2019!$A$6:$A$17&amp;HydrogenELT2019!$B$6:$B$17,0),MATCH(TS_TTech!AK$7,HydrogenELT2019!$F$5:$J$5,0)),"")</f>
        <v/>
      </c>
      <c r="AL321" s="163">
        <f t="array" aca="1" ref="AL321" ca="1">IFERROR(INDEX(HydrogenELT2019!$F$6:$J$17,MATCH(TS_TTech!$C321&amp;TS_TTech!$B321,HydrogenELT2019!$A$6:$A$17&amp;HydrogenELT2019!$B$6:$B$17,0),MATCH(TS_TTech!AL$7,HydrogenELT2019!$F$5:$J$5,0)),"")</f>
        <v>154.0130681056458</v>
      </c>
      <c r="AM321" s="163" t="str">
        <f t="array" aca="1" ref="AM321" ca="1">IFERROR(INDEX(HydrogenELT2019!$F$6:$J$17,MATCH(TS_TTech!$C321&amp;TS_TTech!$B321,HydrogenELT2019!$A$6:$A$17&amp;HydrogenELT2019!$B$6:$B$17,0),MATCH(TS_TTech!AM$7,HydrogenELT2019!$F$5:$J$5,0)),"")</f>
        <v/>
      </c>
      <c r="AN321" s="163">
        <f t="array" aca="1" ref="AN321" ca="1">IFERROR(INDEX(HydrogenELT2019!$F$6:$J$17,MATCH(TS_TTech!$C321&amp;TS_TTech!$B321,HydrogenELT2019!$A$6:$A$17&amp;HydrogenELT2019!$B$6:$B$17,0),MATCH(TS_TTech!AN$7,HydrogenELT2019!$F$5:$J$5,0)),"")</f>
        <v>114.72963953042742</v>
      </c>
      <c r="AO321" s="163" t="str">
        <f t="array" aca="1" ref="AO321" ca="1">IFERROR(INDEX(HydrogenELT2019!$F$6:$J$17,MATCH(TS_TTech!$C321&amp;TS_TTech!$B321,HydrogenELT2019!$A$6:$A$17&amp;HydrogenELT2019!$B$6:$B$17,0),MATCH(TS_TTech!AO$7,HydrogenELT2019!$F$5:$J$5,0)),"")</f>
        <v/>
      </c>
      <c r="AP321" s="163" t="str">
        <f t="array" aca="1" ref="AP321" ca="1">IFERROR(INDEX(HydrogenELT2019!$F$6:$J$17,MATCH(TS_TTech!$C321&amp;TS_TTech!$B321,HydrogenELT2019!$A$6:$A$17&amp;HydrogenELT2019!$B$6:$B$17,0),MATCH(TS_TTech!AP$7,HydrogenELT2019!$F$5:$J$5,0)),"")</f>
        <v/>
      </c>
      <c r="AR321" s="163">
        <f t="shared" si="148"/>
        <v>27</v>
      </c>
      <c r="AS321" s="42">
        <f t="shared" si="154"/>
        <v>12</v>
      </c>
      <c r="AU321" s="42">
        <f ca="1">SUMIF(UPS!B$38:B$171,C321,UPS!BD$38:BD$171)</f>
        <v>131</v>
      </c>
    </row>
    <row r="322" spans="1:47">
      <c r="B322" s="440" t="str">
        <f t="shared" ref="B322:B323" si="156">IF(A322="*","",VLOOKUP("*#"&amp;AS322,$A$9:$B$24,2,FALSE))</f>
        <v>NCAP_TLIFE</v>
      </c>
      <c r="C322" s="440" t="str">
        <f ca="1">IF($A322="*","",OFFSET(ITEMS_UPS!$C$8,AR322,0))</f>
        <v>UELEA1HGN</v>
      </c>
      <c r="D322" s="440" t="str">
        <f ca="1">IF($A322="*","",IF(VLOOKUP("*#"&amp;$AS322,$A$10:$I$24,D$9+1,FALSE)="-","-",OFFSET(UPS!$C$37,AU322+AV322,SUMIF($A$10:$A$20,"*#"&amp;AS322,$AT$10:$AT$20))))</f>
        <v>-</v>
      </c>
      <c r="E322" s="440" t="str">
        <f t="shared" ref="E322:E323" si="157">IF($A322="*","",IF(VLOOKUP("*#"&amp;$AS322,$A$10:$I$24,E$9+1,FALSE)="-","-",C322&amp;"-"&amp;RIGHT(VLOOKUP("*#"&amp;$AS322,$A$10:$I$24,E$9+1,FALSE),1)))</f>
        <v>-</v>
      </c>
      <c r="F322" s="440" t="str">
        <f t="shared" ref="F322:F323" si="158">IF($A322="*","",IF(VLOOKUP("*#"&amp;$AS322,$A$10:$I$24,F$9+1,FALSE)="-","-",C322&amp;"-"&amp;RIGHT(VLOOKUP("*#"&amp;$AS322,$A$10:$I$24,F$9+1,FALSE),1)))</f>
        <v>-</v>
      </c>
      <c r="G322" s="440" t="str">
        <f t="shared" ref="G322:I323" si="159">IF($A322="*","",VLOOKUP("*#"&amp;$AS322,$A$10:$I$24,G$9+1,FALSE))</f>
        <v>-</v>
      </c>
      <c r="H322" s="441" t="str">
        <f t="shared" si="159"/>
        <v>-</v>
      </c>
      <c r="I322" s="441">
        <f t="shared" si="159"/>
        <v>0</v>
      </c>
      <c r="J322" s="163">
        <f ca="1">IF($A322="*","",OFFSET(UPS!$C$37,AU322,SUMIF($A$10:$A$24,"*#"&amp;AS322,$AT$10:$AT$24)))</f>
        <v>9.512937595129376</v>
      </c>
      <c r="K322" s="163" t="str">
        <f t="array" aca="1" ref="K322" ca="1">IFERROR(INDEX(HydrogenELT2019!$F$6:$J$17,MATCH(TS_TTech!$C322&amp;TS_TTech!$B322,HydrogenELT2019!$A$6:$A$17&amp;HydrogenELT2019!$B$6:$B$17,0),MATCH(TS_TTech!K$7,HydrogenELT2019!$F$5:$J$5,0)),"")</f>
        <v/>
      </c>
      <c r="L322" s="163" t="str">
        <f t="array" aca="1" ref="L322" ca="1">IFERROR(INDEX(HydrogenELT2019!$F$6:$J$17,MATCH(TS_TTech!$C322&amp;TS_TTech!$B322,HydrogenELT2019!$A$6:$A$17&amp;HydrogenELT2019!$B$6:$B$17,0),MATCH(TS_TTech!L$7,HydrogenELT2019!$F$5:$J$5,0)),"")</f>
        <v/>
      </c>
      <c r="M322" s="163" t="str">
        <f t="array" aca="1" ref="M322" ca="1">IFERROR(INDEX(HydrogenELT2019!$F$6:$J$17,MATCH(TS_TTech!$C322&amp;TS_TTech!$B322,HydrogenELT2019!$A$6:$A$17&amp;HydrogenELT2019!$B$6:$B$17,0),MATCH(TS_TTech!M$7,HydrogenELT2019!$F$5:$J$5,0)),"")</f>
        <v/>
      </c>
      <c r="N322" s="163" t="str">
        <f t="array" aca="1" ref="N322" ca="1">IFERROR(INDEX(HydrogenELT2019!$F$6:$J$17,MATCH(TS_TTech!$C322&amp;TS_TTech!$B322,HydrogenELT2019!$A$6:$A$17&amp;HydrogenELT2019!$B$6:$B$17,0),MATCH(TS_TTech!N$7,HydrogenELT2019!$F$5:$J$5,0)),"")</f>
        <v/>
      </c>
      <c r="O322" s="163" t="str">
        <f t="array" aca="1" ref="O322" ca="1">IFERROR(INDEX(HydrogenELT2019!$F$6:$J$17,MATCH(TS_TTech!$C322&amp;TS_TTech!$B322,HydrogenELT2019!$A$6:$A$17&amp;HydrogenELT2019!$B$6:$B$17,0),MATCH(TS_TTech!O$7,HydrogenELT2019!$F$5:$J$5,0)),"")</f>
        <v/>
      </c>
      <c r="P322" s="163" t="str">
        <f t="array" aca="1" ref="P322" ca="1">IFERROR(INDEX(HydrogenELT2019!$F$6:$J$17,MATCH(TS_TTech!$C322&amp;TS_TTech!$B322,HydrogenELT2019!$A$6:$A$17&amp;HydrogenELT2019!$B$6:$B$17,0),MATCH(TS_TTech!P$7,HydrogenELT2019!$F$5:$J$5,0)),"")</f>
        <v/>
      </c>
      <c r="Q322" s="163" t="str">
        <f t="array" aca="1" ref="Q322" ca="1">IFERROR(INDEX(HydrogenELT2019!$F$6:$J$17,MATCH(TS_TTech!$C322&amp;TS_TTech!$B322,HydrogenELT2019!$A$6:$A$17&amp;HydrogenELT2019!$B$6:$B$17,0),MATCH(TS_TTech!Q$7,HydrogenELT2019!$F$5:$J$5,0)),"")</f>
        <v/>
      </c>
      <c r="R322" s="163">
        <f t="array" aca="1" ref="R322" ca="1">IFERROR(INDEX(HydrogenELT2019!$F$6:$J$17,MATCH(TS_TTech!$C322&amp;TS_TTech!$B322,HydrogenELT2019!$A$6:$A$17&amp;HydrogenELT2019!$B$6:$B$17,0),MATCH(TS_TTech!R$7,HydrogenELT2019!$F$5:$J$5,0)),"")</f>
        <v>9.512937595129376</v>
      </c>
      <c r="S322" s="163" t="str">
        <f t="array" aca="1" ref="S322" ca="1">IFERROR(INDEX(HydrogenELT2019!$F$6:$J$17,MATCH(TS_TTech!$C322&amp;TS_TTech!$B322,HydrogenELT2019!$A$6:$A$17&amp;HydrogenELT2019!$B$6:$B$17,0),MATCH(TS_TTech!S$7,HydrogenELT2019!$F$5:$J$5,0)),"")</f>
        <v/>
      </c>
      <c r="T322" s="163" t="str">
        <f t="array" aca="1" ref="T322" ca="1">IFERROR(INDEX(HydrogenELT2019!$F$6:$J$17,MATCH(TS_TTech!$C322&amp;TS_TTech!$B322,HydrogenELT2019!$A$6:$A$17&amp;HydrogenELT2019!$B$6:$B$17,0),MATCH(TS_TTech!T$7,HydrogenELT2019!$F$5:$J$5,0)),"")</f>
        <v/>
      </c>
      <c r="U322" s="163" t="str">
        <f t="array" aca="1" ref="U322" ca="1">IFERROR(INDEX(HydrogenELT2019!$F$6:$J$17,MATCH(TS_TTech!$C322&amp;TS_TTech!$B322,HydrogenELT2019!$A$6:$A$17&amp;HydrogenELT2019!$B$6:$B$17,0),MATCH(TS_TTech!U$7,HydrogenELT2019!$F$5:$J$5,0)),"")</f>
        <v/>
      </c>
      <c r="V322" s="163" t="str">
        <f t="array" aca="1" ref="V322" ca="1">IFERROR(INDEX(HydrogenELT2019!$F$6:$J$17,MATCH(TS_TTech!$C322&amp;TS_TTech!$B322,HydrogenELT2019!$A$6:$A$17&amp;HydrogenELT2019!$B$6:$B$17,0),MATCH(TS_TTech!V$7,HydrogenELT2019!$F$5:$J$5,0)),"")</f>
        <v/>
      </c>
      <c r="W322" s="163" t="str">
        <f t="array" aca="1" ref="W322" ca="1">IFERROR(INDEX(HydrogenELT2019!$F$6:$J$17,MATCH(TS_TTech!$C322&amp;TS_TTech!$B322,HydrogenELT2019!$A$6:$A$17&amp;HydrogenELT2019!$B$6:$B$17,0),MATCH(TS_TTech!W$7,HydrogenELT2019!$F$5:$J$5,0)),"")</f>
        <v/>
      </c>
      <c r="X322" s="163" t="str">
        <f t="array" aca="1" ref="X322" ca="1">IFERROR(INDEX(HydrogenELT2019!$F$6:$J$17,MATCH(TS_TTech!$C322&amp;TS_TTech!$B322,HydrogenELT2019!$A$6:$A$17&amp;HydrogenELT2019!$B$6:$B$17,0),MATCH(TS_TTech!X$7,HydrogenELT2019!$F$5:$J$5,0)),"")</f>
        <v/>
      </c>
      <c r="Y322" s="163" t="str">
        <f t="array" aca="1" ref="Y322" ca="1">IFERROR(INDEX(HydrogenELT2019!$F$6:$J$17,MATCH(TS_TTech!$C322&amp;TS_TTech!$B322,HydrogenELT2019!$A$6:$A$17&amp;HydrogenELT2019!$B$6:$B$17,0),MATCH(TS_TTech!Y$7,HydrogenELT2019!$F$5:$J$5,0)),"")</f>
        <v/>
      </c>
      <c r="Z322" s="163" t="str">
        <f t="array" aca="1" ref="Z322" ca="1">IFERROR(INDEX(HydrogenELT2019!$F$6:$J$17,MATCH(TS_TTech!$C322&amp;TS_TTech!$B322,HydrogenELT2019!$A$6:$A$17&amp;HydrogenELT2019!$B$6:$B$17,0),MATCH(TS_TTech!Z$7,HydrogenELT2019!$F$5:$J$5,0)),"")</f>
        <v/>
      </c>
      <c r="AA322" s="163" t="str">
        <f t="array" aca="1" ref="AA322" ca="1">IFERROR(INDEX(HydrogenELT2019!$F$6:$J$17,MATCH(TS_TTech!$C322&amp;TS_TTech!$B322,HydrogenELT2019!$A$6:$A$17&amp;HydrogenELT2019!$B$6:$B$17,0),MATCH(TS_TTech!AA$7,HydrogenELT2019!$F$5:$J$5,0)),"")</f>
        <v/>
      </c>
      <c r="AB322" s="163">
        <f t="array" aca="1" ref="AB322" ca="1">IFERROR(INDEX(HydrogenELT2019!$F$6:$J$17,MATCH(TS_TTech!$C322&amp;TS_TTech!$B322,HydrogenELT2019!$A$6:$A$17&amp;HydrogenELT2019!$B$6:$B$17,0),MATCH(TS_TTech!AB$7,HydrogenELT2019!$F$5:$J$5,0)),"")</f>
        <v>12.049720953830542</v>
      </c>
      <c r="AC322" s="163" t="str">
        <f t="array" aca="1" ref="AC322" ca="1">IFERROR(INDEX(HydrogenELT2019!$F$6:$J$17,MATCH(TS_TTech!$C322&amp;TS_TTech!$B322,HydrogenELT2019!$A$6:$A$17&amp;HydrogenELT2019!$B$6:$B$17,0),MATCH(TS_TTech!AC$7,HydrogenELT2019!$F$5:$J$5,0)),"")</f>
        <v/>
      </c>
      <c r="AD322" s="163" t="str">
        <f t="array" aca="1" ref="AD322" ca="1">IFERROR(INDEX(HydrogenELT2019!$F$6:$J$17,MATCH(TS_TTech!$C322&amp;TS_TTech!$B322,HydrogenELT2019!$A$6:$A$17&amp;HydrogenELT2019!$B$6:$B$17,0),MATCH(TS_TTech!AD$7,HydrogenELT2019!$F$5:$J$5,0)),"")</f>
        <v/>
      </c>
      <c r="AE322" s="163" t="str">
        <f t="array" aca="1" ref="AE322" ca="1">IFERROR(INDEX(HydrogenELT2019!$F$6:$J$17,MATCH(TS_TTech!$C322&amp;TS_TTech!$B322,HydrogenELT2019!$A$6:$A$17&amp;HydrogenELT2019!$B$6:$B$17,0),MATCH(TS_TTech!AE$7,HydrogenELT2019!$F$5:$J$5,0)),"")</f>
        <v/>
      </c>
      <c r="AF322" s="163" t="str">
        <f t="array" aca="1" ref="AF322" ca="1">IFERROR(INDEX(HydrogenELT2019!$F$6:$J$17,MATCH(TS_TTech!$C322&amp;TS_TTech!$B322,HydrogenELT2019!$A$6:$A$17&amp;HydrogenELT2019!$B$6:$B$17,0),MATCH(TS_TTech!AF$7,HydrogenELT2019!$F$5:$J$5,0)),"")</f>
        <v/>
      </c>
      <c r="AG322" s="163">
        <f t="array" aca="1" ref="AG322" ca="1">IFERROR(INDEX(HydrogenELT2019!$F$6:$J$17,MATCH(TS_TTech!$C322&amp;TS_TTech!$B322,HydrogenELT2019!$A$6:$A$17&amp;HydrogenELT2019!$B$6:$B$17,0),MATCH(TS_TTech!AG$7,HydrogenELT2019!$F$5:$J$5,0)),"")</f>
        <v>15.854895991882291</v>
      </c>
      <c r="AH322" s="163" t="str">
        <f t="array" aca="1" ref="AH322" ca="1">IFERROR(INDEX(HydrogenELT2019!$F$6:$J$17,MATCH(TS_TTech!$C322&amp;TS_TTech!$B322,HydrogenELT2019!$A$6:$A$17&amp;HydrogenELT2019!$B$6:$B$17,0),MATCH(TS_TTech!AH$7,HydrogenELT2019!$F$5:$J$5,0)),"")</f>
        <v/>
      </c>
      <c r="AI322" s="163" t="str">
        <f t="array" aca="1" ref="AI322" ca="1">IFERROR(INDEX(HydrogenELT2019!$F$6:$J$17,MATCH(TS_TTech!$C322&amp;TS_TTech!$B322,HydrogenELT2019!$A$6:$A$17&amp;HydrogenELT2019!$B$6:$B$17,0),MATCH(TS_TTech!AI$7,HydrogenELT2019!$F$5:$J$5,0)),"")</f>
        <v/>
      </c>
      <c r="AJ322" s="163" t="str">
        <f t="array" aca="1" ref="AJ322" ca="1">IFERROR(INDEX(HydrogenELT2019!$F$6:$J$17,MATCH(TS_TTech!$C322&amp;TS_TTech!$B322,HydrogenELT2019!$A$6:$A$17&amp;HydrogenELT2019!$B$6:$B$17,0),MATCH(TS_TTech!AJ$7,HydrogenELT2019!$F$5:$J$5,0)),"")</f>
        <v/>
      </c>
      <c r="AK322" s="163" t="str">
        <f t="array" aca="1" ref="AK322" ca="1">IFERROR(INDEX(HydrogenELT2019!$F$6:$J$17,MATCH(TS_TTech!$C322&amp;TS_TTech!$B322,HydrogenELT2019!$A$6:$A$17&amp;HydrogenELT2019!$B$6:$B$17,0),MATCH(TS_TTech!AK$7,HydrogenELT2019!$F$5:$J$5,0)),"")</f>
        <v/>
      </c>
      <c r="AL322" s="163">
        <f t="array" aca="1" ref="AL322" ca="1">IFERROR(INDEX(HydrogenELT2019!$F$6:$J$17,MATCH(TS_TTech!$C322&amp;TS_TTech!$B322,HydrogenELT2019!$A$6:$A$17&amp;HydrogenELT2019!$B$6:$B$17,0),MATCH(TS_TTech!AL$7,HydrogenELT2019!$F$5:$J$5,0)),"")</f>
        <v>15.854895991882291</v>
      </c>
      <c r="AM322" s="163" t="str">
        <f t="array" aca="1" ref="AM322" ca="1">IFERROR(INDEX(HydrogenELT2019!$F$6:$J$17,MATCH(TS_TTech!$C322&amp;TS_TTech!$B322,HydrogenELT2019!$A$6:$A$17&amp;HydrogenELT2019!$B$6:$B$17,0),MATCH(TS_TTech!AM$7,HydrogenELT2019!$F$5:$J$5,0)),"")</f>
        <v/>
      </c>
      <c r="AN322" s="163">
        <f t="array" aca="1" ref="AN322" ca="1">IFERROR(INDEX(HydrogenELT2019!$F$6:$J$17,MATCH(TS_TTech!$C322&amp;TS_TTech!$B322,HydrogenELT2019!$A$6:$A$17&amp;HydrogenELT2019!$B$6:$B$17,0),MATCH(TS_TTech!AN$7,HydrogenELT2019!$F$5:$J$5,0)),"")</f>
        <v>15.854895991882291</v>
      </c>
      <c r="AO322" s="163" t="str">
        <f t="array" aca="1" ref="AO322" ca="1">IFERROR(INDEX(HydrogenELT2019!$F$6:$J$17,MATCH(TS_TTech!$C322&amp;TS_TTech!$B322,HydrogenELT2019!$A$6:$A$17&amp;HydrogenELT2019!$B$6:$B$17,0),MATCH(TS_TTech!AO$7,HydrogenELT2019!$F$5:$J$5,0)),"")</f>
        <v/>
      </c>
      <c r="AP322" s="163" t="str">
        <f t="array" aca="1" ref="AP322" ca="1">IFERROR(INDEX(HydrogenELT2019!$F$6:$J$17,MATCH(TS_TTech!$C322&amp;TS_TTech!$B322,HydrogenELT2019!$A$6:$A$17&amp;HydrogenELT2019!$B$6:$B$17,0),MATCH(TS_TTech!AP$7,HydrogenELT2019!$F$5:$J$5,0)),"")</f>
        <v/>
      </c>
      <c r="AR322" s="163">
        <f t="shared" si="148"/>
        <v>27</v>
      </c>
      <c r="AS322" s="42">
        <f t="shared" si="154"/>
        <v>13</v>
      </c>
      <c r="AU322" s="42">
        <f ca="1">SUMIF(UPS!B$38:B$171,C322,UPS!BD$38:BD$171)</f>
        <v>131</v>
      </c>
    </row>
    <row r="323" spans="1:47">
      <c r="B323" s="440" t="str">
        <f t="shared" si="156"/>
        <v>NCAP_ILED</v>
      </c>
      <c r="C323" s="440" t="str">
        <f ca="1">IF($A323="*","",OFFSET(ITEMS_UPS!$C$8,AR323,0))</f>
        <v>UELEA1HGN</v>
      </c>
      <c r="D323" s="440" t="str">
        <f ca="1">IF($A323="*","",IF(VLOOKUP("*#"&amp;$AS323,$A$10:$I$24,D$9+1,FALSE)="-","-",OFFSET(UPS!$C$37,AU323+AV323,SUMIF($A$10:$A$20,"*#"&amp;AS323,$AT$10:$AT$20))))</f>
        <v>-</v>
      </c>
      <c r="E323" s="440" t="str">
        <f t="shared" si="157"/>
        <v>-</v>
      </c>
      <c r="F323" s="440" t="str">
        <f t="shared" si="158"/>
        <v>-</v>
      </c>
      <c r="G323" s="440" t="str">
        <f t="shared" si="159"/>
        <v>-</v>
      </c>
      <c r="H323" s="441" t="str">
        <f t="shared" si="159"/>
        <v>-</v>
      </c>
      <c r="I323" s="441">
        <f t="shared" si="159"/>
        <v>0</v>
      </c>
      <c r="J323" s="163">
        <f ca="1">IF($A323="*","",OFFSET(UPS!$C$37,AU323,SUMIF($A$10:$A$24,"*#"&amp;AS323,$AT$10:$AT$24)))</f>
        <v>-2</v>
      </c>
      <c r="K323" s="163" t="str">
        <f t="array" aca="1" ref="K323" ca="1">IFERROR(INDEX(HydrogenELT2019!$F$6:$J$17,MATCH(TS_TTech!$C323&amp;TS_TTech!$B323,HydrogenELT2019!$A$6:$A$17&amp;HydrogenELT2019!$B$6:$B$17,0),MATCH(TS_TTech!K$7,HydrogenELT2019!$F$5:$J$5,0)),"")</f>
        <v/>
      </c>
      <c r="L323" s="163" t="str">
        <f t="array" aca="1" ref="L323" ca="1">IFERROR(INDEX(HydrogenELT2019!$F$6:$J$17,MATCH(TS_TTech!$C323&amp;TS_TTech!$B323,HydrogenELT2019!$A$6:$A$17&amp;HydrogenELT2019!$B$6:$B$17,0),MATCH(TS_TTech!L$7,HydrogenELT2019!$F$5:$J$5,0)),"")</f>
        <v/>
      </c>
      <c r="M323" s="163" t="str">
        <f t="array" aca="1" ref="M323" ca="1">IFERROR(INDEX(HydrogenELT2019!$F$6:$J$17,MATCH(TS_TTech!$C323&amp;TS_TTech!$B323,HydrogenELT2019!$A$6:$A$17&amp;HydrogenELT2019!$B$6:$B$17,0),MATCH(TS_TTech!M$7,HydrogenELT2019!$F$5:$J$5,0)),"")</f>
        <v/>
      </c>
      <c r="N323" s="163" t="str">
        <f t="array" aca="1" ref="N323" ca="1">IFERROR(INDEX(HydrogenELT2019!$F$6:$J$17,MATCH(TS_TTech!$C323&amp;TS_TTech!$B323,HydrogenELT2019!$A$6:$A$17&amp;HydrogenELT2019!$B$6:$B$17,0),MATCH(TS_TTech!N$7,HydrogenELT2019!$F$5:$J$5,0)),"")</f>
        <v/>
      </c>
      <c r="O323" s="163" t="str">
        <f t="array" aca="1" ref="O323" ca="1">IFERROR(INDEX(HydrogenELT2019!$F$6:$J$17,MATCH(TS_TTech!$C323&amp;TS_TTech!$B323,HydrogenELT2019!$A$6:$A$17&amp;HydrogenELT2019!$B$6:$B$17,0),MATCH(TS_TTech!O$7,HydrogenELT2019!$F$5:$J$5,0)),"")</f>
        <v/>
      </c>
      <c r="P323" s="163" t="str">
        <f t="array" aca="1" ref="P323" ca="1">IFERROR(INDEX(HydrogenELT2019!$F$6:$J$17,MATCH(TS_TTech!$C323&amp;TS_TTech!$B323,HydrogenELT2019!$A$6:$A$17&amp;HydrogenELT2019!$B$6:$B$17,0),MATCH(TS_TTech!P$7,HydrogenELT2019!$F$5:$J$5,0)),"")</f>
        <v/>
      </c>
      <c r="Q323" s="163" t="str">
        <f t="array" aca="1" ref="Q323" ca="1">IFERROR(INDEX(HydrogenELT2019!$F$6:$J$17,MATCH(TS_TTech!$C323&amp;TS_TTech!$B323,HydrogenELT2019!$A$6:$A$17&amp;HydrogenELT2019!$B$6:$B$17,0),MATCH(TS_TTech!Q$7,HydrogenELT2019!$F$5:$J$5,0)),"")</f>
        <v/>
      </c>
      <c r="R323" s="163">
        <f t="array" aca="1" ref="R323" ca="1">IFERROR(INDEX(HydrogenELT2019!$F$6:$J$17,MATCH(TS_TTech!$C323&amp;TS_TTech!$B323,HydrogenELT2019!$A$6:$A$17&amp;HydrogenELT2019!$B$6:$B$17,0),MATCH(TS_TTech!R$7,HydrogenELT2019!$F$5:$J$5,0)),"")</f>
        <v>-2</v>
      </c>
      <c r="S323" s="163" t="str">
        <f t="array" aca="1" ref="S323" ca="1">IFERROR(INDEX(HydrogenELT2019!$F$6:$J$17,MATCH(TS_TTech!$C323&amp;TS_TTech!$B323,HydrogenELT2019!$A$6:$A$17&amp;HydrogenELT2019!$B$6:$B$17,0),MATCH(TS_TTech!S$7,HydrogenELT2019!$F$5:$J$5,0)),"")</f>
        <v/>
      </c>
      <c r="T323" s="163" t="str">
        <f t="array" aca="1" ref="T323" ca="1">IFERROR(INDEX(HydrogenELT2019!$F$6:$J$17,MATCH(TS_TTech!$C323&amp;TS_TTech!$B323,HydrogenELT2019!$A$6:$A$17&amp;HydrogenELT2019!$B$6:$B$17,0),MATCH(TS_TTech!T$7,HydrogenELT2019!$F$5:$J$5,0)),"")</f>
        <v/>
      </c>
      <c r="U323" s="163" t="str">
        <f t="array" aca="1" ref="U323" ca="1">IFERROR(INDEX(HydrogenELT2019!$F$6:$J$17,MATCH(TS_TTech!$C323&amp;TS_TTech!$B323,HydrogenELT2019!$A$6:$A$17&amp;HydrogenELT2019!$B$6:$B$17,0),MATCH(TS_TTech!U$7,HydrogenELT2019!$F$5:$J$5,0)),"")</f>
        <v/>
      </c>
      <c r="V323" s="163" t="str">
        <f t="array" aca="1" ref="V323" ca="1">IFERROR(INDEX(HydrogenELT2019!$F$6:$J$17,MATCH(TS_TTech!$C323&amp;TS_TTech!$B323,HydrogenELT2019!$A$6:$A$17&amp;HydrogenELT2019!$B$6:$B$17,0),MATCH(TS_TTech!V$7,HydrogenELT2019!$F$5:$J$5,0)),"")</f>
        <v/>
      </c>
      <c r="W323" s="163" t="str">
        <f t="array" aca="1" ref="W323" ca="1">IFERROR(INDEX(HydrogenELT2019!$F$6:$J$17,MATCH(TS_TTech!$C323&amp;TS_TTech!$B323,HydrogenELT2019!$A$6:$A$17&amp;HydrogenELT2019!$B$6:$B$17,0),MATCH(TS_TTech!W$7,HydrogenELT2019!$F$5:$J$5,0)),"")</f>
        <v/>
      </c>
      <c r="X323" s="163" t="str">
        <f t="array" aca="1" ref="X323" ca="1">IFERROR(INDEX(HydrogenELT2019!$F$6:$J$17,MATCH(TS_TTech!$C323&amp;TS_TTech!$B323,HydrogenELT2019!$A$6:$A$17&amp;HydrogenELT2019!$B$6:$B$17,0),MATCH(TS_TTech!X$7,HydrogenELT2019!$F$5:$J$5,0)),"")</f>
        <v/>
      </c>
      <c r="Y323" s="163" t="str">
        <f t="array" aca="1" ref="Y323" ca="1">IFERROR(INDEX(HydrogenELT2019!$F$6:$J$17,MATCH(TS_TTech!$C323&amp;TS_TTech!$B323,HydrogenELT2019!$A$6:$A$17&amp;HydrogenELT2019!$B$6:$B$17,0),MATCH(TS_TTech!Y$7,HydrogenELT2019!$F$5:$J$5,0)),"")</f>
        <v/>
      </c>
      <c r="Z323" s="163" t="str">
        <f t="array" aca="1" ref="Z323" ca="1">IFERROR(INDEX(HydrogenELT2019!$F$6:$J$17,MATCH(TS_TTech!$C323&amp;TS_TTech!$B323,HydrogenELT2019!$A$6:$A$17&amp;HydrogenELT2019!$B$6:$B$17,0),MATCH(TS_TTech!Z$7,HydrogenELT2019!$F$5:$J$5,0)),"")</f>
        <v/>
      </c>
      <c r="AA323" s="163" t="str">
        <f t="array" aca="1" ref="AA323" ca="1">IFERROR(INDEX(HydrogenELT2019!$F$6:$J$17,MATCH(TS_TTech!$C323&amp;TS_TTech!$B323,HydrogenELT2019!$A$6:$A$17&amp;HydrogenELT2019!$B$6:$B$17,0),MATCH(TS_TTech!AA$7,HydrogenELT2019!$F$5:$J$5,0)),"")</f>
        <v/>
      </c>
      <c r="AB323" s="163">
        <f t="array" aca="1" ref="AB323" ca="1">IFERROR(INDEX(HydrogenELT2019!$F$6:$J$17,MATCH(TS_TTech!$C323&amp;TS_TTech!$B323,HydrogenELT2019!$A$6:$A$17&amp;HydrogenELT2019!$B$6:$B$17,0),MATCH(TS_TTech!AB$7,HydrogenELT2019!$F$5:$J$5,0)),"")</f>
        <v>-2</v>
      </c>
      <c r="AC323" s="163" t="str">
        <f t="array" aca="1" ref="AC323" ca="1">IFERROR(INDEX(HydrogenELT2019!$F$6:$J$17,MATCH(TS_TTech!$C323&amp;TS_TTech!$B323,HydrogenELT2019!$A$6:$A$17&amp;HydrogenELT2019!$B$6:$B$17,0),MATCH(TS_TTech!AC$7,HydrogenELT2019!$F$5:$J$5,0)),"")</f>
        <v/>
      </c>
      <c r="AD323" s="163" t="str">
        <f t="array" aca="1" ref="AD323" ca="1">IFERROR(INDEX(HydrogenELT2019!$F$6:$J$17,MATCH(TS_TTech!$C323&amp;TS_TTech!$B323,HydrogenELT2019!$A$6:$A$17&amp;HydrogenELT2019!$B$6:$B$17,0),MATCH(TS_TTech!AD$7,HydrogenELT2019!$F$5:$J$5,0)),"")</f>
        <v/>
      </c>
      <c r="AE323" s="163" t="str">
        <f t="array" aca="1" ref="AE323" ca="1">IFERROR(INDEX(HydrogenELT2019!$F$6:$J$17,MATCH(TS_TTech!$C323&amp;TS_TTech!$B323,HydrogenELT2019!$A$6:$A$17&amp;HydrogenELT2019!$B$6:$B$17,0),MATCH(TS_TTech!AE$7,HydrogenELT2019!$F$5:$J$5,0)),"")</f>
        <v/>
      </c>
      <c r="AF323" s="163" t="str">
        <f t="array" aca="1" ref="AF323" ca="1">IFERROR(INDEX(HydrogenELT2019!$F$6:$J$17,MATCH(TS_TTech!$C323&amp;TS_TTech!$B323,HydrogenELT2019!$A$6:$A$17&amp;HydrogenELT2019!$B$6:$B$17,0),MATCH(TS_TTech!AF$7,HydrogenELT2019!$F$5:$J$5,0)),"")</f>
        <v/>
      </c>
      <c r="AG323" s="163">
        <f t="array" aca="1" ref="AG323" ca="1">IFERROR(INDEX(HydrogenELT2019!$F$6:$J$17,MATCH(TS_TTech!$C323&amp;TS_TTech!$B323,HydrogenELT2019!$A$6:$A$17&amp;HydrogenELT2019!$B$6:$B$17,0),MATCH(TS_TTech!AG$7,HydrogenELT2019!$F$5:$J$5,0)),"")</f>
        <v>-2</v>
      </c>
      <c r="AH323" s="163" t="str">
        <f t="array" aca="1" ref="AH323" ca="1">IFERROR(INDEX(HydrogenELT2019!$F$6:$J$17,MATCH(TS_TTech!$C323&amp;TS_TTech!$B323,HydrogenELT2019!$A$6:$A$17&amp;HydrogenELT2019!$B$6:$B$17,0),MATCH(TS_TTech!AH$7,HydrogenELT2019!$F$5:$J$5,0)),"")</f>
        <v/>
      </c>
      <c r="AI323" s="163" t="str">
        <f t="array" aca="1" ref="AI323" ca="1">IFERROR(INDEX(HydrogenELT2019!$F$6:$J$17,MATCH(TS_TTech!$C323&amp;TS_TTech!$B323,HydrogenELT2019!$A$6:$A$17&amp;HydrogenELT2019!$B$6:$B$17,0),MATCH(TS_TTech!AI$7,HydrogenELT2019!$F$5:$J$5,0)),"")</f>
        <v/>
      </c>
      <c r="AJ323" s="163" t="str">
        <f t="array" aca="1" ref="AJ323" ca="1">IFERROR(INDEX(HydrogenELT2019!$F$6:$J$17,MATCH(TS_TTech!$C323&amp;TS_TTech!$B323,HydrogenELT2019!$A$6:$A$17&amp;HydrogenELT2019!$B$6:$B$17,0),MATCH(TS_TTech!AJ$7,HydrogenELT2019!$F$5:$J$5,0)),"")</f>
        <v/>
      </c>
      <c r="AK323" s="163" t="str">
        <f t="array" aca="1" ref="AK323" ca="1">IFERROR(INDEX(HydrogenELT2019!$F$6:$J$17,MATCH(TS_TTech!$C323&amp;TS_TTech!$B323,HydrogenELT2019!$A$6:$A$17&amp;HydrogenELT2019!$B$6:$B$17,0),MATCH(TS_TTech!AK$7,HydrogenELT2019!$F$5:$J$5,0)),"")</f>
        <v/>
      </c>
      <c r="AL323" s="163">
        <f t="array" aca="1" ref="AL323" ca="1">IFERROR(INDEX(HydrogenELT2019!$F$6:$J$17,MATCH(TS_TTech!$C323&amp;TS_TTech!$B323,HydrogenELT2019!$A$6:$A$17&amp;HydrogenELT2019!$B$6:$B$17,0),MATCH(TS_TTech!AL$7,HydrogenELT2019!$F$5:$J$5,0)),"")</f>
        <v>-2</v>
      </c>
      <c r="AM323" s="163" t="str">
        <f t="array" aca="1" ref="AM323" ca="1">IFERROR(INDEX(HydrogenELT2019!$F$6:$J$17,MATCH(TS_TTech!$C323&amp;TS_TTech!$B323,HydrogenELT2019!$A$6:$A$17&amp;HydrogenELT2019!$B$6:$B$17,0),MATCH(TS_TTech!AM$7,HydrogenELT2019!$F$5:$J$5,0)),"")</f>
        <v/>
      </c>
      <c r="AN323" s="163">
        <f t="array" aca="1" ref="AN323" ca="1">IFERROR(INDEX(HydrogenELT2019!$F$6:$J$17,MATCH(TS_TTech!$C323&amp;TS_TTech!$B323,HydrogenELT2019!$A$6:$A$17&amp;HydrogenELT2019!$B$6:$B$17,0),MATCH(TS_TTech!AN$7,HydrogenELT2019!$F$5:$J$5,0)),"")</f>
        <v>-2</v>
      </c>
      <c r="AO323" s="163" t="str">
        <f t="array" aca="1" ref="AO323" ca="1">IFERROR(INDEX(HydrogenELT2019!$F$6:$J$17,MATCH(TS_TTech!$C323&amp;TS_TTech!$B323,HydrogenELT2019!$A$6:$A$17&amp;HydrogenELT2019!$B$6:$B$17,0),MATCH(TS_TTech!AO$7,HydrogenELT2019!$F$5:$J$5,0)),"")</f>
        <v/>
      </c>
      <c r="AP323" s="163" t="str">
        <f t="array" aca="1" ref="AP323" ca="1">IFERROR(INDEX(HydrogenELT2019!$F$6:$J$17,MATCH(TS_TTech!$C323&amp;TS_TTech!$B323,HydrogenELT2019!$A$6:$A$17&amp;HydrogenELT2019!$B$6:$B$17,0),MATCH(TS_TTech!AP$7,HydrogenELT2019!$F$5:$J$5,0)),"")</f>
        <v/>
      </c>
      <c r="AR323" s="163">
        <f t="shared" si="148"/>
        <v>27</v>
      </c>
      <c r="AS323" s="42">
        <f t="shared" si="154"/>
        <v>14</v>
      </c>
      <c r="AU323" s="42">
        <f ca="1">SUMIF(UPS!B$38:B$171,C323,UPS!BD$38:BD$171)</f>
        <v>131</v>
      </c>
    </row>
    <row r="324" spans="1:47">
      <c r="A324" s="42" t="s">
        <v>310</v>
      </c>
      <c r="B324" s="440"/>
      <c r="C324" s="440"/>
      <c r="D324" s="440"/>
      <c r="E324" s="440"/>
      <c r="F324" s="440"/>
      <c r="G324" s="440"/>
      <c r="H324" s="441"/>
      <c r="I324" s="441"/>
      <c r="J324" s="163"/>
      <c r="K324" s="163"/>
      <c r="L324" s="163"/>
      <c r="M324" s="163"/>
      <c r="N324" s="163"/>
      <c r="O324" s="163"/>
      <c r="P324" s="163"/>
      <c r="Q324" s="163"/>
      <c r="R324" s="163"/>
      <c r="S324" s="163"/>
      <c r="T324" s="163"/>
      <c r="U324" s="163"/>
      <c r="V324" s="163"/>
      <c r="W324" s="163"/>
      <c r="X324" s="163"/>
      <c r="Y324" s="163"/>
      <c r="Z324" s="163"/>
      <c r="AA324" s="163"/>
      <c r="AB324" s="163"/>
      <c r="AC324" s="163"/>
      <c r="AD324" s="163"/>
      <c r="AE324" s="163"/>
      <c r="AF324" s="163"/>
      <c r="AG324" s="163"/>
      <c r="AH324" s="163"/>
      <c r="AI324" s="163"/>
      <c r="AJ324" s="163"/>
      <c r="AK324" s="163"/>
      <c r="AL324" s="163"/>
      <c r="AM324" s="163"/>
      <c r="AN324" s="163"/>
      <c r="AO324" s="163"/>
      <c r="AP324" s="163"/>
      <c r="AR324" s="163"/>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row>
  </sheetData>
  <autoFilter ref="B1:C308"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8" workbookViewId="0">
      <selection activeCell="B339" sqref="B339:M339"/>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13417</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TS_TTech!D193</f>
        <v>UPSCO2S</v>
      </c>
      <c r="E224" s="440" t="s">
        <v>334</v>
      </c>
      <c r="F224" s="440" t="s">
        <v>334</v>
      </c>
      <c r="G224" s="440" t="s">
        <v>334</v>
      </c>
      <c r="H224" s="440" t="s">
        <v>334</v>
      </c>
      <c r="I224" s="163">
        <v>1</v>
      </c>
      <c r="L224" s="42">
        <v>1</v>
      </c>
    </row>
    <row r="225" spans="1:15">
      <c r="B225" s="440" t="s">
        <v>344</v>
      </c>
      <c r="C225" s="440" t="str">
        <f>UPS!$B$173</f>
        <v>UHETCLE-E</v>
      </c>
      <c r="D225" s="440" t="str">
        <f>TS_TTech!D194</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1</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1</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topLeftCell="A37" workbookViewId="0">
      <selection activeCell="F10" sqref="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14576</v>
      </c>
    </row>
    <row r="4" spans="1:16">
      <c r="A4" s="422" t="s">
        <v>310</v>
      </c>
      <c r="B4" s="422"/>
      <c r="D4" s="422"/>
      <c r="E4" s="422"/>
      <c r="F4" s="422"/>
      <c r="G4" s="422"/>
      <c r="H4" s="422"/>
      <c r="L4" s="1679" t="s">
        <v>14575</v>
      </c>
      <c r="M4" s="1678" t="s">
        <v>277</v>
      </c>
      <c r="N4" s="1678" t="s">
        <v>1199</v>
      </c>
      <c r="O4" s="1677" t="s">
        <v>14573</v>
      </c>
      <c r="P4" s="1677" t="s">
        <v>14574</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topLeftCell="A25" workbookViewId="0">
      <selection activeCell="C38" sqref="C38:F39"/>
    </sheetView>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14576</v>
      </c>
      <c r="N5" s="526"/>
      <c r="O5" s="526"/>
      <c r="P5" s="526"/>
    </row>
    <row r="6" spans="1:16">
      <c r="A6" s="42" t="s">
        <v>310</v>
      </c>
      <c r="I6" s="526"/>
      <c r="J6" s="526"/>
      <c r="L6" s="1679" t="s">
        <v>14575</v>
      </c>
      <c r="M6" s="1678" t="s">
        <v>277</v>
      </c>
      <c r="N6" s="1677" t="s">
        <v>1199</v>
      </c>
      <c r="O6" s="1677" t="s">
        <v>14573</v>
      </c>
      <c r="P6" s="1677" t="s">
        <v>14573</v>
      </c>
    </row>
    <row r="7" spans="1:16">
      <c r="A7" s="42" t="s">
        <v>310</v>
      </c>
      <c r="B7" s="41" t="s">
        <v>311</v>
      </c>
      <c r="C7" s="161" t="s">
        <v>312</v>
      </c>
      <c r="D7" s="41" t="s">
        <v>313</v>
      </c>
      <c r="E7" s="41" t="s">
        <v>314</v>
      </c>
      <c r="F7" s="41" t="s">
        <v>315</v>
      </c>
      <c r="G7" s="41" t="s">
        <v>316</v>
      </c>
      <c r="I7" s="526"/>
      <c r="J7" s="526"/>
      <c r="L7" s="526" t="s">
        <v>14579</v>
      </c>
      <c r="M7" s="526" t="s">
        <v>277</v>
      </c>
      <c r="N7" s="526" t="s">
        <v>14578</v>
      </c>
      <c r="O7" s="526" t="s">
        <v>14578</v>
      </c>
      <c r="P7" s="526" t="s">
        <v>14578</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6" r:id="rId4" name="cmdSpecifySets">
          <controlPr defaultSize="0" autoLine="0" r:id="rId5">
            <anchor moveWithCells="1">
              <from>
                <xdr:col>5</xdr:col>
                <xdr:colOff>19050</xdr:colOff>
                <xdr:row>3</xdr:row>
                <xdr:rowOff>0</xdr:rowOff>
              </from>
              <to>
                <xdr:col>6</xdr:col>
                <xdr:colOff>9525</xdr:colOff>
                <xdr:row>4</xdr:row>
                <xdr:rowOff>95250</xdr:rowOff>
              </to>
            </anchor>
          </controlPr>
        </control>
      </mc:Choice>
      <mc:Fallback>
        <control shapeId="28676" r:id="rId4" name="cmdSpecifySets"/>
      </mc:Fallback>
    </mc:AlternateContent>
    <mc:AlternateContent xmlns:mc="http://schemas.openxmlformats.org/markup-compatibility/2006">
      <mc:Choice Requires="x14">
        <control shapeId="28675" r:id="rId6" name="cmdSpecifyUnits">
          <controlPr defaultSize="0" autoLine="0" r:id="rId7">
            <anchor moveWithCells="1">
              <from>
                <xdr:col>4</xdr:col>
                <xdr:colOff>19050</xdr:colOff>
                <xdr:row>3</xdr:row>
                <xdr:rowOff>0</xdr:rowOff>
              </from>
              <to>
                <xdr:col>5</xdr:col>
                <xdr:colOff>104775</xdr:colOff>
                <xdr:row>4</xdr:row>
                <xdr:rowOff>95250</xdr:rowOff>
              </to>
            </anchor>
          </controlPr>
        </control>
      </mc:Choice>
      <mc:Fallback>
        <control shapeId="28675" r:id="rId6" name="cmdSpecifyUnits"/>
      </mc:Fallback>
    </mc:AlternateContent>
    <mc:AlternateContent xmlns:mc="http://schemas.openxmlformats.org/markup-compatibility/2006">
      <mc:Choice Requires="x14">
        <control shapeId="28674" r:id="rId8" name="cmdSpecifyComponent">
          <controlPr defaultSize="0" autoLine="0" autoPict="0" r:id="rId9">
            <anchor moveWithCells="1">
              <from>
                <xdr:col>1</xdr:col>
                <xdr:colOff>19050</xdr:colOff>
                <xdr:row>3</xdr:row>
                <xdr:rowOff>0</xdr:rowOff>
              </from>
              <to>
                <xdr:col>2</xdr:col>
                <xdr:colOff>171450</xdr:colOff>
                <xdr:row>4</xdr:row>
                <xdr:rowOff>95250</xdr:rowOff>
              </to>
            </anchor>
          </controlPr>
        </control>
      </mc:Choice>
      <mc:Fallback>
        <control shapeId="28674" r:id="rId8" name="cmdSpecifyComponent"/>
      </mc:Fallback>
    </mc:AlternateContent>
    <mc:AlternateContent xmlns:mc="http://schemas.openxmlformats.org/markup-compatibility/2006">
      <mc:Choice Requires="x14">
        <control shapeId="28673" r:id="rId10" name="cmdCheckItemsSheet">
          <controlPr defaultSize="0" autoLine="0" r:id="rId11">
            <anchor moveWithCells="1">
              <from>
                <xdr:col>0</xdr:col>
                <xdr:colOff>19050</xdr:colOff>
                <xdr:row>2</xdr:row>
                <xdr:rowOff>0</xdr:rowOff>
              </from>
              <to>
                <xdr:col>1</xdr:col>
                <xdr:colOff>9525</xdr:colOff>
                <xdr:row>3</xdr:row>
                <xdr:rowOff>0</xdr:rowOff>
              </to>
            </anchor>
          </controlPr>
        </control>
      </mc:Choice>
      <mc:Fallback>
        <control shapeId="28673" r:id="rId10" name="cmdCheckItemsSheet"/>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109" workbookViewId="0">
      <selection activeCell="AB134" sqref="AB134"/>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14371</v>
      </c>
      <c r="N9" s="1690" t="s">
        <v>14568</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election activeCell="C148" sqref="C148:M148"/>
    </sheetView>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topLeftCell="A58" workbookViewId="0">
      <selection activeCell="A73" sqref="A73:XFD82"/>
    </sheetView>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27"/>
  <sheetViews>
    <sheetView topLeftCell="A301" workbookViewId="0">
      <selection activeCell="A311" sqref="A311"/>
    </sheetView>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2137</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SUMIF(NameConv!$C$5:$C$45,RIGHT(E199,3),OFFSET(NameConv!$AX$5,0,AU199,NameConv!$A$45,1))</f>
        <v>72.900000000000006</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SUMIF(NameConv!$C$5:$C$45,RIGHT(E200,3),OFFSET(NameConv!$AX$5,0,AU200,NameConv!$A$45,1))</f>
        <v>3.0000000000000001E-3</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SUMIF(NameConv!$C$5:$C$45,RIGHT(E201,3),OFFSET(NameConv!$AX$5,0,AU201,NameConv!$A$45,1))</f>
        <v>5.9999999999999995E-4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SUMIF(NameConv!$C$5:$C$45,RIGHT(E202,3),OFFSET(NameConv!$AX$5,0,AU202,NameConv!$A$45,1))</f>
        <v>4.5900000000000003E-2</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SUMIF(NameConv!$C$5:$C$45,RIGHT(E203,3),OFFSET(NameConv!$AX$5,0,AU203,NameConv!$A$45,1))</f>
        <v>0.2</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SUMIF(NameConv!$C$5:$C$45,RIGHT(E204,3),OFFSET(NameConv!$AX$5,0,AU204,NameConv!$A$45,1))</f>
        <v>0.01</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SUMIF(NameConv!$C$5:$C$45,RIGHT(E205,3),OFFSET(NameConv!$AX$5,0,AU205,NameConv!$A$45,1))</f>
        <v>5.0000000000000001E-3</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309"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
      </c>
      <c r="B290" s="515" t="str">
        <f t="shared" si="9"/>
        <v>FLO_EMIS</v>
      </c>
      <c r="C290" s="518" t="str">
        <f ca="1">"X"&amp;OFFSET(NameConv!$F$4,0,AS290)&amp;OFFSET(NameConv!$F$59,AT290,AS290)</f>
        <v>XPWRGIC</v>
      </c>
      <c r="D290" s="515" t="str">
        <f ca="1">OFFSET(NameConv!$F$4,0,AS290)&amp;OFFSET(NameConv!$AX$4,0,AU290)</f>
        <v>PWRCO2S</v>
      </c>
      <c r="E290" s="515" t="str">
        <f ca="1">OFFSET(NameConv!$F$4,0,AS290)&amp;OFFSET(NameConv!$F$59,AT290,AS290)</f>
        <v>PWRGIC</v>
      </c>
      <c r="F290" s="740" t="s">
        <v>334</v>
      </c>
      <c r="G290" s="515" t="s">
        <v>337</v>
      </c>
      <c r="H290" s="740" t="s">
        <v>334</v>
      </c>
      <c r="I290" s="516">
        <v>0</v>
      </c>
      <c r="J290" s="517">
        <f ca="1">SUMIF(NameConv!$C$5:$C$45,RIGHT(E290,3),OFFSET(NameConv!$AX$5,0,AU290,NameConv!$A$45,1))</f>
        <v>56.1</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1</v>
      </c>
      <c r="AV290" s="495">
        <f ca="1">IF(AV289&gt;=SUMIF(NameConv!$C$5:$C$45,RIGHT(E289,3),NameConv!$CG$5:$CG$45),1,AV289+1)</f>
        <v>1</v>
      </c>
    </row>
    <row r="291" spans="1:48">
      <c r="A291" s="422" t="str">
        <f t="shared" ca="1" si="8"/>
        <v/>
      </c>
      <c r="B291" s="515" t="str">
        <f t="shared" si="9"/>
        <v>FLO_EMIS</v>
      </c>
      <c r="C291" s="518" t="str">
        <f ca="1">"X"&amp;OFFSET(NameConv!$F$4,0,AS291)&amp;OFFSET(NameConv!$F$59,AT291,AS291)</f>
        <v>XPWRGIC</v>
      </c>
      <c r="D291" s="515" t="str">
        <f ca="1">OFFSET(NameConv!$F$4,0,AS291)&amp;OFFSET(NameConv!$AX$4,0,AU291)</f>
        <v>PWRCH4S</v>
      </c>
      <c r="E291" s="515" t="str">
        <f ca="1">OFFSET(NameConv!$F$4,0,AS291)&amp;OFFSET(NameConv!$F$59,AT291,AS291)</f>
        <v>PWRGIC</v>
      </c>
      <c r="F291" s="740" t="s">
        <v>334</v>
      </c>
      <c r="G291" s="515" t="s">
        <v>337</v>
      </c>
      <c r="H291" s="740" t="s">
        <v>334</v>
      </c>
      <c r="I291" s="516">
        <v>0</v>
      </c>
      <c r="J291" s="517">
        <f ca="1">SUMIF(NameConv!$C$5:$C$45,RIGHT(E291,3),OFFSET(NameConv!$AX$5,0,AU291,NameConv!$A$45,1))</f>
        <v>1E-3</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13</v>
      </c>
      <c r="AU291" s="495">
        <f ca="1">SUMIF(NameConv!$C$5:$C$45,RIGHT(E291,3),OFFSET(NameConv!$CG$5,0,AV291,NameConv!$A$45,1))</f>
        <v>2</v>
      </c>
      <c r="AV291" s="495">
        <f ca="1">IF(AV290&gt;=SUMIF(NameConv!$C$5:$C$45,RIGHT(E290,3),NameConv!$CG$5:$CG$45),1,AV290+1)</f>
        <v>2</v>
      </c>
    </row>
    <row r="292" spans="1:48">
      <c r="A292" s="422" t="str">
        <f t="shared" ca="1" si="8"/>
        <v/>
      </c>
      <c r="B292" s="515" t="str">
        <f t="shared" si="9"/>
        <v>FLO_EMIS</v>
      </c>
      <c r="C292" s="518" t="str">
        <f ca="1">"X"&amp;OFFSET(NameConv!$F$4,0,AS292)&amp;OFFSET(NameConv!$F$59,AT292,AS292)</f>
        <v>XPWRGIC</v>
      </c>
      <c r="D292" s="515" t="str">
        <f ca="1">OFFSET(NameConv!$F$4,0,AS292)&amp;OFFSET(NameConv!$AX$4,0,AU292)</f>
        <v>PWRN2OS</v>
      </c>
      <c r="E292" s="515" t="str">
        <f ca="1">OFFSET(NameConv!$F$4,0,AS292)&amp;OFFSET(NameConv!$F$59,AT292,AS292)</f>
        <v>PWRGIC</v>
      </c>
      <c r="F292" s="740" t="s">
        <v>334</v>
      </c>
      <c r="G292" s="515" t="s">
        <v>337</v>
      </c>
      <c r="H292" s="740" t="s">
        <v>334</v>
      </c>
      <c r="I292" s="516">
        <v>0</v>
      </c>
      <c r="J292" s="517">
        <f ca="1">SUMIF(NameConv!$C$5:$C$45,RIGHT(E292,3),OFFSET(NameConv!$AX$5,0,AU292,NameConv!$A$45,1))</f>
        <v>1E-4</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13</v>
      </c>
      <c r="AU292" s="495">
        <f ca="1">SUMIF(NameConv!$C$5:$C$45,RIGHT(E292,3),OFFSET(NameConv!$CG$5,0,AV292,NameConv!$A$45,1))</f>
        <v>3</v>
      </c>
      <c r="AV292" s="495">
        <f ca="1">IF(AV291&gt;=SUMIF(NameConv!$C$5:$C$45,RIGHT(E291,3),NameConv!$CG$5:$CG$45),1,AV291+1)</f>
        <v>3</v>
      </c>
    </row>
    <row r="293" spans="1:48">
      <c r="A293" s="422" t="str">
        <f t="shared" ca="1" si="8"/>
        <v/>
      </c>
      <c r="B293" s="515" t="str">
        <f t="shared" si="9"/>
        <v>FLO_EMIS</v>
      </c>
      <c r="C293" s="518" t="str">
        <f ca="1">"X"&amp;OFFSET(NameConv!$F$4,0,AS293)&amp;OFFSET(NameConv!$F$59,AT293,AS293)</f>
        <v>XPWRGIC</v>
      </c>
      <c r="D293" s="515" t="str">
        <f ca="1">OFFSET(NameConv!$F$4,0,AS293)&amp;OFFSET(NameConv!$AX$4,0,AU293)</f>
        <v>PWRNOXS</v>
      </c>
      <c r="E293" s="515" t="str">
        <f ca="1">OFFSET(NameConv!$F$4,0,AS293)&amp;OFFSET(NameConv!$F$59,AT293,AS293)</f>
        <v>PWRGIC</v>
      </c>
      <c r="F293" s="740" t="s">
        <v>334</v>
      </c>
      <c r="G293" s="515" t="s">
        <v>337</v>
      </c>
      <c r="H293" s="740" t="s">
        <v>334</v>
      </c>
      <c r="I293" s="516">
        <v>0</v>
      </c>
      <c r="J293" s="517">
        <f ca="1">SUMIF(NameConv!$C$5:$C$45,RIGHT(E293,3),OFFSET(NameConv!$AX$5,0,AU293,NameConv!$A$45,1))</f>
        <v>0.15</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13</v>
      </c>
      <c r="AU293" s="495">
        <f ca="1">SUMIF(NameConv!$C$5:$C$45,RIGHT(E293,3),OFFSET(NameConv!$CG$5,0,AV293,NameConv!$A$45,1))</f>
        <v>5</v>
      </c>
      <c r="AV293" s="495">
        <f ca="1">IF(AV292&gt;=SUMIF(NameConv!$C$5:$C$45,RIGHT(E292,3),NameConv!$CG$5:$CG$45),1,AV292+1)</f>
        <v>4</v>
      </c>
    </row>
    <row r="294" spans="1:48">
      <c r="A294" s="422" t="str">
        <f t="shared" ref="A294:A299" ca="1" si="10">IF(J294=0,"*","")</f>
        <v/>
      </c>
      <c r="B294" s="515" t="str">
        <f t="shared" si="9"/>
        <v>FLO_EMIS</v>
      </c>
      <c r="C294" s="518" t="str">
        <f ca="1">"X"&amp;OFFSET(NameConv!$F$4,0,AS294)&amp;OFFSET(NameConv!$F$59,AT294,AS294)</f>
        <v>XPWRGIC</v>
      </c>
      <c r="D294" s="515" t="str">
        <f ca="1">OFFSET(NameConv!$F$4,0,AS294)&amp;OFFSET(NameConv!$AX$4,0,AU294)</f>
        <v>PWRCMOX</v>
      </c>
      <c r="E294" s="515" t="str">
        <f ca="1">OFFSET(NameConv!$F$4,0,AS294)&amp;OFFSET(NameConv!$F$59,AT294,AS294)</f>
        <v>PWRGIC</v>
      </c>
      <c r="F294" s="740" t="s">
        <v>334</v>
      </c>
      <c r="G294" s="515" t="s">
        <v>337</v>
      </c>
      <c r="H294" s="740" t="s">
        <v>334</v>
      </c>
      <c r="I294" s="516">
        <v>0</v>
      </c>
      <c r="J294" s="517">
        <f ca="1">SUMIF(NameConv!$C$5:$C$45,RIGHT(E294,3),OFFSET(NameConv!$AX$5,0,AU294,NameConv!$A$45,1))</f>
        <v>0.02</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c r="AS294" s="495">
        <f ca="1">IF(AND(AV293&gt;=SUMIF(NameConv!$C$5:$C$45,RIGHT(E293,3),NameConv!$CG$5:$CG$45),AT293=SUMIF(NameConv!$G$4:$M$4,LEFT(E293,3),NameConv!$G$45:$M$45)),AS293+1,AS293)</f>
        <v>6</v>
      </c>
      <c r="AT294" s="495">
        <f ca="1">IF(AS294&lt;&gt;AS293,1,IF(AV293&gt;=SUMIF(NameConv!$C$5:$C$45,RIGHT(E293,3),NameConv!$CG$5:$CG$45),AT293+1,AT293))</f>
        <v>13</v>
      </c>
      <c r="AU294" s="495">
        <f ca="1">SUMIF(NameConv!$C$5:$C$45,RIGHT(E294,3),OFFSET(NameConv!$CG$5,0,AV294,NameConv!$A$45,1))</f>
        <v>6</v>
      </c>
      <c r="AV294" s="495">
        <f ca="1">IF(AV293&gt;=SUMIF(NameConv!$C$5:$C$45,RIGHT(E293,3),NameConv!$CG$5:$CG$45),1,AV293+1)</f>
        <v>5</v>
      </c>
    </row>
    <row r="295" spans="1:48">
      <c r="A295" s="422" t="str">
        <f t="shared" ca="1" si="10"/>
        <v/>
      </c>
      <c r="B295" s="515" t="str">
        <f t="shared" si="9"/>
        <v>FLO_EMIS</v>
      </c>
      <c r="C295" s="518" t="str">
        <f ca="1">"X"&amp;OFFSET(NameConv!$F$4,0,AS295)&amp;OFFSET(NameConv!$F$59,AT295,AS295)</f>
        <v>XPWRGIC</v>
      </c>
      <c r="D295" s="515" t="str">
        <f ca="1">OFFSET(NameConv!$F$4,0,AS295)&amp;OFFSET(NameConv!$AX$4,0,AU295)</f>
        <v>PWRNMVS</v>
      </c>
      <c r="E295" s="515" t="str">
        <f ca="1">OFFSET(NameConv!$F$4,0,AS295)&amp;OFFSET(NameConv!$F$59,AT295,AS295)</f>
        <v>PWRGIC</v>
      </c>
      <c r="F295" s="740" t="s">
        <v>334</v>
      </c>
      <c r="G295" s="515" t="s">
        <v>337</v>
      </c>
      <c r="H295" s="740" t="s">
        <v>334</v>
      </c>
      <c r="I295" s="516">
        <v>0</v>
      </c>
      <c r="J295" s="517">
        <f ca="1">SUMIF(NameConv!$C$5:$C$45,RIGHT(E295,3),OFFSET(NameConv!$AX$5,0,AU295,NameConv!$A$45,1))</f>
        <v>5.0000000000000001E-3</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c r="AS295" s="495">
        <f ca="1">IF(AND(AV294&gt;=SUMIF(NameConv!$C$5:$C$45,RIGHT(E294,3),NameConv!$CG$5:$CG$45),AT294=SUMIF(NameConv!$G$4:$M$4,LEFT(E294,3),NameConv!$G$45:$M$45)),AS294+1,AS294)</f>
        <v>6</v>
      </c>
      <c r="AT295" s="495">
        <f ca="1">IF(AS295&lt;&gt;AS294,1,IF(AV294&gt;=SUMIF(NameConv!$C$5:$C$45,RIGHT(E294,3),NameConv!$CG$5:$CG$45),AT294+1,AT294))</f>
        <v>13</v>
      </c>
      <c r="AU295" s="495">
        <f ca="1">SUMIF(NameConv!$C$5:$C$45,RIGHT(E295,3),OFFSET(NameConv!$CG$5,0,AV295,NameConv!$A$45,1))</f>
        <v>7</v>
      </c>
      <c r="AV295" s="495">
        <f ca="1">IF(AV294&gt;=SUMIF(NameConv!$C$5:$C$45,RIGHT(E294,3),NameConv!$CG$5:$CG$45),1,AV294+1)</f>
        <v>6</v>
      </c>
    </row>
    <row r="296" spans="1:48">
      <c r="A296" s="422" t="str">
        <f t="shared" ca="1" si="10"/>
        <v>*</v>
      </c>
      <c r="B296" s="515" t="str">
        <f t="shared" si="9"/>
        <v>FLO_EMIS</v>
      </c>
      <c r="C296" s="518" t="str">
        <f ca="1">"X"&amp;OFFSET(NameConv!$F$4,0,AS296)&amp;OFFSET(NameConv!$F$59,AT296,AS296)</f>
        <v>XPWRHYD</v>
      </c>
      <c r="D296" s="515" t="str">
        <f ca="1">OFFSET(NameConv!$F$4,0,AS296)&amp;OFFSET(NameConv!$AX$4,0,AU296)</f>
        <v>PWR</v>
      </c>
      <c r="E296" s="515" t="str">
        <f ca="1">OFFSET(NameConv!$F$4,0,AS296)&amp;OFFSET(NameConv!$F$59,AT296,AS296)</f>
        <v>PWRHYD</v>
      </c>
      <c r="F296" s="740" t="s">
        <v>334</v>
      </c>
      <c r="G296" s="515" t="s">
        <v>337</v>
      </c>
      <c r="H296" s="740" t="s">
        <v>334</v>
      </c>
      <c r="I296" s="516">
        <v>0</v>
      </c>
      <c r="J296" s="517">
        <f ca="1">SUMIF(NameConv!$C$5:$C$45,RIGHT(E296,3),OFFSET(NameConv!$AX$5,0,AU296,NameConv!$A$45,1))</f>
        <v>0</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c r="AS296" s="495">
        <f ca="1">IF(AND(AV295&gt;=SUMIF(NameConv!$C$5:$C$45,RIGHT(E295,3),NameConv!$CG$5:$CG$45),AT295=SUMIF(NameConv!$G$4:$M$4,LEFT(E295,3),NameConv!$G$45:$M$45)),AS295+1,AS295)</f>
        <v>6</v>
      </c>
      <c r="AT296" s="495">
        <f ca="1">IF(AS296&lt;&gt;AS295,1,IF(AV295&gt;=SUMIF(NameConv!$C$5:$C$45,RIGHT(E295,3),NameConv!$CG$5:$CG$45),AT295+1,AT295))</f>
        <v>14</v>
      </c>
      <c r="AU296" s="495">
        <f ca="1">SUMIF(NameConv!$C$5:$C$45,RIGHT(E296,3),OFFSET(NameConv!$CG$5,0,AV296,NameConv!$A$45,1))</f>
        <v>0</v>
      </c>
      <c r="AV296" s="495">
        <f ca="1">IF(AV295&gt;=SUMIF(NameConv!$C$5:$C$45,RIGHT(E295,3),NameConv!$CG$5:$CG$45),1,AV295+1)</f>
        <v>1</v>
      </c>
    </row>
    <row r="297" spans="1:48">
      <c r="A297" s="422" t="str">
        <f t="shared" ca="1" si="10"/>
        <v>*</v>
      </c>
      <c r="B297" s="515" t="str">
        <f t="shared" si="9"/>
        <v>FLO_EMIS</v>
      </c>
      <c r="C297" s="518" t="str">
        <f ca="1">"X"&amp;OFFSET(NameConv!$F$4,0,AS297)&amp;OFFSET(NameConv!$F$59,AT297,AS297)</f>
        <v>XPWRHGN</v>
      </c>
      <c r="D297" s="515" t="str">
        <f ca="1">OFFSET(NameConv!$F$4,0,AS297)&amp;OFFSET(NameConv!$AX$4,0,AU297)</f>
        <v>PWR</v>
      </c>
      <c r="E297" s="515" t="str">
        <f ca="1">OFFSET(NameConv!$F$4,0,AS297)&amp;OFFSET(NameConv!$F$59,AT297,AS297)</f>
        <v>PWRHGN</v>
      </c>
      <c r="F297" s="740" t="s">
        <v>334</v>
      </c>
      <c r="G297" s="515" t="s">
        <v>337</v>
      </c>
      <c r="H297" s="740" t="s">
        <v>334</v>
      </c>
      <c r="I297" s="516">
        <v>0</v>
      </c>
      <c r="J297" s="517">
        <f ca="1">SUMIF(NameConv!$C$5:$C$45,RIGHT(E297,3),OFFSET(NameConv!$AX$5,0,AU297,NameConv!$A$45,1))</f>
        <v>0</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c r="AS297" s="495">
        <f ca="1">IF(AND(AV296&gt;=SUMIF(NameConv!$C$5:$C$45,RIGHT(E296,3),NameConv!$CG$5:$CG$45),AT296=SUMIF(NameConv!$G$4:$M$4,LEFT(E296,3),NameConv!$G$45:$M$45)),AS296+1,AS296)</f>
        <v>6</v>
      </c>
      <c r="AT297" s="495">
        <f ca="1">IF(AS297&lt;&gt;AS296,1,IF(AV296&gt;=SUMIF(NameConv!$C$5:$C$45,RIGHT(E296,3),NameConv!$CG$5:$CG$45),AT296+1,AT296))</f>
        <v>15</v>
      </c>
      <c r="AU297" s="495">
        <f ca="1">SUMIF(NameConv!$C$5:$C$45,RIGHT(E297,3),OFFSET(NameConv!$CG$5,0,AV297,NameConv!$A$45,1))</f>
        <v>0</v>
      </c>
      <c r="AV297" s="495">
        <f ca="1">IF(AV296&gt;=SUMIF(NameConv!$C$5:$C$45,RIGHT(E296,3),NameConv!$CG$5:$CG$45),1,AV296+1)</f>
        <v>1</v>
      </c>
    </row>
    <row r="298" spans="1:48">
      <c r="A298" s="422" t="str">
        <f t="shared" ca="1" si="10"/>
        <v>*</v>
      </c>
      <c r="B298" s="515" t="str">
        <f t="shared" si="9"/>
        <v>FLO_EMIS</v>
      </c>
      <c r="C298" s="518" t="str">
        <f ca="1">"X"&amp;OFFSET(NameConv!$F$4,0,AS298)&amp;OFFSET(NameConv!$F$59,AT298,AS298)</f>
        <v>XPWRNUC</v>
      </c>
      <c r="D298" s="515" t="str">
        <f ca="1">OFFSET(NameConv!$F$4,0,AS298)&amp;OFFSET(NameConv!$AX$4,0,AU298)</f>
        <v>PWR</v>
      </c>
      <c r="E298" s="515" t="str">
        <f ca="1">OFFSET(NameConv!$F$4,0,AS298)&amp;OFFSET(NameConv!$F$59,AT298,AS298)</f>
        <v>PWRNUC</v>
      </c>
      <c r="F298" s="740" t="s">
        <v>334</v>
      </c>
      <c r="G298" s="515" t="s">
        <v>337</v>
      </c>
      <c r="H298" s="740" t="s">
        <v>334</v>
      </c>
      <c r="I298" s="516">
        <v>0</v>
      </c>
      <c r="J298" s="517">
        <f ca="1">SUMIF(NameConv!$C$5:$C$45,RIGHT(E298,3),OFFSET(NameConv!$AX$5,0,AU298,NameConv!$A$45,1))</f>
        <v>0</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c r="AS298" s="495">
        <f ca="1">IF(AND(AV297&gt;=SUMIF(NameConv!$C$5:$C$45,RIGHT(E297,3),NameConv!$CG$5:$CG$45),AT297=SUMIF(NameConv!$G$4:$M$4,LEFT(E297,3),NameConv!$G$45:$M$45)),AS297+1,AS297)</f>
        <v>6</v>
      </c>
      <c r="AT298" s="495">
        <f ca="1">IF(AS298&lt;&gt;AS297,1,IF(AV297&gt;=SUMIF(NameConv!$C$5:$C$45,RIGHT(E297,3),NameConv!$CG$5:$CG$45),AT297+1,AT297))</f>
        <v>16</v>
      </c>
      <c r="AU298" s="495">
        <f ca="1">SUMIF(NameConv!$C$5:$C$45,RIGHT(E298,3),OFFSET(NameConv!$CG$5,0,AV298,NameConv!$A$45,1))</f>
        <v>0</v>
      </c>
      <c r="AV298" s="495">
        <f ca="1">IF(AV297&gt;=SUMIF(NameConv!$C$5:$C$45,RIGHT(E297,3),NameConv!$CG$5:$CG$45),1,AV297+1)</f>
        <v>1</v>
      </c>
    </row>
    <row r="299" spans="1:48">
      <c r="A299" s="422" t="str">
        <f t="shared" ca="1" si="10"/>
        <v/>
      </c>
      <c r="B299" s="515" t="str">
        <f t="shared" si="9"/>
        <v>FLO_EMIS</v>
      </c>
      <c r="C299" s="518" t="str">
        <f ca="1">"X"&amp;OFFSET(NameConv!$F$4,0,AS299)&amp;OFFSET(NameConv!$F$59,AT299,AS299)</f>
        <v>XPWRODS</v>
      </c>
      <c r="D299" s="515" t="str">
        <f ca="1">OFFSET(NameConv!$F$4,0,AS299)&amp;OFFSET(NameConv!$AX$4,0,AU299)</f>
        <v>PWRCO2S</v>
      </c>
      <c r="E299" s="515" t="str">
        <f ca="1">OFFSET(NameConv!$F$4,0,AS299)&amp;OFFSET(NameConv!$F$59,AT299,AS299)</f>
        <v>PWRODS</v>
      </c>
      <c r="F299" s="740" t="s">
        <v>334</v>
      </c>
      <c r="G299" s="515" t="s">
        <v>337</v>
      </c>
      <c r="H299" s="740" t="s">
        <v>334</v>
      </c>
      <c r="I299" s="516">
        <v>0</v>
      </c>
      <c r="J299" s="517">
        <f ca="1">SUMIF(NameConv!$C$5:$C$45,RIGHT(E299,3),OFFSET(NameConv!$AX$5,0,AU299,NameConv!$A$45,1))</f>
        <v>74.066699999999997</v>
      </c>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c r="AS299" s="495">
        <f ca="1">IF(AND(AV298&gt;=SUMIF(NameConv!$C$5:$C$45,RIGHT(E298,3),NameConv!$CG$5:$CG$45),AT298=SUMIF(NameConv!$G$4:$M$4,LEFT(E298,3),NameConv!$G$45:$M$45)),AS298+1,AS298)</f>
        <v>6</v>
      </c>
      <c r="AT299" s="495">
        <f ca="1">IF(AS299&lt;&gt;AS298,1,IF(AV298&gt;=SUMIF(NameConv!$C$5:$C$45,RIGHT(E298,3),NameConv!$CG$5:$CG$45),AT298+1,AT298))</f>
        <v>17</v>
      </c>
      <c r="AU299" s="495">
        <f ca="1">SUMIF(NameConv!$C$5:$C$45,RIGHT(E299,3),OFFSET(NameConv!$CG$5,0,AV299,NameConv!$A$45,1))</f>
        <v>1</v>
      </c>
      <c r="AV299" s="495">
        <f ca="1">IF(AV298&gt;=SUMIF(NameConv!$C$5:$C$45,RIGHT(E298,3),NameConv!$CG$5:$CG$45),1,AV298+1)</f>
        <v>1</v>
      </c>
    </row>
    <row r="300" spans="1:48">
      <c r="A300" s="422" t="str">
        <f t="shared" ref="A300:A309" ca="1" si="11">IF(J300=0,"*","")</f>
        <v/>
      </c>
      <c r="B300" s="515" t="str">
        <f t="shared" si="9"/>
        <v>FLO_EMIS</v>
      </c>
      <c r="C300" s="518" t="str">
        <f ca="1">"X"&amp;OFFSET(NameConv!$F$4,0,AS300)&amp;OFFSET(NameConv!$F$59,AT300,AS300)</f>
        <v>XPWRODS</v>
      </c>
      <c r="D300" s="515" t="str">
        <f ca="1">OFFSET(NameConv!$F$4,0,AS300)&amp;OFFSET(NameConv!$AX$4,0,AU300)</f>
        <v>PWRCH4S</v>
      </c>
      <c r="E300" s="515" t="str">
        <f ca="1">OFFSET(NameConv!$F$4,0,AS300)&amp;OFFSET(NameConv!$F$59,AT300,AS300)</f>
        <v>PWRODS</v>
      </c>
      <c r="F300" s="740" t="s">
        <v>334</v>
      </c>
      <c r="G300" s="515" t="s">
        <v>337</v>
      </c>
      <c r="H300" s="740" t="s">
        <v>334</v>
      </c>
      <c r="I300" s="516">
        <v>0</v>
      </c>
      <c r="J300" s="517">
        <f ca="1">SUMIF(NameConv!$C$5:$C$45,RIGHT(E300,3),OFFSET(NameConv!$AX$5,0,AU300,NameConv!$A$45,1))</f>
        <v>3.0000000000000001E-3</v>
      </c>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c r="AS300" s="495">
        <f ca="1">IF(AND(AV299&gt;=SUMIF(NameConv!$C$5:$C$45,RIGHT(E299,3),NameConv!$CG$5:$CG$45),AT299=SUMIF(NameConv!$G$4:$M$4,LEFT(E299,3),NameConv!$G$45:$M$45)),AS299+1,AS299)</f>
        <v>6</v>
      </c>
      <c r="AT300" s="495">
        <f ca="1">IF(AS300&lt;&gt;AS299,1,IF(AV299&gt;=SUMIF(NameConv!$C$5:$C$45,RIGHT(E299,3),NameConv!$CG$5:$CG$45),AT299+1,AT299))</f>
        <v>17</v>
      </c>
      <c r="AU300" s="495">
        <f ca="1">SUMIF(NameConv!$C$5:$C$45,RIGHT(E300,3),OFFSET(NameConv!$CG$5,0,AV300,NameConv!$A$45,1))</f>
        <v>2</v>
      </c>
      <c r="AV300" s="495">
        <f ca="1">IF(AV299&gt;=SUMIF(NameConv!$C$5:$C$45,RIGHT(E299,3),NameConv!$CG$5:$CG$45),1,AV299+1)</f>
        <v>2</v>
      </c>
    </row>
    <row r="301" spans="1:48">
      <c r="A301" s="422" t="str">
        <f t="shared" ca="1" si="11"/>
        <v/>
      </c>
      <c r="B301" s="515" t="str">
        <f t="shared" si="9"/>
        <v>FLO_EMIS</v>
      </c>
      <c r="C301" s="518" t="str">
        <f ca="1">"X"&amp;OFFSET(NameConv!$F$4,0,AS301)&amp;OFFSET(NameConv!$F$59,AT301,AS301)</f>
        <v>XPWRODS</v>
      </c>
      <c r="D301" s="515" t="str">
        <f ca="1">OFFSET(NameConv!$F$4,0,AS301)&amp;OFFSET(NameConv!$AX$4,0,AU301)</f>
        <v>PWRN2OS</v>
      </c>
      <c r="E301" s="515" t="str">
        <f ca="1">OFFSET(NameConv!$F$4,0,AS301)&amp;OFFSET(NameConv!$F$59,AT301,AS301)</f>
        <v>PWRODS</v>
      </c>
      <c r="F301" s="740" t="s">
        <v>334</v>
      </c>
      <c r="G301" s="515" t="s">
        <v>337</v>
      </c>
      <c r="H301" s="740" t="s">
        <v>334</v>
      </c>
      <c r="I301" s="516">
        <v>0</v>
      </c>
      <c r="J301" s="517">
        <f ca="1">SUMIF(NameConv!$C$5:$C$45,RIGHT(E301,3),OFFSET(NameConv!$AX$5,0,AU301,NameConv!$A$45,1))</f>
        <v>5.9999999999999995E-4</v>
      </c>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c r="AS301" s="495">
        <f ca="1">IF(AND(AV300&gt;=SUMIF(NameConv!$C$5:$C$45,RIGHT(E300,3),NameConv!$CG$5:$CG$45),AT300=SUMIF(NameConv!$G$4:$M$4,LEFT(E300,3),NameConv!$G$45:$M$45)),AS300+1,AS300)</f>
        <v>6</v>
      </c>
      <c r="AT301" s="495">
        <f ca="1">IF(AS301&lt;&gt;AS300,1,IF(AV300&gt;=SUMIF(NameConv!$C$5:$C$45,RIGHT(E300,3),NameConv!$CG$5:$CG$45),AT300+1,AT300))</f>
        <v>17</v>
      </c>
      <c r="AU301" s="495">
        <f ca="1">SUMIF(NameConv!$C$5:$C$45,RIGHT(E301,3),OFFSET(NameConv!$CG$5,0,AV301,NameConv!$A$45,1))</f>
        <v>3</v>
      </c>
      <c r="AV301" s="495">
        <f ca="1">IF(AV300&gt;=SUMIF(NameConv!$C$5:$C$45,RIGHT(E300,3),NameConv!$CG$5:$CG$45),1,AV300+1)</f>
        <v>3</v>
      </c>
    </row>
    <row r="302" spans="1:48">
      <c r="A302" s="422" t="str">
        <f t="shared" ca="1" si="11"/>
        <v/>
      </c>
      <c r="B302" s="515" t="str">
        <f t="shared" si="9"/>
        <v>FLO_EMIS</v>
      </c>
      <c r="C302" s="518" t="str">
        <f ca="1">"X"&amp;OFFSET(NameConv!$F$4,0,AS302)&amp;OFFSET(NameConv!$F$59,AT302,AS302)</f>
        <v>XPWRODS</v>
      </c>
      <c r="D302" s="515" t="str">
        <f ca="1">OFFSET(NameConv!$F$4,0,AS302)&amp;OFFSET(NameConv!$AX$4,0,AU302)</f>
        <v>PWRSOXS</v>
      </c>
      <c r="E302" s="515" t="str">
        <f ca="1">OFFSET(NameConv!$F$4,0,AS302)&amp;OFFSET(NameConv!$F$59,AT302,AS302)</f>
        <v>PWRODS</v>
      </c>
      <c r="F302" s="740" t="s">
        <v>334</v>
      </c>
      <c r="G302" s="515" t="s">
        <v>337</v>
      </c>
      <c r="H302" s="740" t="s">
        <v>334</v>
      </c>
      <c r="I302" s="516">
        <v>0</v>
      </c>
      <c r="J302" s="517">
        <f ca="1">SUMIF(NameConv!$C$5:$C$45,RIGHT(E302,3),OFFSET(NameConv!$AX$5,0,AU302,NameConv!$A$45,1))</f>
        <v>0.25290000000000001</v>
      </c>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c r="AS302" s="495">
        <f ca="1">IF(AND(AV301&gt;=SUMIF(NameConv!$C$5:$C$45,RIGHT(E301,3),NameConv!$CG$5:$CG$45),AT301=SUMIF(NameConv!$G$4:$M$4,LEFT(E301,3),NameConv!$G$45:$M$45)),AS301+1,AS301)</f>
        <v>6</v>
      </c>
      <c r="AT302" s="495">
        <f ca="1">IF(AS302&lt;&gt;AS301,1,IF(AV301&gt;=SUMIF(NameConv!$C$5:$C$45,RIGHT(E301,3),NameConv!$CG$5:$CG$45),AT301+1,AT301))</f>
        <v>17</v>
      </c>
      <c r="AU302" s="495">
        <f ca="1">SUMIF(NameConv!$C$5:$C$45,RIGHT(E302,3),OFFSET(NameConv!$CG$5,0,AV302,NameConv!$A$45,1))</f>
        <v>4</v>
      </c>
      <c r="AV302" s="495">
        <f ca="1">IF(AV301&gt;=SUMIF(NameConv!$C$5:$C$45,RIGHT(E301,3),NameConv!$CG$5:$CG$45),1,AV301+1)</f>
        <v>4</v>
      </c>
    </row>
    <row r="303" spans="1:48">
      <c r="A303" s="422" t="str">
        <f t="shared" ca="1" si="11"/>
        <v/>
      </c>
      <c r="B303" s="515" t="str">
        <f t="shared" si="9"/>
        <v>FLO_EMIS</v>
      </c>
      <c r="C303" s="518" t="str">
        <f ca="1">"X"&amp;OFFSET(NameConv!$F$4,0,AS303)&amp;OFFSET(NameConv!$F$59,AT303,AS303)</f>
        <v>XPWRODS</v>
      </c>
      <c r="D303" s="515" t="str">
        <f ca="1">OFFSET(NameConv!$F$4,0,AS303)&amp;OFFSET(NameConv!$AX$4,0,AU303)</f>
        <v>PWRNOXS</v>
      </c>
      <c r="E303" s="515" t="str">
        <f ca="1">OFFSET(NameConv!$F$4,0,AS303)&amp;OFFSET(NameConv!$F$59,AT303,AS303)</f>
        <v>PWRODS</v>
      </c>
      <c r="F303" s="740" t="s">
        <v>334</v>
      </c>
      <c r="G303" s="515" t="s">
        <v>337</v>
      </c>
      <c r="H303" s="740" t="s">
        <v>334</v>
      </c>
      <c r="I303" s="516">
        <v>0</v>
      </c>
      <c r="J303" s="517">
        <f ca="1">SUMIF(NameConv!$C$5:$C$45,RIGHT(E303,3),OFFSET(NameConv!$AX$5,0,AU303,NameConv!$A$45,1))</f>
        <v>0.2</v>
      </c>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c r="AS303" s="495">
        <f ca="1">IF(AND(AV302&gt;=SUMIF(NameConv!$C$5:$C$45,RIGHT(E302,3),NameConv!$CG$5:$CG$45),AT302=SUMIF(NameConv!$G$4:$M$4,LEFT(E302,3),NameConv!$G$45:$M$45)),AS302+1,AS302)</f>
        <v>6</v>
      </c>
      <c r="AT303" s="495">
        <f ca="1">IF(AS303&lt;&gt;AS302,1,IF(AV302&gt;=SUMIF(NameConv!$C$5:$C$45,RIGHT(E302,3),NameConv!$CG$5:$CG$45),AT302+1,AT302))</f>
        <v>17</v>
      </c>
      <c r="AU303" s="495">
        <f ca="1">SUMIF(NameConv!$C$5:$C$45,RIGHT(E303,3),OFFSET(NameConv!$CG$5,0,AV303,NameConv!$A$45,1))</f>
        <v>5</v>
      </c>
      <c r="AV303" s="495">
        <f ca="1">IF(AV302&gt;=SUMIF(NameConv!$C$5:$C$45,RIGHT(E302,3),NameConv!$CG$5:$CG$45),1,AV302+1)</f>
        <v>5</v>
      </c>
    </row>
    <row r="304" spans="1:48">
      <c r="A304" s="422" t="str">
        <f t="shared" ca="1" si="11"/>
        <v/>
      </c>
      <c r="B304" s="515" t="str">
        <f t="shared" si="9"/>
        <v>FLO_EMIS</v>
      </c>
      <c r="C304" s="518" t="str">
        <f ca="1">"X"&amp;OFFSET(NameConv!$F$4,0,AS304)&amp;OFFSET(NameConv!$F$59,AT304,AS304)</f>
        <v>XPWRODS</v>
      </c>
      <c r="D304" s="515" t="str">
        <f ca="1">OFFSET(NameConv!$F$4,0,AS304)&amp;OFFSET(NameConv!$AX$4,0,AU304)</f>
        <v>PWRCMOX</v>
      </c>
      <c r="E304" s="515" t="str">
        <f ca="1">OFFSET(NameConv!$F$4,0,AS304)&amp;OFFSET(NameConv!$F$59,AT304,AS304)</f>
        <v>PWRODS</v>
      </c>
      <c r="F304" s="740" t="s">
        <v>334</v>
      </c>
      <c r="G304" s="515" t="s">
        <v>337</v>
      </c>
      <c r="H304" s="740" t="s">
        <v>334</v>
      </c>
      <c r="I304" s="516">
        <v>0</v>
      </c>
      <c r="J304" s="517">
        <f ca="1">SUMIF(NameConv!$C$5:$C$45,RIGHT(E304,3),OFFSET(NameConv!$AX$5,0,AU304,NameConv!$A$45,1))</f>
        <v>1.4999999999999999E-2</v>
      </c>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c r="AS304" s="495">
        <f ca="1">IF(AND(AV303&gt;=SUMIF(NameConv!$C$5:$C$45,RIGHT(E303,3),NameConv!$CG$5:$CG$45),AT303=SUMIF(NameConv!$G$4:$M$4,LEFT(E303,3),NameConv!$G$45:$M$45)),AS303+1,AS303)</f>
        <v>6</v>
      </c>
      <c r="AT304" s="495">
        <f ca="1">IF(AS304&lt;&gt;AS303,1,IF(AV303&gt;=SUMIF(NameConv!$C$5:$C$45,RIGHT(E303,3),NameConv!$CG$5:$CG$45),AT303+1,AT303))</f>
        <v>17</v>
      </c>
      <c r="AU304" s="495">
        <f ca="1">SUMIF(NameConv!$C$5:$C$45,RIGHT(E304,3),OFFSET(NameConv!$CG$5,0,AV304,NameConv!$A$45,1))</f>
        <v>6</v>
      </c>
      <c r="AV304" s="495">
        <f ca="1">IF(AV303&gt;=SUMIF(NameConv!$C$5:$C$45,RIGHT(E303,3),NameConv!$CG$5:$CG$45),1,AV303+1)</f>
        <v>6</v>
      </c>
    </row>
    <row r="305" spans="1:48">
      <c r="A305" s="422" t="str">
        <f t="shared" ca="1" si="11"/>
        <v/>
      </c>
      <c r="B305" s="515" t="str">
        <f t="shared" si="9"/>
        <v>FLO_EMIS</v>
      </c>
      <c r="C305" s="518" t="str">
        <f ca="1">"X"&amp;OFFSET(NameConv!$F$4,0,AS305)&amp;OFFSET(NameConv!$F$59,AT305,AS305)</f>
        <v>XPWRODS</v>
      </c>
      <c r="D305" s="515" t="str">
        <f ca="1">OFFSET(NameConv!$F$4,0,AS305)&amp;OFFSET(NameConv!$AX$4,0,AU305)</f>
        <v>PWRNMVS</v>
      </c>
      <c r="E305" s="515" t="str">
        <f ca="1">OFFSET(NameConv!$F$4,0,AS305)&amp;OFFSET(NameConv!$F$59,AT305,AS305)</f>
        <v>PWRODS</v>
      </c>
      <c r="F305" s="740" t="s">
        <v>334</v>
      </c>
      <c r="G305" s="515" t="s">
        <v>337</v>
      </c>
      <c r="H305" s="740" t="s">
        <v>334</v>
      </c>
      <c r="I305" s="516">
        <v>0</v>
      </c>
      <c r="J305" s="517">
        <f ca="1">SUMIF(NameConv!$C$5:$C$45,RIGHT(E305,3),OFFSET(NameConv!$AX$5,0,AU305,NameConv!$A$45,1))</f>
        <v>5.0000000000000001E-3</v>
      </c>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c r="AS305" s="495">
        <f ca="1">IF(AND(AV304&gt;=SUMIF(NameConv!$C$5:$C$45,RIGHT(E304,3),NameConv!$CG$5:$CG$45),AT304=SUMIF(NameConv!$G$4:$M$4,LEFT(E304,3),NameConv!$G$45:$M$45)),AS304+1,AS304)</f>
        <v>6</v>
      </c>
      <c r="AT305" s="495">
        <f ca="1">IF(AS305&lt;&gt;AS304,1,IF(AV304&gt;=SUMIF(NameConv!$C$5:$C$45,RIGHT(E304,3),NameConv!$CG$5:$CG$45),AT304+1,AT304))</f>
        <v>17</v>
      </c>
      <c r="AU305" s="495">
        <f ca="1">SUMIF(NameConv!$C$5:$C$45,RIGHT(E305,3),OFFSET(NameConv!$CG$5,0,AV305,NameConv!$A$45,1))</f>
        <v>7</v>
      </c>
      <c r="AV305" s="495">
        <f ca="1">IF(AV304&gt;=SUMIF(NameConv!$C$5:$C$45,RIGHT(E304,3),NameConv!$CG$5:$CG$45),1,AV304+1)</f>
        <v>7</v>
      </c>
    </row>
    <row r="306" spans="1:48">
      <c r="A306" s="422" t="str">
        <f t="shared" ca="1" si="11"/>
        <v>*</v>
      </c>
      <c r="B306" s="515" t="str">
        <f t="shared" si="9"/>
        <v>FLO_EMIS</v>
      </c>
      <c r="C306" s="518" t="str">
        <f ca="1">"X"&amp;OFFSET(NameConv!$F$4,0,AS306)&amp;OFFSET(NameConv!$F$59,AT306,AS306)</f>
        <v>XPWRSOL</v>
      </c>
      <c r="D306" s="515" t="str">
        <f ca="1">OFFSET(NameConv!$F$4,0,AS306)&amp;OFFSET(NameConv!$AX$4,0,AU306)</f>
        <v>PWR</v>
      </c>
      <c r="E306" s="515" t="str">
        <f ca="1">OFFSET(NameConv!$F$4,0,AS306)&amp;OFFSET(NameConv!$F$59,AT306,AS306)</f>
        <v>PWRSOL</v>
      </c>
      <c r="F306" s="740" t="s">
        <v>334</v>
      </c>
      <c r="G306" s="515" t="s">
        <v>337</v>
      </c>
      <c r="H306" s="740" t="s">
        <v>334</v>
      </c>
      <c r="I306" s="516">
        <v>0</v>
      </c>
      <c r="J306" s="517">
        <f ca="1">SUMIF(NameConv!$C$5:$C$45,RIGHT(E306,3),OFFSET(NameConv!$AX$5,0,AU306,NameConv!$A$45,1))</f>
        <v>0</v>
      </c>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c r="AS306" s="495">
        <f ca="1">IF(AND(AV305&gt;=SUMIF(NameConv!$C$5:$C$45,RIGHT(E305,3),NameConv!$CG$5:$CG$45),AT305=SUMIF(NameConv!$G$4:$M$4,LEFT(E305,3),NameConv!$G$45:$M$45)),AS305+1,AS305)</f>
        <v>6</v>
      </c>
      <c r="AT306" s="495">
        <f ca="1">IF(AS306&lt;&gt;AS305,1,IF(AV305&gt;=SUMIF(NameConv!$C$5:$C$45,RIGHT(E305,3),NameConv!$CG$5:$CG$45),AT305+1,AT305))</f>
        <v>18</v>
      </c>
      <c r="AU306" s="495">
        <f ca="1">SUMIF(NameConv!$C$5:$C$45,RIGHT(E306,3),OFFSET(NameConv!$CG$5,0,AV306,NameConv!$A$45,1))</f>
        <v>0</v>
      </c>
      <c r="AV306" s="495">
        <f ca="1">IF(AV305&gt;=SUMIF(NameConv!$C$5:$C$45,RIGHT(E305,3),NameConv!$CG$5:$CG$45),1,AV305+1)</f>
        <v>1</v>
      </c>
    </row>
    <row r="307" spans="1:48">
      <c r="A307" s="422" t="str">
        <f t="shared" ca="1" si="11"/>
        <v>*</v>
      </c>
      <c r="B307" s="515" t="str">
        <f t="shared" si="9"/>
        <v>FLO_EMIS</v>
      </c>
      <c r="C307" s="518" t="str">
        <f ca="1">"X"&amp;OFFSET(NameConv!$F$4,0,AS307)&amp;OFFSET(NameConv!$F$59,AT307,AS307)</f>
        <v>XPWRWND</v>
      </c>
      <c r="D307" s="515" t="str">
        <f ca="1">OFFSET(NameConv!$F$4,0,AS307)&amp;OFFSET(NameConv!$AX$4,0,AU307)</f>
        <v>PWR</v>
      </c>
      <c r="E307" s="515" t="str">
        <f ca="1">OFFSET(NameConv!$F$4,0,AS307)&amp;OFFSET(NameConv!$F$59,AT307,AS307)</f>
        <v>PWRWND</v>
      </c>
      <c r="F307" s="740" t="s">
        <v>334</v>
      </c>
      <c r="G307" s="515" t="s">
        <v>337</v>
      </c>
      <c r="H307" s="740" t="s">
        <v>334</v>
      </c>
      <c r="I307" s="516">
        <v>0</v>
      </c>
      <c r="J307" s="517">
        <f ca="1">SUMIF(NameConv!$C$5:$C$45,RIGHT(E307,3),OFFSET(NameConv!$AX$5,0,AU307,NameConv!$A$45,1))</f>
        <v>0</v>
      </c>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c r="AS307" s="495">
        <f ca="1">IF(AND(AV306&gt;=SUMIF(NameConv!$C$5:$C$45,RIGHT(E306,3),NameConv!$CG$5:$CG$45),AT306=SUMIF(NameConv!$G$4:$M$4,LEFT(E306,3),NameConv!$G$45:$M$45)),AS306+1,AS306)</f>
        <v>6</v>
      </c>
      <c r="AT307" s="495">
        <f ca="1">IF(AS307&lt;&gt;AS306,1,IF(AV306&gt;=SUMIF(NameConv!$C$5:$C$45,RIGHT(E306,3),NameConv!$CG$5:$CG$45),AT306+1,AT306))</f>
        <v>19</v>
      </c>
      <c r="AU307" s="495">
        <f ca="1">SUMIF(NameConv!$C$5:$C$45,RIGHT(E307,3),OFFSET(NameConv!$CG$5,0,AV307,NameConv!$A$45,1))</f>
        <v>0</v>
      </c>
      <c r="AV307" s="495">
        <f ca="1">IF(AV306&gt;=SUMIF(NameConv!$C$5:$C$45,RIGHT(E306,3),NameConv!$CG$5:$CG$45),1,AV306+1)</f>
        <v>1</v>
      </c>
    </row>
    <row r="308" spans="1:48">
      <c r="A308" s="422" t="str">
        <f t="shared" ca="1" si="11"/>
        <v>*</v>
      </c>
      <c r="B308" s="515" t="str">
        <f t="shared" si="9"/>
        <v>FLO_EMIS</v>
      </c>
      <c r="C308" s="518" t="str">
        <f ca="1">"X"&amp;OFFSET(NameConv!$F$4,0,AS308)&amp;OFFSET(NameConv!$F$59,AT308,AS308)</f>
        <v>XUPSBIE</v>
      </c>
      <c r="D308" s="515" t="str">
        <f ca="1">OFFSET(NameConv!$F$4,0,AS308)&amp;OFFSET(NameConv!$AX$4,0,AU308)</f>
        <v>UPS</v>
      </c>
      <c r="E308" s="515" t="str">
        <f ca="1">OFFSET(NameConv!$F$4,0,AS308)&amp;OFFSET(NameConv!$F$59,AT308,AS308)</f>
        <v>UPSBIE</v>
      </c>
      <c r="F308" s="740" t="s">
        <v>334</v>
      </c>
      <c r="G308" s="515" t="s">
        <v>337</v>
      </c>
      <c r="H308" s="740" t="s">
        <v>334</v>
      </c>
      <c r="I308" s="516">
        <v>0</v>
      </c>
      <c r="J308" s="517">
        <f ca="1">SUMIF(NameConv!$C$5:$C$45,RIGHT(E308,3),OFFSET(NameConv!$AX$5,0,AU308,NameConv!$A$45,1))</f>
        <v>0</v>
      </c>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c r="AS308" s="495">
        <f ca="1">IF(AND(AV307&gt;=SUMIF(NameConv!$C$5:$C$45,RIGHT(E307,3),NameConv!$CG$5:$CG$45),AT307=SUMIF(NameConv!$G$4:$M$4,LEFT(E307,3),NameConv!$G$45:$M$45)),AS307+1,AS307)</f>
        <v>7</v>
      </c>
      <c r="AT308" s="495">
        <f ca="1">IF(AS308&lt;&gt;AS307,1,IF(AV307&gt;=SUMIF(NameConv!$C$5:$C$45,RIGHT(E307,3),NameConv!$CG$5:$CG$45),AT307+1,AT307))</f>
        <v>1</v>
      </c>
      <c r="AU308" s="495">
        <f ca="1">SUMIF(NameConv!$C$5:$C$45,RIGHT(E308,3),OFFSET(NameConv!$CG$5,0,AV308,NameConv!$A$45,1))</f>
        <v>0</v>
      </c>
      <c r="AV308" s="495">
        <f ca="1">IF(AV307&gt;=SUMIF(NameConv!$C$5:$C$45,RIGHT(E307,3),NameConv!$CG$5:$CG$45),1,AV307+1)</f>
        <v>1</v>
      </c>
    </row>
    <row r="309" spans="1:48">
      <c r="A309" s="422" t="str">
        <f t="shared" ca="1" si="11"/>
        <v>*</v>
      </c>
      <c r="B309" s="515" t="str">
        <f t="shared" si="9"/>
        <v>FLO_EMIS</v>
      </c>
      <c r="C309" s="518" t="str">
        <f ca="1">"X"&amp;OFFSET(NameConv!$F$4,0,AS309)&amp;OFFSET(NameConv!$F$59,AT309,AS309)</f>
        <v>XUPSBID</v>
      </c>
      <c r="D309" s="515" t="str">
        <f ca="1">OFFSET(NameConv!$F$4,0,AS309)&amp;OFFSET(NameConv!$AX$4,0,AU309)</f>
        <v>UPS</v>
      </c>
      <c r="E309" s="515" t="str">
        <f ca="1">OFFSET(NameConv!$F$4,0,AS309)&amp;OFFSET(NameConv!$F$59,AT309,AS309)</f>
        <v>UPSBID</v>
      </c>
      <c r="F309" s="740" t="s">
        <v>334</v>
      </c>
      <c r="G309" s="515" t="s">
        <v>337</v>
      </c>
      <c r="H309" s="740" t="s">
        <v>334</v>
      </c>
      <c r="I309" s="516">
        <v>0</v>
      </c>
      <c r="J309" s="517">
        <f ca="1">SUMIF(NameConv!$C$5:$C$45,RIGHT(E309,3),OFFSET(NameConv!$AX$5,0,AU309,NameConv!$A$45,1))</f>
        <v>0</v>
      </c>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c r="AS309" s="495">
        <f ca="1">IF(AND(AV308&gt;=SUMIF(NameConv!$C$5:$C$45,RIGHT(E308,3),NameConv!$CG$5:$CG$45),AT308=SUMIF(NameConv!$G$4:$M$4,LEFT(E308,3),NameConv!$G$45:$M$45)),AS308+1,AS308)</f>
        <v>7</v>
      </c>
      <c r="AT309" s="495">
        <f ca="1">IF(AS309&lt;&gt;AS308,1,IF(AV308&gt;=SUMIF(NameConv!$C$5:$C$45,RIGHT(E308,3),NameConv!$CG$5:$CG$45),AT308+1,AT308))</f>
        <v>2</v>
      </c>
      <c r="AU309" s="495">
        <f ca="1">SUMIF(NameConv!$C$5:$C$45,RIGHT(E309,3),OFFSET(NameConv!$CG$5,0,AV309,NameConv!$A$45,1))</f>
        <v>0</v>
      </c>
      <c r="AV309" s="495">
        <f ca="1">IF(AV308&gt;=SUMIF(NameConv!$C$5:$C$45,RIGHT(E308,3),NameConv!$CG$5:$CG$45),1,AV308+1)</f>
        <v>1</v>
      </c>
    </row>
    <row r="310" spans="1:48">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row r="311" spans="1:48">
      <c r="B311" s="515"/>
      <c r="C311" s="518"/>
      <c r="D311" s="515"/>
      <c r="E311" s="515"/>
      <c r="F311" s="740"/>
      <c r="G311" s="515"/>
      <c r="H311" s="740"/>
      <c r="I311" s="516"/>
      <c r="J311" s="517"/>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R311" s="518"/>
    </row>
    <row r="312" spans="1:48">
      <c r="B312" s="515"/>
      <c r="C312" s="518"/>
      <c r="D312" s="515"/>
      <c r="E312" s="515"/>
      <c r="F312" s="740"/>
      <c r="G312" s="515"/>
      <c r="H312" s="740"/>
      <c r="I312" s="516"/>
      <c r="J312" s="517"/>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R312" s="518"/>
    </row>
    <row r="313" spans="1:48">
      <c r="B313" s="515"/>
      <c r="C313" s="518"/>
      <c r="D313" s="515"/>
      <c r="E313" s="515"/>
      <c r="F313" s="740"/>
      <c r="G313" s="515"/>
      <c r="H313" s="740"/>
      <c r="I313" s="516"/>
      <c r="J313" s="517"/>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R313" s="518"/>
    </row>
    <row r="314" spans="1:48">
      <c r="B314" s="515"/>
      <c r="C314" s="518"/>
      <c r="D314" s="515"/>
      <c r="E314" s="515"/>
      <c r="F314" s="740"/>
      <c r="G314" s="515"/>
      <c r="H314" s="740"/>
      <c r="I314" s="516"/>
      <c r="J314" s="517"/>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R314" s="518"/>
    </row>
    <row r="315" spans="1:48">
      <c r="B315" s="515"/>
      <c r="C315" s="518"/>
      <c r="D315" s="515"/>
      <c r="E315" s="515"/>
      <c r="F315" s="740"/>
      <c r="G315" s="515"/>
      <c r="H315" s="740"/>
      <c r="I315" s="516"/>
      <c r="J315" s="517"/>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R315" s="518"/>
    </row>
    <row r="316" spans="1:48">
      <c r="B316" s="515"/>
      <c r="C316" s="518"/>
      <c r="D316" s="515"/>
      <c r="E316" s="515"/>
      <c r="F316" s="740"/>
      <c r="G316" s="515"/>
      <c r="H316" s="740"/>
      <c r="I316" s="516"/>
      <c r="J316" s="517"/>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R316" s="518"/>
    </row>
    <row r="317" spans="1:48">
      <c r="B317" s="515"/>
      <c r="C317" s="518"/>
      <c r="D317" s="515"/>
      <c r="E317" s="515"/>
      <c r="F317" s="740"/>
      <c r="G317" s="515"/>
      <c r="H317" s="740"/>
      <c r="I317" s="516"/>
      <c r="J317" s="517"/>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R317" s="518"/>
    </row>
    <row r="318" spans="1:48">
      <c r="B318" s="515"/>
      <c r="C318" s="518"/>
      <c r="D318" s="515"/>
      <c r="E318" s="515"/>
      <c r="F318" s="740"/>
      <c r="G318" s="515"/>
      <c r="H318" s="740"/>
      <c r="I318" s="516"/>
      <c r="J318" s="517"/>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R318" s="518"/>
    </row>
    <row r="319" spans="1:48">
      <c r="B319" s="515"/>
      <c r="C319" s="518"/>
      <c r="D319" s="515"/>
      <c r="E319" s="515"/>
      <c r="F319" s="740"/>
      <c r="G319" s="515"/>
      <c r="H319" s="740"/>
      <c r="I319" s="516"/>
      <c r="J319" s="517"/>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R319" s="518"/>
    </row>
    <row r="320" spans="1:48">
      <c r="B320" s="515"/>
      <c r="C320" s="518"/>
      <c r="D320" s="515"/>
      <c r="E320" s="515"/>
      <c r="F320" s="740"/>
      <c r="G320" s="515"/>
      <c r="H320" s="740"/>
      <c r="I320" s="516"/>
      <c r="J320" s="517"/>
      <c r="K320" s="518"/>
      <c r="L320" s="518"/>
      <c r="M320" s="518"/>
      <c r="N320" s="518"/>
      <c r="O320" s="518"/>
      <c r="P320" s="518"/>
      <c r="Q320" s="518"/>
      <c r="R320" s="518"/>
      <c r="S320" s="518"/>
      <c r="T320" s="518"/>
      <c r="U320" s="518"/>
      <c r="V320" s="518"/>
      <c r="W320" s="518"/>
      <c r="X320" s="518"/>
      <c r="Y320" s="518"/>
      <c r="Z320" s="518"/>
      <c r="AA320" s="518"/>
      <c r="AB320" s="518"/>
      <c r="AC320" s="518"/>
      <c r="AD320" s="518"/>
      <c r="AE320" s="518"/>
      <c r="AF320" s="518"/>
      <c r="AG320" s="518"/>
      <c r="AH320" s="518"/>
      <c r="AI320" s="518"/>
      <c r="AJ320" s="518"/>
      <c r="AK320" s="518"/>
      <c r="AL320" s="518"/>
      <c r="AM320" s="518"/>
      <c r="AN320" s="518"/>
      <c r="AO320" s="518"/>
      <c r="AP320" s="518"/>
      <c r="AQ320" s="518"/>
      <c r="AR320" s="518"/>
    </row>
    <row r="321" spans="2:44">
      <c r="B321" s="515"/>
      <c r="C321" s="518"/>
      <c r="D321" s="515"/>
      <c r="E321" s="515"/>
      <c r="F321" s="740"/>
      <c r="G321" s="515"/>
      <c r="H321" s="740"/>
      <c r="I321" s="516"/>
      <c r="J321" s="517"/>
      <c r="K321" s="518"/>
      <c r="L321" s="518"/>
      <c r="M321" s="518"/>
      <c r="N321" s="518"/>
      <c r="O321" s="518"/>
      <c r="P321" s="518"/>
      <c r="Q321" s="518"/>
      <c r="R321" s="518"/>
      <c r="S321" s="518"/>
      <c r="T321" s="518"/>
      <c r="U321" s="518"/>
      <c r="V321" s="518"/>
      <c r="W321" s="518"/>
      <c r="X321" s="518"/>
      <c r="Y321" s="518"/>
      <c r="Z321" s="518"/>
      <c r="AA321" s="518"/>
      <c r="AB321" s="518"/>
      <c r="AC321" s="518"/>
      <c r="AD321" s="518"/>
      <c r="AE321" s="518"/>
      <c r="AF321" s="518"/>
      <c r="AG321" s="518"/>
      <c r="AH321" s="518"/>
      <c r="AI321" s="518"/>
      <c r="AJ321" s="518"/>
      <c r="AK321" s="518"/>
      <c r="AL321" s="518"/>
      <c r="AM321" s="518"/>
      <c r="AN321" s="518"/>
      <c r="AO321" s="518"/>
      <c r="AP321" s="518"/>
      <c r="AQ321" s="518"/>
      <c r="AR321" s="518"/>
    </row>
    <row r="322" spans="2:44">
      <c r="B322" s="515"/>
      <c r="C322" s="518"/>
      <c r="D322" s="515"/>
      <c r="E322" s="515"/>
      <c r="F322" s="740"/>
      <c r="G322" s="515"/>
      <c r="H322" s="740"/>
      <c r="I322" s="516"/>
      <c r="J322" s="517"/>
      <c r="K322" s="518"/>
      <c r="L322" s="518"/>
      <c r="M322" s="518"/>
      <c r="N322" s="518"/>
      <c r="O322" s="518"/>
      <c r="P322" s="518"/>
      <c r="Q322" s="518"/>
      <c r="R322" s="518"/>
      <c r="S322" s="518"/>
      <c r="T322" s="518"/>
      <c r="U322" s="518"/>
      <c r="V322" s="518"/>
      <c r="W322" s="518"/>
      <c r="X322" s="518"/>
      <c r="Y322" s="518"/>
      <c r="Z322" s="518"/>
      <c r="AA322" s="518"/>
      <c r="AB322" s="518"/>
      <c r="AC322" s="518"/>
      <c r="AD322" s="518"/>
      <c r="AE322" s="518"/>
      <c r="AF322" s="518"/>
      <c r="AG322" s="518"/>
      <c r="AH322" s="518"/>
      <c r="AI322" s="518"/>
      <c r="AJ322" s="518"/>
      <c r="AK322" s="518"/>
      <c r="AL322" s="518"/>
      <c r="AM322" s="518"/>
      <c r="AN322" s="518"/>
      <c r="AO322" s="518"/>
      <c r="AP322" s="518"/>
      <c r="AQ322" s="518"/>
      <c r="AR322" s="518"/>
    </row>
    <row r="323" spans="2:44">
      <c r="B323" s="515"/>
      <c r="C323" s="518"/>
      <c r="D323" s="515"/>
      <c r="E323" s="515"/>
      <c r="F323" s="740"/>
      <c r="G323" s="515"/>
      <c r="H323" s="740"/>
      <c r="I323" s="516"/>
      <c r="J323" s="517"/>
      <c r="K323" s="518"/>
      <c r="L323" s="518"/>
      <c r="M323" s="518"/>
      <c r="N323" s="518"/>
      <c r="O323" s="518"/>
      <c r="P323" s="518"/>
      <c r="Q323" s="518"/>
      <c r="R323" s="518"/>
      <c r="S323" s="518"/>
      <c r="T323" s="518"/>
      <c r="U323" s="518"/>
      <c r="V323" s="518"/>
      <c r="W323" s="518"/>
      <c r="X323" s="518"/>
      <c r="Y323" s="518"/>
      <c r="Z323" s="518"/>
      <c r="AA323" s="518"/>
      <c r="AB323" s="518"/>
      <c r="AC323" s="518"/>
      <c r="AD323" s="518"/>
      <c r="AE323" s="518"/>
      <c r="AF323" s="518"/>
      <c r="AG323" s="518"/>
      <c r="AH323" s="518"/>
      <c r="AI323" s="518"/>
      <c r="AJ323" s="518"/>
      <c r="AK323" s="518"/>
      <c r="AL323" s="518"/>
      <c r="AM323" s="518"/>
      <c r="AN323" s="518"/>
      <c r="AO323" s="518"/>
      <c r="AP323" s="518"/>
      <c r="AQ323" s="518"/>
      <c r="AR323" s="518"/>
    </row>
    <row r="324" spans="2:44">
      <c r="B324" s="515"/>
      <c r="C324" s="518"/>
      <c r="D324" s="515"/>
      <c r="E324" s="515"/>
      <c r="F324" s="740"/>
      <c r="G324" s="515"/>
      <c r="H324" s="740"/>
      <c r="I324" s="516"/>
      <c r="J324" s="517"/>
      <c r="K324" s="518"/>
      <c r="L324" s="518"/>
      <c r="M324" s="518"/>
      <c r="N324" s="518"/>
      <c r="O324" s="518"/>
      <c r="P324" s="518"/>
      <c r="Q324" s="518"/>
      <c r="R324" s="518"/>
      <c r="S324" s="518"/>
      <c r="T324" s="518"/>
      <c r="U324" s="518"/>
      <c r="V324" s="518"/>
      <c r="W324" s="518"/>
      <c r="X324" s="518"/>
      <c r="Y324" s="518"/>
      <c r="Z324" s="518"/>
      <c r="AA324" s="518"/>
      <c r="AB324" s="518"/>
      <c r="AC324" s="518"/>
      <c r="AD324" s="518"/>
      <c r="AE324" s="518"/>
      <c r="AF324" s="518"/>
      <c r="AG324" s="518"/>
      <c r="AH324" s="518"/>
      <c r="AI324" s="518"/>
      <c r="AJ324" s="518"/>
      <c r="AK324" s="518"/>
      <c r="AL324" s="518"/>
      <c r="AM324" s="518"/>
      <c r="AN324" s="518"/>
      <c r="AO324" s="518"/>
      <c r="AP324" s="518"/>
      <c r="AQ324" s="518"/>
      <c r="AR324" s="518"/>
    </row>
    <row r="325" spans="2:44">
      <c r="B325" s="515"/>
      <c r="C325" s="518"/>
      <c r="D325" s="515"/>
      <c r="E325" s="515"/>
      <c r="F325" s="740"/>
      <c r="G325" s="515"/>
      <c r="H325" s="740"/>
      <c r="I325" s="516"/>
      <c r="J325" s="517"/>
      <c r="K325" s="518"/>
      <c r="L325" s="518"/>
      <c r="M325" s="518"/>
      <c r="N325" s="518"/>
      <c r="O325" s="518"/>
      <c r="P325" s="518"/>
      <c r="Q325" s="518"/>
      <c r="R325" s="518"/>
      <c r="S325" s="518"/>
      <c r="T325" s="518"/>
      <c r="U325" s="518"/>
      <c r="V325" s="518"/>
      <c r="W325" s="518"/>
      <c r="X325" s="518"/>
      <c r="Y325" s="518"/>
      <c r="Z325" s="518"/>
      <c r="AA325" s="518"/>
      <c r="AB325" s="518"/>
      <c r="AC325" s="518"/>
      <c r="AD325" s="518"/>
      <c r="AE325" s="518"/>
      <c r="AF325" s="518"/>
      <c r="AG325" s="518"/>
      <c r="AH325" s="518"/>
      <c r="AI325" s="518"/>
      <c r="AJ325" s="518"/>
      <c r="AK325" s="518"/>
      <c r="AL325" s="518"/>
      <c r="AM325" s="518"/>
      <c r="AN325" s="518"/>
      <c r="AO325" s="518"/>
      <c r="AP325" s="518"/>
      <c r="AQ325" s="518"/>
      <c r="AR325" s="518"/>
    </row>
    <row r="326" spans="2:44">
      <c r="B326" s="515"/>
      <c r="C326" s="518"/>
      <c r="D326" s="515"/>
      <c r="E326" s="515"/>
      <c r="F326" s="740"/>
      <c r="G326" s="515"/>
      <c r="H326" s="740"/>
      <c r="I326" s="516"/>
      <c r="J326" s="517"/>
      <c r="K326" s="518"/>
      <c r="L326" s="518"/>
      <c r="M326" s="518"/>
      <c r="N326" s="518"/>
      <c r="O326" s="518"/>
      <c r="P326" s="518"/>
      <c r="Q326" s="518"/>
      <c r="R326" s="518"/>
      <c r="S326" s="518"/>
      <c r="T326" s="518"/>
      <c r="U326" s="518"/>
      <c r="V326" s="518"/>
      <c r="W326" s="518"/>
      <c r="X326" s="518"/>
      <c r="Y326" s="518"/>
      <c r="Z326" s="518"/>
      <c r="AA326" s="518"/>
      <c r="AB326" s="518"/>
      <c r="AC326" s="518"/>
      <c r="AD326" s="518"/>
      <c r="AE326" s="518"/>
      <c r="AF326" s="518"/>
      <c r="AG326" s="518"/>
      <c r="AH326" s="518"/>
      <c r="AI326" s="518"/>
      <c r="AJ326" s="518"/>
      <c r="AK326" s="518"/>
      <c r="AL326" s="518"/>
      <c r="AM326" s="518"/>
      <c r="AN326" s="518"/>
      <c r="AO326" s="518"/>
      <c r="AP326" s="518"/>
      <c r="AQ326" s="518"/>
      <c r="AR326" s="518"/>
    </row>
    <row r="327" spans="2:44">
      <c r="B327" s="515"/>
      <c r="C327" s="518"/>
      <c r="D327" s="515"/>
      <c r="E327" s="515"/>
      <c r="F327" s="740"/>
      <c r="G327" s="515"/>
      <c r="H327" s="740"/>
      <c r="I327" s="516"/>
      <c r="J327" s="517"/>
      <c r="K327" s="518"/>
      <c r="L327" s="518"/>
      <c r="M327" s="518"/>
      <c r="N327" s="518"/>
      <c r="O327" s="518"/>
      <c r="P327" s="518"/>
      <c r="Q327" s="518"/>
      <c r="R327" s="518"/>
      <c r="S327" s="518"/>
      <c r="T327" s="518"/>
      <c r="U327" s="518"/>
      <c r="V327" s="518"/>
      <c r="W327" s="518"/>
      <c r="X327" s="518"/>
      <c r="Y327" s="518"/>
      <c r="Z327" s="518"/>
      <c r="AA327" s="518"/>
      <c r="AB327" s="518"/>
      <c r="AC327" s="518"/>
      <c r="AD327" s="518"/>
      <c r="AE327" s="518"/>
      <c r="AF327" s="518"/>
      <c r="AG327" s="518"/>
      <c r="AH327" s="518"/>
      <c r="AI327" s="518"/>
      <c r="AJ327" s="518"/>
      <c r="AK327" s="518"/>
      <c r="AL327" s="518"/>
      <c r="AM327" s="518"/>
      <c r="AN327" s="518"/>
      <c r="AO327" s="518"/>
      <c r="AP327" s="518"/>
      <c r="AQ327" s="518"/>
      <c r="AR327" s="518"/>
    </row>
  </sheetData>
  <conditionalFormatting sqref="AS12:AS327">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308"/>
  <sheetViews>
    <sheetView topLeftCell="A286" workbookViewId="0">
      <selection activeCell="A306" sqref="A306:XFD308"/>
    </sheetView>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2137</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308"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308"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
      </c>
      <c r="B290" s="515" t="str">
        <f t="shared" si="20"/>
        <v>TOP-OUT</v>
      </c>
      <c r="C290" s="518" t="str">
        <f ca="1">"X"&amp;OFFSET(NameConv!$F$4,0,L290)&amp;OFFSET(NameConv!$F$59,M290,L290)</f>
        <v>XPWRGIC</v>
      </c>
      <c r="D290" s="515" t="str">
        <f ca="1">OFFSET(NameConv!$F$4,0,L290)&amp;OFFSET(NameConv!$AX$4,0,N290)</f>
        <v>PWRCO2S</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1</v>
      </c>
      <c r="O290" s="495">
        <f ca="1">IF(O289&gt;=SUMIF(NameConv!$C$5:$C$45,RIGHT(C289,3),NameConv!$CG$5:$CG$45),1,O289+1)</f>
        <v>1</v>
      </c>
    </row>
    <row r="291" spans="1:15">
      <c r="A291" s="422" t="str">
        <f t="shared" ca="1" si="21"/>
        <v/>
      </c>
      <c r="B291" s="515" t="str">
        <f t="shared" si="20"/>
        <v>TOP-OUT</v>
      </c>
      <c r="C291" s="518" t="str">
        <f ca="1">"X"&amp;OFFSET(NameConv!$F$4,0,L291)&amp;OFFSET(NameConv!$F$59,M291,L291)</f>
        <v>XPWRGIC</v>
      </c>
      <c r="D291" s="515" t="str">
        <f ca="1">OFFSET(NameConv!$F$4,0,L291)&amp;OFFSET(NameConv!$AX$4,0,N291)</f>
        <v>PWRCH4S</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13</v>
      </c>
      <c r="N291" s="495">
        <f ca="1">SUMIF(NameConv!$C$5:$C$45,RIGHT(C291,3),OFFSET(NameConv!$CG$5,0,O291,NameConv!$A$45,1))</f>
        <v>2</v>
      </c>
      <c r="O291" s="495">
        <f ca="1">IF(O290&gt;=SUMIF(NameConv!$C$5:$C$45,RIGHT(C290,3),NameConv!$CG$5:$CG$45),1,O290+1)</f>
        <v>2</v>
      </c>
    </row>
    <row r="292" spans="1:15">
      <c r="A292" s="422" t="str">
        <f t="shared" ca="1" si="21"/>
        <v/>
      </c>
      <c r="B292" s="515" t="str">
        <f t="shared" si="20"/>
        <v>TOP-OUT</v>
      </c>
      <c r="C292" s="518" t="str">
        <f ca="1">"X"&amp;OFFSET(NameConv!$F$4,0,L292)&amp;OFFSET(NameConv!$F$59,M292,L292)</f>
        <v>XPWRGIC</v>
      </c>
      <c r="D292" s="515" t="str">
        <f ca="1">OFFSET(NameConv!$F$4,0,L292)&amp;OFFSET(NameConv!$AX$4,0,N292)</f>
        <v>PWRN2OS</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13</v>
      </c>
      <c r="N292" s="495">
        <f ca="1">SUMIF(NameConv!$C$5:$C$45,RIGHT(C292,3),OFFSET(NameConv!$CG$5,0,O292,NameConv!$A$45,1))</f>
        <v>3</v>
      </c>
      <c r="O292" s="495">
        <f ca="1">IF(O291&gt;=SUMIF(NameConv!$C$5:$C$45,RIGHT(C291,3),NameConv!$CG$5:$CG$45),1,O291+1)</f>
        <v>3</v>
      </c>
    </row>
    <row r="293" spans="1:15">
      <c r="A293" s="422" t="str">
        <f t="shared" ca="1" si="21"/>
        <v/>
      </c>
      <c r="B293" s="515" t="str">
        <f t="shared" si="20"/>
        <v>TOP-OUT</v>
      </c>
      <c r="C293" s="518" t="str">
        <f ca="1">"X"&amp;OFFSET(NameConv!$F$4,0,L293)&amp;OFFSET(NameConv!$F$59,M293,L293)</f>
        <v>XPWRGIC</v>
      </c>
      <c r="D293" s="515" t="str">
        <f ca="1">OFFSET(NameConv!$F$4,0,L293)&amp;OFFSET(NameConv!$AX$4,0,N293)</f>
        <v>PWRNOXS</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13</v>
      </c>
      <c r="N293" s="495">
        <f ca="1">SUMIF(NameConv!$C$5:$C$45,RIGHT(C293,3),OFFSET(NameConv!$CG$5,0,O293,NameConv!$A$45,1))</f>
        <v>5</v>
      </c>
      <c r="O293" s="495">
        <f ca="1">IF(O292&gt;=SUMIF(NameConv!$C$5:$C$45,RIGHT(C292,3),NameConv!$CG$5:$CG$45),1,O292+1)</f>
        <v>4</v>
      </c>
    </row>
    <row r="294" spans="1:15">
      <c r="A294" s="422" t="str">
        <f t="shared" ref="A294:A299" ca="1" si="23">IF(LEN(D294)=3,"*","")</f>
        <v/>
      </c>
      <c r="B294" s="515" t="str">
        <f t="shared" si="20"/>
        <v>TOP-OUT</v>
      </c>
      <c r="C294" s="518" t="str">
        <f ca="1">"X"&amp;OFFSET(NameConv!$F$4,0,L294)&amp;OFFSET(NameConv!$F$59,M294,L294)</f>
        <v>XPWRGIC</v>
      </c>
      <c r="D294" s="515" t="str">
        <f ca="1">OFFSET(NameConv!$F$4,0,L294)&amp;OFFSET(NameConv!$AX$4,0,N294)</f>
        <v>PWRCMOX</v>
      </c>
      <c r="E294" s="740" t="s">
        <v>334</v>
      </c>
      <c r="F294" s="740" t="s">
        <v>334</v>
      </c>
      <c r="G294" s="740" t="s">
        <v>334</v>
      </c>
      <c r="H294" s="740" t="s">
        <v>334</v>
      </c>
      <c r="I294" s="516">
        <f t="shared" si="22"/>
        <v>1</v>
      </c>
      <c r="J294" s="516"/>
      <c r="K294" s="516"/>
      <c r="L294" s="495">
        <f ca="1">IF(AND(O293&gt;=SUMIF(NameConv!$C$5:$C$45,RIGHT(C293,3),NameConv!$CG$5:$CG$45),M293=SUMIF(NameConv!$G$4:$M$4,MID(C293,2,3),NameConv!$G$45:$M$45)),L293+1,L293)</f>
        <v>6</v>
      </c>
      <c r="M294" s="495">
        <f ca="1">IF(L294&lt;&gt;L293,1,IF(O293&gt;=SUMIF(NameConv!$C$5:$C$45,RIGHT(C293,3),NameConv!$CG$5:$CG$45),M293+1,M293))</f>
        <v>13</v>
      </c>
      <c r="N294" s="495">
        <f ca="1">SUMIF(NameConv!$C$5:$C$45,RIGHT(C294,3),OFFSET(NameConv!$CG$5,0,O294,NameConv!$A$45,1))</f>
        <v>6</v>
      </c>
      <c r="O294" s="495">
        <f ca="1">IF(O293&gt;=SUMIF(NameConv!$C$5:$C$45,RIGHT(C293,3),NameConv!$CG$5:$CG$45),1,O293+1)</f>
        <v>5</v>
      </c>
    </row>
    <row r="295" spans="1:15">
      <c r="A295" s="422" t="str">
        <f t="shared" ca="1" si="23"/>
        <v/>
      </c>
      <c r="B295" s="515" t="str">
        <f t="shared" si="20"/>
        <v>TOP-OUT</v>
      </c>
      <c r="C295" s="518" t="str">
        <f ca="1">"X"&amp;OFFSET(NameConv!$F$4,0,L295)&amp;OFFSET(NameConv!$F$59,M295,L295)</f>
        <v>XPWRGIC</v>
      </c>
      <c r="D295" s="515" t="str">
        <f ca="1">OFFSET(NameConv!$F$4,0,L295)&amp;OFFSET(NameConv!$AX$4,0,N295)</f>
        <v>PWRNMVS</v>
      </c>
      <c r="E295" s="740" t="s">
        <v>334</v>
      </c>
      <c r="F295" s="740" t="s">
        <v>334</v>
      </c>
      <c r="G295" s="740" t="s">
        <v>334</v>
      </c>
      <c r="H295" s="740" t="s">
        <v>334</v>
      </c>
      <c r="I295" s="516">
        <f t="shared" si="22"/>
        <v>1</v>
      </c>
      <c r="J295" s="516"/>
      <c r="K295" s="516"/>
      <c r="L295" s="495">
        <f ca="1">IF(AND(O294&gt;=SUMIF(NameConv!$C$5:$C$45,RIGHT(C294,3),NameConv!$CG$5:$CG$45),M294=SUMIF(NameConv!$G$4:$M$4,MID(C294,2,3),NameConv!$G$45:$M$45)),L294+1,L294)</f>
        <v>6</v>
      </c>
      <c r="M295" s="495">
        <f ca="1">IF(L295&lt;&gt;L294,1,IF(O294&gt;=SUMIF(NameConv!$C$5:$C$45,RIGHT(C294,3),NameConv!$CG$5:$CG$45),M294+1,M294))</f>
        <v>13</v>
      </c>
      <c r="N295" s="495">
        <f ca="1">SUMIF(NameConv!$C$5:$C$45,RIGHT(C295,3),OFFSET(NameConv!$CG$5,0,O295,NameConv!$A$45,1))</f>
        <v>7</v>
      </c>
      <c r="O295" s="495">
        <f ca="1">IF(O294&gt;=SUMIF(NameConv!$C$5:$C$45,RIGHT(C294,3),NameConv!$CG$5:$CG$45),1,O294+1)</f>
        <v>6</v>
      </c>
    </row>
    <row r="296" spans="1:15">
      <c r="A296" s="422" t="str">
        <f t="shared" ca="1" si="23"/>
        <v>*</v>
      </c>
      <c r="B296" s="515" t="str">
        <f t="shared" si="20"/>
        <v>TOP-OUT</v>
      </c>
      <c r="C296" s="518" t="str">
        <f ca="1">"X"&amp;OFFSET(NameConv!$F$4,0,L296)&amp;OFFSET(NameConv!$F$59,M296,L296)</f>
        <v>XPWRHYD</v>
      </c>
      <c r="D296" s="515" t="str">
        <f ca="1">OFFSET(NameConv!$F$4,0,L296)&amp;OFFSET(NameConv!$AX$4,0,N296)</f>
        <v>PWR</v>
      </c>
      <c r="E296" s="740" t="s">
        <v>334</v>
      </c>
      <c r="F296" s="740" t="s">
        <v>334</v>
      </c>
      <c r="G296" s="740" t="s">
        <v>334</v>
      </c>
      <c r="H296" s="740" t="s">
        <v>334</v>
      </c>
      <c r="I296" s="516">
        <f t="shared" si="22"/>
        <v>1</v>
      </c>
      <c r="J296" s="516"/>
      <c r="K296" s="516"/>
      <c r="L296" s="495">
        <f ca="1">IF(AND(O295&gt;=SUMIF(NameConv!$C$5:$C$45,RIGHT(C295,3),NameConv!$CG$5:$CG$45),M295=SUMIF(NameConv!$G$4:$M$4,MID(C295,2,3),NameConv!$G$45:$M$45)),L295+1,L295)</f>
        <v>6</v>
      </c>
      <c r="M296" s="495">
        <f ca="1">IF(L296&lt;&gt;L295,1,IF(O295&gt;=SUMIF(NameConv!$C$5:$C$45,RIGHT(C295,3),NameConv!$CG$5:$CG$45),M295+1,M295))</f>
        <v>14</v>
      </c>
      <c r="N296" s="495">
        <f ca="1">SUMIF(NameConv!$C$5:$C$45,RIGHT(C296,3),OFFSET(NameConv!$CG$5,0,O296,NameConv!$A$45,1))</f>
        <v>0</v>
      </c>
      <c r="O296" s="495">
        <f ca="1">IF(O295&gt;=SUMIF(NameConv!$C$5:$C$45,RIGHT(C295,3),NameConv!$CG$5:$CG$45),1,O295+1)</f>
        <v>1</v>
      </c>
    </row>
    <row r="297" spans="1:15">
      <c r="A297" s="422" t="str">
        <f t="shared" ca="1" si="23"/>
        <v>*</v>
      </c>
      <c r="B297" s="515" t="str">
        <f t="shared" si="20"/>
        <v>TOP-OUT</v>
      </c>
      <c r="C297" s="518" t="str">
        <f ca="1">"X"&amp;OFFSET(NameConv!$F$4,0,L297)&amp;OFFSET(NameConv!$F$59,M297,L297)</f>
        <v>XPWRHGN</v>
      </c>
      <c r="D297" s="515" t="str">
        <f ca="1">OFFSET(NameConv!$F$4,0,L297)&amp;OFFSET(NameConv!$AX$4,0,N297)</f>
        <v>PWR</v>
      </c>
      <c r="E297" s="740" t="s">
        <v>334</v>
      </c>
      <c r="F297" s="740" t="s">
        <v>334</v>
      </c>
      <c r="G297" s="740" t="s">
        <v>334</v>
      </c>
      <c r="H297" s="740" t="s">
        <v>334</v>
      </c>
      <c r="I297" s="516">
        <f t="shared" si="22"/>
        <v>1</v>
      </c>
      <c r="J297" s="516"/>
      <c r="K297" s="516"/>
      <c r="L297" s="495">
        <f ca="1">IF(AND(O296&gt;=SUMIF(NameConv!$C$5:$C$45,RIGHT(C296,3),NameConv!$CG$5:$CG$45),M296=SUMIF(NameConv!$G$4:$M$4,MID(C296,2,3),NameConv!$G$45:$M$45)),L296+1,L296)</f>
        <v>6</v>
      </c>
      <c r="M297" s="495">
        <f ca="1">IF(L297&lt;&gt;L296,1,IF(O296&gt;=SUMIF(NameConv!$C$5:$C$45,RIGHT(C296,3),NameConv!$CG$5:$CG$45),M296+1,M296))</f>
        <v>15</v>
      </c>
      <c r="N297" s="495">
        <f ca="1">SUMIF(NameConv!$C$5:$C$45,RIGHT(C297,3),OFFSET(NameConv!$CG$5,0,O297,NameConv!$A$45,1))</f>
        <v>0</v>
      </c>
      <c r="O297" s="495">
        <f ca="1">IF(O296&gt;=SUMIF(NameConv!$C$5:$C$45,RIGHT(C296,3),NameConv!$CG$5:$CG$45),1,O296+1)</f>
        <v>1</v>
      </c>
    </row>
    <row r="298" spans="1:15">
      <c r="A298" s="422" t="str">
        <f t="shared" ca="1" si="23"/>
        <v>*</v>
      </c>
      <c r="B298" s="515" t="str">
        <f t="shared" si="20"/>
        <v>TOP-OUT</v>
      </c>
      <c r="C298" s="518" t="str">
        <f ca="1">"X"&amp;OFFSET(NameConv!$F$4,0,L298)&amp;OFFSET(NameConv!$F$59,M298,L298)</f>
        <v>XPWRNUC</v>
      </c>
      <c r="D298" s="515" t="str">
        <f ca="1">OFFSET(NameConv!$F$4,0,L298)&amp;OFFSET(NameConv!$AX$4,0,N298)</f>
        <v>PWR</v>
      </c>
      <c r="E298" s="740" t="s">
        <v>334</v>
      </c>
      <c r="F298" s="740" t="s">
        <v>334</v>
      </c>
      <c r="G298" s="740" t="s">
        <v>334</v>
      </c>
      <c r="H298" s="740" t="s">
        <v>334</v>
      </c>
      <c r="I298" s="516">
        <f t="shared" si="22"/>
        <v>1</v>
      </c>
      <c r="J298" s="516"/>
      <c r="K298" s="516"/>
      <c r="L298" s="495">
        <f ca="1">IF(AND(O297&gt;=SUMIF(NameConv!$C$5:$C$45,RIGHT(C297,3),NameConv!$CG$5:$CG$45),M297=SUMIF(NameConv!$G$4:$M$4,MID(C297,2,3),NameConv!$G$45:$M$45)),L297+1,L297)</f>
        <v>6</v>
      </c>
      <c r="M298" s="495">
        <f ca="1">IF(L298&lt;&gt;L297,1,IF(O297&gt;=SUMIF(NameConv!$C$5:$C$45,RIGHT(C297,3),NameConv!$CG$5:$CG$45),M297+1,M297))</f>
        <v>16</v>
      </c>
      <c r="N298" s="495">
        <f ca="1">SUMIF(NameConv!$C$5:$C$45,RIGHT(C298,3),OFFSET(NameConv!$CG$5,0,O298,NameConv!$A$45,1))</f>
        <v>0</v>
      </c>
      <c r="O298" s="495">
        <f ca="1">IF(O297&gt;=SUMIF(NameConv!$C$5:$C$45,RIGHT(C297,3),NameConv!$CG$5:$CG$45),1,O297+1)</f>
        <v>1</v>
      </c>
    </row>
    <row r="299" spans="1:15">
      <c r="A299" s="422" t="str">
        <f t="shared" ca="1" si="23"/>
        <v/>
      </c>
      <c r="B299" s="515" t="str">
        <f t="shared" si="20"/>
        <v>TOP-OUT</v>
      </c>
      <c r="C299" s="518" t="str">
        <f ca="1">"X"&amp;OFFSET(NameConv!$F$4,0,L299)&amp;OFFSET(NameConv!$F$59,M299,L299)</f>
        <v>XPWRODS</v>
      </c>
      <c r="D299" s="515" t="str">
        <f ca="1">OFFSET(NameConv!$F$4,0,L299)&amp;OFFSET(NameConv!$AX$4,0,N299)</f>
        <v>PWRCO2S</v>
      </c>
      <c r="E299" s="740" t="s">
        <v>334</v>
      </c>
      <c r="F299" s="740" t="s">
        <v>334</v>
      </c>
      <c r="G299" s="740" t="s">
        <v>334</v>
      </c>
      <c r="H299" s="740" t="s">
        <v>334</v>
      </c>
      <c r="I299" s="516">
        <f t="shared" si="22"/>
        <v>1</v>
      </c>
      <c r="J299" s="516"/>
      <c r="K299" s="516"/>
      <c r="L299" s="495">
        <f ca="1">IF(AND(O298&gt;=SUMIF(NameConv!$C$5:$C$45,RIGHT(C298,3),NameConv!$CG$5:$CG$45),M298=SUMIF(NameConv!$G$4:$M$4,MID(C298,2,3),NameConv!$G$45:$M$45)),L298+1,L298)</f>
        <v>6</v>
      </c>
      <c r="M299" s="495">
        <f ca="1">IF(L299&lt;&gt;L298,1,IF(O298&gt;=SUMIF(NameConv!$C$5:$C$45,RIGHT(C298,3),NameConv!$CG$5:$CG$45),M298+1,M298))</f>
        <v>17</v>
      </c>
      <c r="N299" s="495">
        <f ca="1">SUMIF(NameConv!$C$5:$C$45,RIGHT(C299,3),OFFSET(NameConv!$CG$5,0,O299,NameConv!$A$45,1))</f>
        <v>1</v>
      </c>
      <c r="O299" s="495">
        <f ca="1">IF(O298&gt;=SUMIF(NameConv!$C$5:$C$45,RIGHT(C298,3),NameConv!$CG$5:$CG$45),1,O298+1)</f>
        <v>1</v>
      </c>
    </row>
    <row r="300" spans="1:15">
      <c r="A300" s="422" t="str">
        <f t="shared" ref="A300:A306" ca="1" si="24">IF(LEN(D300)=3,"*","")</f>
        <v/>
      </c>
      <c r="B300" s="515" t="str">
        <f t="shared" si="20"/>
        <v>TOP-OUT</v>
      </c>
      <c r="C300" s="518" t="str">
        <f ca="1">"X"&amp;OFFSET(NameConv!$F$4,0,L300)&amp;OFFSET(NameConv!$F$59,M300,L300)</f>
        <v>XPWRODS</v>
      </c>
      <c r="D300" s="515" t="str">
        <f ca="1">OFFSET(NameConv!$F$4,0,L300)&amp;OFFSET(NameConv!$AX$4,0,N300)</f>
        <v>PWRCH4S</v>
      </c>
      <c r="E300" s="740" t="s">
        <v>334</v>
      </c>
      <c r="F300" s="740" t="s">
        <v>334</v>
      </c>
      <c r="G300" s="740" t="s">
        <v>334</v>
      </c>
      <c r="H300" s="740" t="s">
        <v>334</v>
      </c>
      <c r="I300" s="516">
        <f t="shared" si="22"/>
        <v>1</v>
      </c>
      <c r="J300" s="516"/>
      <c r="K300" s="516"/>
      <c r="L300" s="495">
        <f ca="1">IF(AND(O299&gt;=SUMIF(NameConv!$C$5:$C$45,RIGHT(C299,3),NameConv!$CG$5:$CG$45),M299=SUMIF(NameConv!$G$4:$M$4,MID(C299,2,3),NameConv!$G$45:$M$45)),L299+1,L299)</f>
        <v>6</v>
      </c>
      <c r="M300" s="495">
        <f ca="1">IF(L300&lt;&gt;L299,1,IF(O299&gt;=SUMIF(NameConv!$C$5:$C$45,RIGHT(C299,3),NameConv!$CG$5:$CG$45),M299+1,M299))</f>
        <v>17</v>
      </c>
      <c r="N300" s="495">
        <f ca="1">SUMIF(NameConv!$C$5:$C$45,RIGHT(C300,3),OFFSET(NameConv!$CG$5,0,O300,NameConv!$A$45,1))</f>
        <v>2</v>
      </c>
      <c r="O300" s="495">
        <f ca="1">IF(O299&gt;=SUMIF(NameConv!$C$5:$C$45,RIGHT(C299,3),NameConv!$CG$5:$CG$45),1,O299+1)</f>
        <v>2</v>
      </c>
    </row>
    <row r="301" spans="1:15">
      <c r="A301" s="422" t="str">
        <f t="shared" ca="1" si="24"/>
        <v/>
      </c>
      <c r="B301" s="515" t="str">
        <f t="shared" si="20"/>
        <v>TOP-OUT</v>
      </c>
      <c r="C301" s="518" t="str">
        <f ca="1">"X"&amp;OFFSET(NameConv!$F$4,0,L301)&amp;OFFSET(NameConv!$F$59,M301,L301)</f>
        <v>XPWRODS</v>
      </c>
      <c r="D301" s="515" t="str">
        <f ca="1">OFFSET(NameConv!$F$4,0,L301)&amp;OFFSET(NameConv!$AX$4,0,N301)</f>
        <v>PWRN2OS</v>
      </c>
      <c r="E301" s="740" t="s">
        <v>334</v>
      </c>
      <c r="F301" s="740" t="s">
        <v>334</v>
      </c>
      <c r="G301" s="740" t="s">
        <v>334</v>
      </c>
      <c r="H301" s="740" t="s">
        <v>334</v>
      </c>
      <c r="I301" s="516">
        <f t="shared" si="22"/>
        <v>1</v>
      </c>
      <c r="J301" s="516"/>
      <c r="K301" s="516"/>
      <c r="L301" s="495">
        <f ca="1">IF(AND(O300&gt;=SUMIF(NameConv!$C$5:$C$45,RIGHT(C300,3),NameConv!$CG$5:$CG$45),M300=SUMIF(NameConv!$G$4:$M$4,MID(C300,2,3),NameConv!$G$45:$M$45)),L300+1,L300)</f>
        <v>6</v>
      </c>
      <c r="M301" s="495">
        <f ca="1">IF(L301&lt;&gt;L300,1,IF(O300&gt;=SUMIF(NameConv!$C$5:$C$45,RIGHT(C300,3),NameConv!$CG$5:$CG$45),M300+1,M300))</f>
        <v>17</v>
      </c>
      <c r="N301" s="495">
        <f ca="1">SUMIF(NameConv!$C$5:$C$45,RIGHT(C301,3),OFFSET(NameConv!$CG$5,0,O301,NameConv!$A$45,1))</f>
        <v>3</v>
      </c>
      <c r="O301" s="495">
        <f ca="1">IF(O300&gt;=SUMIF(NameConv!$C$5:$C$45,RIGHT(C300,3),NameConv!$CG$5:$CG$45),1,O300+1)</f>
        <v>3</v>
      </c>
    </row>
    <row r="302" spans="1:15">
      <c r="A302" s="422" t="str">
        <f t="shared" ca="1" si="24"/>
        <v/>
      </c>
      <c r="B302" s="515" t="str">
        <f t="shared" si="20"/>
        <v>TOP-OUT</v>
      </c>
      <c r="C302" s="518" t="str">
        <f ca="1">"X"&amp;OFFSET(NameConv!$F$4,0,L302)&amp;OFFSET(NameConv!$F$59,M302,L302)</f>
        <v>XPWRODS</v>
      </c>
      <c r="D302" s="515" t="str">
        <f ca="1">OFFSET(NameConv!$F$4,0,L302)&amp;OFFSET(NameConv!$AX$4,0,N302)</f>
        <v>PWRSOXS</v>
      </c>
      <c r="E302" s="740" t="s">
        <v>334</v>
      </c>
      <c r="F302" s="740" t="s">
        <v>334</v>
      </c>
      <c r="G302" s="740" t="s">
        <v>334</v>
      </c>
      <c r="H302" s="740" t="s">
        <v>334</v>
      </c>
      <c r="I302" s="516">
        <f t="shared" si="22"/>
        <v>1</v>
      </c>
      <c r="J302" s="516"/>
      <c r="K302" s="516"/>
      <c r="L302" s="495">
        <f ca="1">IF(AND(O301&gt;=SUMIF(NameConv!$C$5:$C$45,RIGHT(C301,3),NameConv!$CG$5:$CG$45),M301=SUMIF(NameConv!$G$4:$M$4,MID(C301,2,3),NameConv!$G$45:$M$45)),L301+1,L301)</f>
        <v>6</v>
      </c>
      <c r="M302" s="495">
        <f ca="1">IF(L302&lt;&gt;L301,1,IF(O301&gt;=SUMIF(NameConv!$C$5:$C$45,RIGHT(C301,3),NameConv!$CG$5:$CG$45),M301+1,M301))</f>
        <v>17</v>
      </c>
      <c r="N302" s="495">
        <f ca="1">SUMIF(NameConv!$C$5:$C$45,RIGHT(C302,3),OFFSET(NameConv!$CG$5,0,O302,NameConv!$A$45,1))</f>
        <v>4</v>
      </c>
      <c r="O302" s="495">
        <f ca="1">IF(O301&gt;=SUMIF(NameConv!$C$5:$C$45,RIGHT(C301,3),NameConv!$CG$5:$CG$45),1,O301+1)</f>
        <v>4</v>
      </c>
    </row>
    <row r="303" spans="1:15">
      <c r="A303" s="422" t="str">
        <f t="shared" ca="1" si="24"/>
        <v/>
      </c>
      <c r="B303" s="515" t="str">
        <f t="shared" si="20"/>
        <v>TOP-OUT</v>
      </c>
      <c r="C303" s="518" t="str">
        <f ca="1">"X"&amp;OFFSET(NameConv!$F$4,0,L303)&amp;OFFSET(NameConv!$F$59,M303,L303)</f>
        <v>XPWRODS</v>
      </c>
      <c r="D303" s="515" t="str">
        <f ca="1">OFFSET(NameConv!$F$4,0,L303)&amp;OFFSET(NameConv!$AX$4,0,N303)</f>
        <v>PWRNOXS</v>
      </c>
      <c r="E303" s="740" t="s">
        <v>334</v>
      </c>
      <c r="F303" s="740" t="s">
        <v>334</v>
      </c>
      <c r="G303" s="740" t="s">
        <v>334</v>
      </c>
      <c r="H303" s="740" t="s">
        <v>334</v>
      </c>
      <c r="I303" s="516">
        <f t="shared" si="22"/>
        <v>1</v>
      </c>
      <c r="J303" s="516"/>
      <c r="K303" s="516"/>
      <c r="L303" s="495">
        <f ca="1">IF(AND(O302&gt;=SUMIF(NameConv!$C$5:$C$45,RIGHT(C302,3),NameConv!$CG$5:$CG$45),M302=SUMIF(NameConv!$G$4:$M$4,MID(C302,2,3),NameConv!$G$45:$M$45)),L302+1,L302)</f>
        <v>6</v>
      </c>
      <c r="M303" s="495">
        <f ca="1">IF(L303&lt;&gt;L302,1,IF(O302&gt;=SUMIF(NameConv!$C$5:$C$45,RIGHT(C302,3),NameConv!$CG$5:$CG$45),M302+1,M302))</f>
        <v>17</v>
      </c>
      <c r="N303" s="495">
        <f ca="1">SUMIF(NameConv!$C$5:$C$45,RIGHT(C303,3),OFFSET(NameConv!$CG$5,0,O303,NameConv!$A$45,1))</f>
        <v>5</v>
      </c>
      <c r="O303" s="495">
        <f ca="1">IF(O302&gt;=SUMIF(NameConv!$C$5:$C$45,RIGHT(C302,3),NameConv!$CG$5:$CG$45),1,O302+1)</f>
        <v>5</v>
      </c>
    </row>
    <row r="304" spans="1:15">
      <c r="A304" s="422" t="str">
        <f t="shared" ca="1" si="24"/>
        <v/>
      </c>
      <c r="B304" s="515" t="str">
        <f t="shared" si="20"/>
        <v>TOP-OUT</v>
      </c>
      <c r="C304" s="518" t="str">
        <f ca="1">"X"&amp;OFFSET(NameConv!$F$4,0,L304)&amp;OFFSET(NameConv!$F$59,M304,L304)</f>
        <v>XPWRODS</v>
      </c>
      <c r="D304" s="515" t="str">
        <f ca="1">OFFSET(NameConv!$F$4,0,L304)&amp;OFFSET(NameConv!$AX$4,0,N304)</f>
        <v>PWRCMOX</v>
      </c>
      <c r="E304" s="740" t="s">
        <v>334</v>
      </c>
      <c r="F304" s="740" t="s">
        <v>334</v>
      </c>
      <c r="G304" s="740" t="s">
        <v>334</v>
      </c>
      <c r="H304" s="740" t="s">
        <v>334</v>
      </c>
      <c r="I304" s="516">
        <f t="shared" si="22"/>
        <v>1</v>
      </c>
      <c r="J304" s="516"/>
      <c r="K304" s="516"/>
      <c r="L304" s="495">
        <f ca="1">IF(AND(O303&gt;=SUMIF(NameConv!$C$5:$C$45,RIGHT(C303,3),NameConv!$CG$5:$CG$45),M303=SUMIF(NameConv!$G$4:$M$4,MID(C303,2,3),NameConv!$G$45:$M$45)),L303+1,L303)</f>
        <v>6</v>
      </c>
      <c r="M304" s="495">
        <f ca="1">IF(L304&lt;&gt;L303,1,IF(O303&gt;=SUMIF(NameConv!$C$5:$C$45,RIGHT(C303,3),NameConv!$CG$5:$CG$45),M303+1,M303))</f>
        <v>17</v>
      </c>
      <c r="N304" s="495">
        <f ca="1">SUMIF(NameConv!$C$5:$C$45,RIGHT(C304,3),OFFSET(NameConv!$CG$5,0,O304,NameConv!$A$45,1))</f>
        <v>6</v>
      </c>
      <c r="O304" s="495">
        <f ca="1">IF(O303&gt;=SUMIF(NameConv!$C$5:$C$45,RIGHT(C303,3),NameConv!$CG$5:$CG$45),1,O303+1)</f>
        <v>6</v>
      </c>
    </row>
    <row r="305" spans="1:15">
      <c r="A305" s="422" t="str">
        <f t="shared" ca="1" si="24"/>
        <v/>
      </c>
      <c r="B305" s="515" t="str">
        <f t="shared" si="20"/>
        <v>TOP-OUT</v>
      </c>
      <c r="C305" s="518" t="str">
        <f ca="1">"X"&amp;OFFSET(NameConv!$F$4,0,L305)&amp;OFFSET(NameConv!$F$59,M305,L305)</f>
        <v>XPWRODS</v>
      </c>
      <c r="D305" s="515" t="str">
        <f ca="1">OFFSET(NameConv!$F$4,0,L305)&amp;OFFSET(NameConv!$AX$4,0,N305)</f>
        <v>PWRNMVS</v>
      </c>
      <c r="E305" s="740" t="s">
        <v>334</v>
      </c>
      <c r="F305" s="740" t="s">
        <v>334</v>
      </c>
      <c r="G305" s="740" t="s">
        <v>334</v>
      </c>
      <c r="H305" s="740" t="s">
        <v>334</v>
      </c>
      <c r="I305" s="516">
        <f t="shared" si="22"/>
        <v>1</v>
      </c>
      <c r="J305" s="516"/>
      <c r="K305" s="516"/>
      <c r="L305" s="495">
        <f ca="1">IF(AND(O304&gt;=SUMIF(NameConv!$C$5:$C$45,RIGHT(C304,3),NameConv!$CG$5:$CG$45),M304=SUMIF(NameConv!$G$4:$M$4,MID(C304,2,3),NameConv!$G$45:$M$45)),L304+1,L304)</f>
        <v>6</v>
      </c>
      <c r="M305" s="495">
        <f ca="1">IF(L305&lt;&gt;L304,1,IF(O304&gt;=SUMIF(NameConv!$C$5:$C$45,RIGHT(C304,3),NameConv!$CG$5:$CG$45),M304+1,M304))</f>
        <v>17</v>
      </c>
      <c r="N305" s="495">
        <f ca="1">SUMIF(NameConv!$C$5:$C$45,RIGHT(C305,3),OFFSET(NameConv!$CG$5,0,O305,NameConv!$A$45,1))</f>
        <v>7</v>
      </c>
      <c r="O305" s="495">
        <f ca="1">IF(O304&gt;=SUMIF(NameConv!$C$5:$C$45,RIGHT(C304,3),NameConv!$CG$5:$CG$45),1,O304+1)</f>
        <v>7</v>
      </c>
    </row>
    <row r="306" spans="1:15">
      <c r="A306" s="422" t="str">
        <f t="shared" ca="1" si="24"/>
        <v>*</v>
      </c>
      <c r="B306" s="515" t="str">
        <f t="shared" si="20"/>
        <v>TOP-OUT</v>
      </c>
      <c r="C306" s="518" t="str">
        <f ca="1">"X"&amp;OFFSET(NameConv!$F$4,0,L306)&amp;OFFSET(NameConv!$F$59,M306,L306)</f>
        <v>XPWRSOL</v>
      </c>
      <c r="D306" s="515" t="str">
        <f ca="1">OFFSET(NameConv!$F$4,0,L306)&amp;OFFSET(NameConv!$AX$4,0,N306)</f>
        <v>PWR</v>
      </c>
      <c r="E306" s="740" t="s">
        <v>334</v>
      </c>
      <c r="F306" s="740" t="s">
        <v>334</v>
      </c>
      <c r="G306" s="740" t="s">
        <v>334</v>
      </c>
      <c r="H306" s="740" t="s">
        <v>334</v>
      </c>
      <c r="I306" s="516">
        <f t="shared" si="22"/>
        <v>1</v>
      </c>
      <c r="J306" s="516"/>
      <c r="K306" s="516"/>
      <c r="L306" s="495">
        <f ca="1">IF(AND(O305&gt;=SUMIF(NameConv!$C$5:$C$45,RIGHT(C305,3),NameConv!$CG$5:$CG$45),M305=SUMIF(NameConv!$G$4:$M$4,MID(C305,2,3),NameConv!$G$45:$M$45)),L305+1,L305)</f>
        <v>6</v>
      </c>
      <c r="M306" s="495">
        <f ca="1">IF(L306&lt;&gt;L305,1,IF(O305&gt;=SUMIF(NameConv!$C$5:$C$45,RIGHT(C305,3),NameConv!$CG$5:$CG$45),M305+1,M305))</f>
        <v>18</v>
      </c>
      <c r="N306" s="495">
        <f ca="1">SUMIF(NameConv!$C$5:$C$45,RIGHT(C306,3),OFFSET(NameConv!$CG$5,0,O306,NameConv!$A$45,1))</f>
        <v>0</v>
      </c>
      <c r="O306" s="495">
        <f ca="1">IF(O305&gt;=SUMIF(NameConv!$C$5:$C$45,RIGHT(C305,3),NameConv!$CG$5:$CG$45),1,O305+1)</f>
        <v>1</v>
      </c>
    </row>
    <row r="307" spans="1:15">
      <c r="A307" s="422" t="str">
        <f t="shared" ref="A307:A308" ca="1" si="25">IF(LEN(D307)=3,"*","")</f>
        <v>*</v>
      </c>
      <c r="B307" s="515" t="str">
        <f t="shared" si="20"/>
        <v>TOP-OUT</v>
      </c>
      <c r="C307" s="518" t="str">
        <f ca="1">"X"&amp;OFFSET(NameConv!$F$4,0,L307)&amp;OFFSET(NameConv!$F$59,M307,L307)</f>
        <v>XPWRWND</v>
      </c>
      <c r="D307" s="515" t="str">
        <f ca="1">OFFSET(NameConv!$F$4,0,L307)&amp;OFFSET(NameConv!$AX$4,0,N307)</f>
        <v>PWR</v>
      </c>
      <c r="E307" s="740" t="s">
        <v>334</v>
      </c>
      <c r="F307" s="740" t="s">
        <v>334</v>
      </c>
      <c r="G307" s="740" t="s">
        <v>334</v>
      </c>
      <c r="H307" s="740" t="s">
        <v>334</v>
      </c>
      <c r="I307" s="516">
        <f t="shared" si="22"/>
        <v>1</v>
      </c>
      <c r="J307" s="516"/>
      <c r="K307" s="516"/>
      <c r="L307" s="495">
        <f ca="1">IF(AND(O306&gt;=SUMIF(NameConv!$C$5:$C$45,RIGHT(C306,3),NameConv!$CG$5:$CG$45),M306=SUMIF(NameConv!$G$4:$M$4,MID(C306,2,3),NameConv!$G$45:$M$45)),L306+1,L306)</f>
        <v>6</v>
      </c>
      <c r="M307" s="495">
        <f ca="1">IF(L307&lt;&gt;L306,1,IF(O306&gt;=SUMIF(NameConv!$C$5:$C$45,RIGHT(C306,3),NameConv!$CG$5:$CG$45),M306+1,M306))</f>
        <v>19</v>
      </c>
      <c r="N307" s="495">
        <f ca="1">SUMIF(NameConv!$C$5:$C$45,RIGHT(C307,3),OFFSET(NameConv!$CG$5,0,O307,NameConv!$A$45,1))</f>
        <v>0</v>
      </c>
      <c r="O307" s="495">
        <f ca="1">IF(O306&gt;=SUMIF(NameConv!$C$5:$C$45,RIGHT(C306,3),NameConv!$CG$5:$CG$45),1,O306+1)</f>
        <v>1</v>
      </c>
    </row>
    <row r="308" spans="1:15">
      <c r="A308" s="422" t="str">
        <f t="shared" ca="1" si="25"/>
        <v>*</v>
      </c>
      <c r="B308" s="515" t="str">
        <f t="shared" si="20"/>
        <v>TOP-OUT</v>
      </c>
      <c r="C308" s="518" t="str">
        <f ca="1">"X"&amp;OFFSET(NameConv!$F$4,0,L308)&amp;OFFSET(NameConv!$F$59,M308,L308)</f>
        <v>XUPSBIE</v>
      </c>
      <c r="D308" s="515" t="str">
        <f ca="1">OFFSET(NameConv!$F$4,0,L308)&amp;OFFSET(NameConv!$AX$4,0,N308)</f>
        <v>UPS</v>
      </c>
      <c r="E308" s="740" t="s">
        <v>334</v>
      </c>
      <c r="F308" s="740" t="s">
        <v>334</v>
      </c>
      <c r="G308" s="740" t="s">
        <v>334</v>
      </c>
      <c r="H308" s="740" t="s">
        <v>334</v>
      </c>
      <c r="I308" s="516">
        <f t="shared" si="22"/>
        <v>1</v>
      </c>
      <c r="J308" s="516"/>
      <c r="K308" s="516"/>
      <c r="L308" s="495">
        <f ca="1">IF(AND(O307&gt;=SUMIF(NameConv!$C$5:$C$45,RIGHT(C307,3),NameConv!$CG$5:$CG$45),M307=SUMIF(NameConv!$G$4:$M$4,MID(C307,2,3),NameConv!$G$45:$M$45)),L307+1,L307)</f>
        <v>7</v>
      </c>
      <c r="M308" s="495">
        <f ca="1">IF(L308&lt;&gt;L307,1,IF(O307&gt;=SUMIF(NameConv!$C$5:$C$45,RIGHT(C307,3),NameConv!$CG$5:$CG$45),M307+1,M307))</f>
        <v>1</v>
      </c>
      <c r="N308" s="495">
        <f ca="1">SUMIF(NameConv!$C$5:$C$45,RIGHT(C308,3),OFFSET(NameConv!$CG$5,0,O308,NameConv!$A$45,1))</f>
        <v>0</v>
      </c>
      <c r="O308" s="495">
        <f ca="1">IF(O307&gt;=SUMIF(NameConv!$C$5:$C$45,RIGHT(C307,3),NameConv!$CG$5:$CG$45),1,O307+1)</f>
        <v>1</v>
      </c>
    </row>
  </sheetData>
  <conditionalFormatting sqref="L12:L308">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topLeftCell="L71"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17" t="s">
        <v>2200</v>
      </c>
      <c r="C2" s="1918"/>
      <c r="D2" s="1918"/>
      <c r="E2" s="1918"/>
      <c r="F2" s="1918"/>
      <c r="G2" s="1918"/>
      <c r="H2" s="1918"/>
      <c r="I2" s="1918"/>
      <c r="J2" s="1918"/>
      <c r="K2" s="1918"/>
      <c r="L2" s="1918"/>
      <c r="M2" s="1918"/>
      <c r="N2" s="1918"/>
      <c r="O2" s="1918"/>
      <c r="P2" s="1918"/>
      <c r="Q2" s="1918"/>
      <c r="R2" s="1918"/>
      <c r="S2" s="1918"/>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19" t="s">
        <v>2201</v>
      </c>
      <c r="C4" s="1918"/>
      <c r="D4" s="1918"/>
      <c r="E4" s="1918"/>
      <c r="F4" s="1918"/>
      <c r="G4" s="1918"/>
      <c r="H4" s="1918"/>
      <c r="I4" s="1918"/>
      <c r="J4" s="1918"/>
      <c r="K4" s="1918"/>
      <c r="L4" s="1918"/>
      <c r="M4" s="1918"/>
      <c r="N4" s="1918"/>
      <c r="O4" s="1918"/>
      <c r="P4" s="1918"/>
      <c r="Q4" s="1918"/>
      <c r="R4" s="1918"/>
      <c r="S4" s="1918"/>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2202</v>
      </c>
      <c r="F6" s="1307" t="s">
        <v>2203</v>
      </c>
      <c r="G6" s="1307"/>
      <c r="H6" s="1307"/>
      <c r="I6" s="1307"/>
      <c r="J6" s="1307"/>
      <c r="K6" s="1307"/>
      <c r="L6" s="1307"/>
      <c r="M6" s="1307"/>
      <c r="N6" s="1307"/>
      <c r="O6" s="1307"/>
      <c r="P6" s="1307"/>
      <c r="Q6" s="1307"/>
      <c r="R6" s="1306"/>
      <c r="S6" s="1306"/>
      <c r="T6" s="1305" t="s">
        <v>2204</v>
      </c>
    </row>
    <row r="7" spans="1:50" ht="15">
      <c r="A7" s="1303"/>
      <c r="B7" s="1920" t="s">
        <v>943</v>
      </c>
      <c r="C7" s="1922" t="s">
        <v>339</v>
      </c>
      <c r="D7" s="1308"/>
      <c r="E7" s="1309">
        <v>3</v>
      </c>
      <c r="F7" s="1310">
        <v>7.0000000000000007E-2</v>
      </c>
      <c r="G7" s="1308"/>
      <c r="H7" s="1308"/>
      <c r="I7" s="1308"/>
      <c r="J7" s="1308"/>
      <c r="K7" s="1308"/>
      <c r="L7" s="1311" t="s">
        <v>2205</v>
      </c>
      <c r="M7" s="1308"/>
      <c r="N7" s="1308"/>
      <c r="O7" s="1308"/>
      <c r="P7" s="1308"/>
      <c r="Q7" s="1308"/>
      <c r="R7" s="1306"/>
      <c r="S7" s="1306"/>
      <c r="T7" s="1312">
        <v>2010</v>
      </c>
      <c r="U7" s="1305">
        <f>T7</f>
        <v>2010</v>
      </c>
      <c r="V7" s="1305">
        <f>U7</f>
        <v>2010</v>
      </c>
      <c r="W7" s="1305">
        <f>U7</f>
        <v>2010</v>
      </c>
      <c r="X7" s="1305">
        <f>W7</f>
        <v>2010</v>
      </c>
      <c r="Y7" s="1305">
        <f>X7</f>
        <v>2010</v>
      </c>
      <c r="AF7" s="1305" t="s">
        <v>2206</v>
      </c>
    </row>
    <row r="8" spans="1:50" ht="40.5" customHeight="1">
      <c r="A8" s="1303"/>
      <c r="B8" s="1921"/>
      <c r="C8" s="1921"/>
      <c r="D8" s="1307" t="s">
        <v>2207</v>
      </c>
      <c r="E8" s="1307" t="s">
        <v>2208</v>
      </c>
      <c r="F8" s="1307" t="s">
        <v>2209</v>
      </c>
      <c r="G8" s="1307"/>
      <c r="H8" s="1307"/>
      <c r="I8" s="1307"/>
      <c r="J8" s="1307"/>
      <c r="K8" s="1307"/>
      <c r="L8" s="1307" t="s">
        <v>2210</v>
      </c>
      <c r="M8" s="1307" t="s">
        <v>2209</v>
      </c>
      <c r="N8" s="1307" t="s">
        <v>2211</v>
      </c>
      <c r="O8" s="1307" t="s">
        <v>2212</v>
      </c>
      <c r="P8" s="1307" t="s">
        <v>2213</v>
      </c>
      <c r="Q8" s="1307" t="s">
        <v>2214</v>
      </c>
      <c r="R8" s="1307" t="s">
        <v>2215</v>
      </c>
      <c r="S8" s="1306"/>
      <c r="T8" s="1313" t="s">
        <v>2216</v>
      </c>
      <c r="U8" s="1313" t="s">
        <v>2217</v>
      </c>
      <c r="V8" s="1313" t="s">
        <v>2218</v>
      </c>
      <c r="W8" s="1313" t="s">
        <v>2219</v>
      </c>
      <c r="X8" s="1313" t="s">
        <v>2220</v>
      </c>
      <c r="Y8" s="1313" t="s">
        <v>2221</v>
      </c>
      <c r="AF8" s="430" t="s">
        <v>2222</v>
      </c>
      <c r="AG8" s="430" t="s">
        <v>2223</v>
      </c>
      <c r="AH8" s="430" t="s">
        <v>2224</v>
      </c>
      <c r="AI8" s="430"/>
      <c r="AL8" s="1305" t="s">
        <v>371</v>
      </c>
      <c r="AM8" s="1305" t="s">
        <v>382</v>
      </c>
      <c r="AN8" s="1305" t="s">
        <v>239</v>
      </c>
      <c r="AU8" s="1305" t="s">
        <v>371</v>
      </c>
      <c r="AV8" s="1305" t="s">
        <v>382</v>
      </c>
      <c r="AW8" s="1305" t="s">
        <v>239</v>
      </c>
    </row>
    <row r="9" spans="1:50" ht="18" customHeight="1">
      <c r="A9" s="1303"/>
      <c r="B9" s="1314" t="s">
        <v>2225</v>
      </c>
      <c r="C9" s="1315" t="s">
        <v>2226</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2227</v>
      </c>
      <c r="AG9" s="430" t="s">
        <v>2228</v>
      </c>
      <c r="AH9" s="430" t="s">
        <v>2228</v>
      </c>
      <c r="AI9" s="430"/>
      <c r="AL9" s="1305" t="s">
        <v>2222</v>
      </c>
      <c r="AM9" s="1305" t="s">
        <v>2223</v>
      </c>
      <c r="AN9" s="1305" t="s">
        <v>2224</v>
      </c>
      <c r="AU9" s="1305" t="s">
        <v>2222</v>
      </c>
      <c r="AV9" s="1305" t="s">
        <v>2223</v>
      </c>
      <c r="AW9" s="1305" t="s">
        <v>2224</v>
      </c>
    </row>
    <row r="10" spans="1:50" ht="18" customHeight="1">
      <c r="A10" s="1303"/>
      <c r="B10" s="1314" t="s">
        <v>2229</v>
      </c>
      <c r="C10" s="1315" t="s">
        <v>2230</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2231</v>
      </c>
      <c r="AG10" s="430" t="s">
        <v>2232</v>
      </c>
      <c r="AH10" s="430" t="s">
        <v>2232</v>
      </c>
      <c r="AI10" s="430"/>
      <c r="AL10" s="1305" t="s">
        <v>2227</v>
      </c>
      <c r="AM10" s="1305" t="s">
        <v>2233</v>
      </c>
      <c r="AN10" s="1305" t="s">
        <v>2233</v>
      </c>
      <c r="AO10" s="1305" t="s">
        <v>2234</v>
      </c>
      <c r="AP10" s="1305" t="s">
        <v>2235</v>
      </c>
      <c r="AQ10" s="1305" t="s">
        <v>2235</v>
      </c>
      <c r="AU10" s="1305" t="s">
        <v>2227</v>
      </c>
      <c r="AV10" s="1305" t="s">
        <v>2236</v>
      </c>
      <c r="AW10" s="1305" t="s">
        <v>2236</v>
      </c>
      <c r="AX10" s="1305" t="s">
        <v>2234</v>
      </c>
    </row>
    <row r="11" spans="1:50" ht="18" customHeight="1">
      <c r="A11" s="1303"/>
      <c r="B11" s="1314" t="s">
        <v>2237</v>
      </c>
      <c r="C11" s="1315" t="s">
        <v>2238</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2239</v>
      </c>
      <c r="AG11" s="458">
        <v>4.8208333333333302</v>
      </c>
      <c r="AH11" s="458">
        <v>6.2083333333333304</v>
      </c>
      <c r="AI11" s="458"/>
      <c r="AL11" s="1305" t="s">
        <v>2231</v>
      </c>
      <c r="AM11" s="1305" t="s">
        <v>2240</v>
      </c>
      <c r="AN11" s="1305" t="s">
        <v>2240</v>
      </c>
      <c r="AP11" s="1305">
        <f>T7</f>
        <v>2010</v>
      </c>
      <c r="AQ11" s="1305">
        <f>AP11</f>
        <v>2010</v>
      </c>
      <c r="AU11" s="1305" t="s">
        <v>2231</v>
      </c>
      <c r="AV11" s="1305" t="s">
        <v>2241</v>
      </c>
      <c r="AW11" s="1305" t="s">
        <v>2241</v>
      </c>
    </row>
    <row r="12" spans="1:50" ht="18" customHeight="1">
      <c r="A12" s="1303"/>
      <c r="B12" s="1314" t="s">
        <v>2242</v>
      </c>
      <c r="C12" s="1315" t="s">
        <v>2243</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2244</v>
      </c>
      <c r="AG12" s="458">
        <v>4.5</v>
      </c>
      <c r="AH12" s="458">
        <v>6.8333333333333304</v>
      </c>
      <c r="AI12" s="458"/>
      <c r="AL12" s="1305">
        <v>1960</v>
      </c>
      <c r="AU12" s="1305" t="s">
        <v>2239</v>
      </c>
    </row>
    <row r="13" spans="1:50" ht="18" customHeight="1">
      <c r="A13" s="1303"/>
      <c r="B13" s="1314" t="s">
        <v>2245</v>
      </c>
      <c r="C13" s="1315" t="s">
        <v>2246</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2247</v>
      </c>
      <c r="AG13" s="458">
        <v>4.5</v>
      </c>
      <c r="AH13" s="458">
        <v>6.2083333333333304</v>
      </c>
      <c r="AI13" s="458"/>
      <c r="AL13" s="1305">
        <f>AL12+1</f>
        <v>1961</v>
      </c>
      <c r="AM13" s="1321">
        <v>1.1018497373831053</v>
      </c>
      <c r="AN13" s="1321">
        <v>1.2607240401421222</v>
      </c>
      <c r="AU13" s="1305" t="s">
        <v>2244</v>
      </c>
      <c r="AV13" s="1321">
        <v>1.0751818913553564</v>
      </c>
      <c r="AW13" s="1321">
        <v>2.1023513139696774</v>
      </c>
      <c r="AX13" s="1321"/>
    </row>
    <row r="14" spans="1:50" ht="18" customHeight="1">
      <c r="A14" s="1303"/>
      <c r="B14" s="1314" t="s">
        <v>2248</v>
      </c>
      <c r="C14" s="1315" t="s">
        <v>2249</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2250</v>
      </c>
      <c r="AG14" s="458">
        <v>4.5</v>
      </c>
      <c r="AH14" s="458">
        <v>5.5</v>
      </c>
      <c r="AI14" s="458"/>
      <c r="AL14" s="1305">
        <f t="shared" ref="AL14:AL66" si="20">AL13+1</f>
        <v>1962</v>
      </c>
      <c r="AM14" s="1321">
        <v>1.2310124795303921</v>
      </c>
      <c r="AN14" s="1321">
        <v>0.59335284925950305</v>
      </c>
      <c r="AU14" s="1305" t="s">
        <v>2247</v>
      </c>
      <c r="AV14" s="1321">
        <v>1.1160714285840072</v>
      </c>
      <c r="AW14" s="1321">
        <v>1.2462747222974997</v>
      </c>
      <c r="AX14" s="1321"/>
    </row>
    <row r="15" spans="1:50" ht="18" customHeight="1">
      <c r="A15" s="1303"/>
      <c r="B15" s="1314" t="s">
        <v>2251</v>
      </c>
      <c r="C15" s="1315" t="s">
        <v>2252</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2253</v>
      </c>
      <c r="AG15" s="458">
        <v>4.5</v>
      </c>
      <c r="AH15" s="458">
        <v>5.7916666666666696</v>
      </c>
      <c r="AI15" s="458"/>
      <c r="AL15" s="1305">
        <f t="shared" si="20"/>
        <v>1963</v>
      </c>
      <c r="AM15" s="1321">
        <v>1.1267919897361054</v>
      </c>
      <c r="AN15" s="1321">
        <v>3.3267652454602228</v>
      </c>
      <c r="AU15" s="1305" t="s">
        <v>2250</v>
      </c>
      <c r="AV15" s="1321">
        <v>1.2141280364371454</v>
      </c>
      <c r="AW15" s="1321">
        <v>1.3379716350014945</v>
      </c>
      <c r="AX15" s="1321"/>
    </row>
    <row r="16" spans="1:50" ht="18" customHeight="1">
      <c r="A16" s="1303"/>
      <c r="B16" s="1314" t="s">
        <v>2254</v>
      </c>
      <c r="C16" s="1315" t="s">
        <v>2255</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2256</v>
      </c>
      <c r="AG16" s="458">
        <v>4.5350000000000001</v>
      </c>
      <c r="AH16" s="458">
        <v>6.9166666666666696</v>
      </c>
      <c r="AI16" s="458"/>
      <c r="AL16" s="1305">
        <f t="shared" si="20"/>
        <v>1964</v>
      </c>
      <c r="AM16" s="1321">
        <v>1.5334546858622957</v>
      </c>
      <c r="AN16" s="1321">
        <v>1.6974708186466643</v>
      </c>
      <c r="AU16" s="1305" t="s">
        <v>2253</v>
      </c>
      <c r="AV16" s="1321">
        <v>1.3086150490727846</v>
      </c>
      <c r="AW16" s="1321">
        <v>2.5349881172427757</v>
      </c>
      <c r="AX16" s="1321"/>
    </row>
    <row r="17" spans="1:50" ht="18" customHeight="1">
      <c r="A17" s="1303"/>
      <c r="B17" s="1314" t="s">
        <v>2257</v>
      </c>
      <c r="C17" s="1315" t="s">
        <v>2258</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2259</v>
      </c>
      <c r="AG17" s="458">
        <v>5.625</v>
      </c>
      <c r="AH17" s="458">
        <v>7.5</v>
      </c>
      <c r="AI17" s="458"/>
      <c r="AL17" s="1305">
        <f t="shared" si="20"/>
        <v>1965</v>
      </c>
      <c r="AM17" s="1321">
        <v>1.8308252295321665</v>
      </c>
      <c r="AN17" s="1321">
        <v>0.31891507742417957</v>
      </c>
      <c r="AU17" s="1305" t="s">
        <v>2256</v>
      </c>
      <c r="AV17" s="1321">
        <v>1.6684607099028739</v>
      </c>
      <c r="AW17" s="1321">
        <v>4.0690187998970941</v>
      </c>
      <c r="AX17" s="1321"/>
    </row>
    <row r="18" spans="1:50" ht="18" customHeight="1">
      <c r="A18" s="1303"/>
      <c r="B18" s="1314" t="s">
        <v>2260</v>
      </c>
      <c r="C18" s="1315" t="s">
        <v>2261</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2262</v>
      </c>
      <c r="AG18" s="458">
        <v>5.6333333333333302</v>
      </c>
      <c r="AH18" s="458">
        <v>8.25</v>
      </c>
      <c r="AI18" s="458"/>
      <c r="AL18" s="1305">
        <f t="shared" si="20"/>
        <v>1966</v>
      </c>
      <c r="AM18" s="1321">
        <v>2.8115663679046037</v>
      </c>
      <c r="AN18" s="1321">
        <v>4.3882899811012379</v>
      </c>
      <c r="AU18" s="1305" t="s">
        <v>2259</v>
      </c>
      <c r="AV18" s="1321">
        <v>2.9910005294848219</v>
      </c>
      <c r="AW18" s="1321">
        <v>3.4892353377879317</v>
      </c>
      <c r="AX18" s="1321"/>
    </row>
    <row r="19" spans="1:50" ht="18" customHeight="1">
      <c r="A19" s="1303"/>
      <c r="B19" s="1314" t="s">
        <v>2263</v>
      </c>
      <c r="C19" s="1315" t="s">
        <v>2264</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2265</v>
      </c>
      <c r="AG19" s="458">
        <v>6.3125</v>
      </c>
      <c r="AH19" s="458">
        <v>8.3333333333333304</v>
      </c>
      <c r="AI19" s="458"/>
      <c r="AL19" s="1305">
        <f t="shared" si="20"/>
        <v>1967</v>
      </c>
      <c r="AM19" s="1321">
        <v>2.9059208136577013</v>
      </c>
      <c r="AN19" s="1321">
        <v>4.076436599098912</v>
      </c>
      <c r="AU19" s="1305" t="s">
        <v>2262</v>
      </c>
      <c r="AV19" s="1321">
        <v>2.775636083366507</v>
      </c>
      <c r="AW19" s="1321">
        <v>3.5389765662357888</v>
      </c>
      <c r="AX19" s="1321"/>
    </row>
    <row r="20" spans="1:50" ht="18" customHeight="1">
      <c r="A20" s="1303"/>
      <c r="B20" s="1314" t="s">
        <v>2266</v>
      </c>
      <c r="C20" s="1315" t="s">
        <v>2267</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2268</v>
      </c>
      <c r="AG20" s="458">
        <v>7.9516666666666698</v>
      </c>
      <c r="AH20" s="458">
        <v>8</v>
      </c>
      <c r="AI20" s="458"/>
      <c r="AL20" s="1305">
        <f t="shared" si="20"/>
        <v>1968</v>
      </c>
      <c r="AM20" s="1321">
        <v>4.2509202763351084</v>
      </c>
      <c r="AN20" s="1321">
        <v>3.8567568044172589</v>
      </c>
      <c r="AU20" s="1305" t="s">
        <v>2265</v>
      </c>
      <c r="AV20" s="1321">
        <v>4.2177210965389946</v>
      </c>
      <c r="AW20" s="1321">
        <v>1.9861431870670856</v>
      </c>
      <c r="AX20" s="1321"/>
    </row>
    <row r="21" spans="1:50" ht="14.65" customHeight="1">
      <c r="A21" s="1303"/>
      <c r="B21" s="1923" t="s">
        <v>2269</v>
      </c>
      <c r="C21" s="1924" t="s">
        <v>2270</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2271</v>
      </c>
      <c r="AG21" s="458">
        <v>7.91</v>
      </c>
      <c r="AH21" s="458">
        <v>8.1666666666666696</v>
      </c>
      <c r="AI21" s="458"/>
      <c r="AL21" s="1305">
        <f t="shared" si="20"/>
        <v>1969</v>
      </c>
      <c r="AM21" s="1321">
        <v>4.9192222114732544</v>
      </c>
      <c r="AN21" s="1321">
        <v>7.6320302245189993</v>
      </c>
      <c r="AU21" s="1305" t="s">
        <v>2268</v>
      </c>
      <c r="AV21" s="1321">
        <v>5.4147004724046468</v>
      </c>
      <c r="AW21" s="1321">
        <v>3.2382246376812134</v>
      </c>
      <c r="AX21" s="1321"/>
    </row>
    <row r="22" spans="1:50" ht="15">
      <c r="A22" s="1303"/>
      <c r="B22" s="1921"/>
      <c r="C22" s="1921"/>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2272</v>
      </c>
      <c r="AG22" s="458">
        <v>5.7233333333333301</v>
      </c>
      <c r="AH22" s="458">
        <v>8.8333333333333304</v>
      </c>
      <c r="AI22" s="458"/>
      <c r="AL22" s="1305">
        <f t="shared" si="20"/>
        <v>1970</v>
      </c>
      <c r="AM22" s="1321">
        <v>5.2786870130468344</v>
      </c>
      <c r="AN22" s="1321">
        <v>4.2829742437716192</v>
      </c>
      <c r="AU22" s="1305" t="s">
        <v>2271</v>
      </c>
      <c r="AV22" s="1321">
        <v>5.8952959026688205</v>
      </c>
      <c r="AW22" s="1321">
        <v>4.0579074358411589</v>
      </c>
      <c r="AX22" s="1321"/>
    </row>
    <row r="23" spans="1:50" ht="15">
      <c r="A23" s="1303"/>
      <c r="B23" s="1322" t="s">
        <v>2273</v>
      </c>
      <c r="C23" s="1323" t="s">
        <v>2274</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2275</v>
      </c>
      <c r="AG23" s="458">
        <v>5.2483333333333304</v>
      </c>
      <c r="AH23" s="458">
        <v>8.7916666666666696</v>
      </c>
      <c r="AI23" s="458"/>
      <c r="AL23" s="1305">
        <f t="shared" si="20"/>
        <v>1971</v>
      </c>
      <c r="AM23" s="1321">
        <v>5.0796987213172855</v>
      </c>
      <c r="AN23" s="1321">
        <v>5.9803098669342063</v>
      </c>
      <c r="AU23" s="1305" t="s">
        <v>2272</v>
      </c>
      <c r="AV23" s="1321">
        <v>4.2559289244299805</v>
      </c>
      <c r="AW23" s="1321">
        <v>5.7124789207420719</v>
      </c>
      <c r="AX23" s="1321"/>
    </row>
    <row r="24" spans="1:50" ht="15">
      <c r="A24" s="1303"/>
      <c r="B24" s="1322" t="s">
        <v>2276</v>
      </c>
      <c r="C24" s="1323" t="s">
        <v>2277</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2278</v>
      </c>
      <c r="AG24" s="458">
        <v>8.0216666666666701</v>
      </c>
      <c r="AH24" s="458">
        <v>8</v>
      </c>
      <c r="AI24" s="458"/>
      <c r="AL24" s="1305">
        <f t="shared" si="20"/>
        <v>1972</v>
      </c>
      <c r="AM24" s="1321">
        <v>4.3298883147192271</v>
      </c>
      <c r="AN24" s="1321">
        <v>11.016616477134761</v>
      </c>
      <c r="AU24" s="1305" t="s">
        <v>2275</v>
      </c>
      <c r="AV24" s="1321">
        <v>3.3056147346065785</v>
      </c>
      <c r="AW24" s="1321">
        <v>6.4606181455632168</v>
      </c>
      <c r="AX24" s="1321"/>
    </row>
    <row r="25" spans="1:50" ht="15">
      <c r="A25" s="1303"/>
      <c r="B25" s="1322" t="s">
        <v>2279</v>
      </c>
      <c r="C25" s="1323" t="s">
        <v>2280</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2281</v>
      </c>
      <c r="AG25" s="458">
        <v>10.7983333333333</v>
      </c>
      <c r="AH25" s="458">
        <v>10.1666666666667</v>
      </c>
      <c r="AI25" s="458"/>
      <c r="AL25" s="1305">
        <f t="shared" si="20"/>
        <v>1973</v>
      </c>
      <c r="AM25" s="1321">
        <v>5.4363890553224223</v>
      </c>
      <c r="AN25" s="1321">
        <v>18.328472402755565</v>
      </c>
      <c r="AU25" s="1305" t="s">
        <v>2278</v>
      </c>
      <c r="AV25" s="1321">
        <v>6.220063863710962</v>
      </c>
      <c r="AW25" s="1321">
        <v>9.5898108259974322</v>
      </c>
      <c r="AX25" s="1321"/>
    </row>
    <row r="26" spans="1:50" ht="15">
      <c r="A26" s="1303"/>
      <c r="B26" s="1322" t="s">
        <v>2282</v>
      </c>
      <c r="C26" s="1323" t="s">
        <v>2283</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2284</v>
      </c>
      <c r="AG26" s="458">
        <v>7.8624999999999998</v>
      </c>
      <c r="AH26" s="458">
        <v>11.7916666666667</v>
      </c>
      <c r="AI26" s="458"/>
      <c r="AL26" s="1305">
        <f t="shared" si="20"/>
        <v>1974</v>
      </c>
      <c r="AM26" s="1321">
        <v>8.9559024094559447</v>
      </c>
      <c r="AN26" s="1321">
        <v>15.900996434272074</v>
      </c>
      <c r="AU26" s="1305" t="s">
        <v>2281</v>
      </c>
      <c r="AV26" s="1321">
        <v>11.035260224254628</v>
      </c>
      <c r="AW26" s="1321">
        <v>11.639036062211659</v>
      </c>
      <c r="AX26" s="1321"/>
    </row>
    <row r="27" spans="1:50" ht="15">
      <c r="A27" s="1303"/>
      <c r="B27" s="1322" t="s">
        <v>2285</v>
      </c>
      <c r="C27" s="1323" t="s">
        <v>2286</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2287</v>
      </c>
      <c r="AG27" s="458">
        <v>6.84</v>
      </c>
      <c r="AH27" s="458">
        <v>12.25</v>
      </c>
      <c r="AI27" s="458"/>
      <c r="AL27" s="1305">
        <f t="shared" si="20"/>
        <v>1975</v>
      </c>
      <c r="AM27" s="1321">
        <v>9.2872044506260352</v>
      </c>
      <c r="AN27" s="1321">
        <v>10.670579162777344</v>
      </c>
      <c r="AU27" s="1305" t="s">
        <v>2284</v>
      </c>
      <c r="AV27" s="1321">
        <v>9.1319307347025784</v>
      </c>
      <c r="AW27" s="1321">
        <v>12.522963870177421</v>
      </c>
      <c r="AX27" s="1321"/>
    </row>
    <row r="28" spans="1:50" ht="15">
      <c r="A28" s="1303"/>
      <c r="B28" s="1322" t="s">
        <v>2288</v>
      </c>
      <c r="C28" s="1323" t="s">
        <v>2289</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2290</v>
      </c>
      <c r="AG28" s="458">
        <v>6.8241666666666703</v>
      </c>
      <c r="AH28" s="458">
        <v>12.5</v>
      </c>
      <c r="AI28" s="458"/>
      <c r="AL28" s="1305">
        <f t="shared" si="20"/>
        <v>1976</v>
      </c>
      <c r="AM28" s="1321">
        <v>5.4913938468389034</v>
      </c>
      <c r="AN28" s="1321">
        <v>10.416851072598533</v>
      </c>
      <c r="AU28" s="1305" t="s">
        <v>2287</v>
      </c>
      <c r="AV28" s="1321">
        <v>5.7370270830905667</v>
      </c>
      <c r="AW28" s="1321">
        <v>11.02040816326533</v>
      </c>
      <c r="AX28" s="1321"/>
    </row>
    <row r="29" spans="1:50" ht="15">
      <c r="A29" s="1303"/>
      <c r="B29" s="1322" t="s">
        <v>2291</v>
      </c>
      <c r="C29" s="1323" t="s">
        <v>2292</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2293</v>
      </c>
      <c r="AG29" s="458">
        <v>9.0566666666666702</v>
      </c>
      <c r="AH29" s="458">
        <v>12.125</v>
      </c>
      <c r="AI29" s="458"/>
      <c r="AL29" s="1305">
        <f t="shared" si="20"/>
        <v>1977</v>
      </c>
      <c r="AM29" s="1321">
        <v>6.18873842627508</v>
      </c>
      <c r="AN29" s="1321">
        <v>11.168531813287714</v>
      </c>
      <c r="AU29" s="1305" t="s">
        <v>2290</v>
      </c>
      <c r="AV29" s="1321">
        <v>6.4864600644987149</v>
      </c>
      <c r="AW29" s="1321">
        <v>11.151960784313886</v>
      </c>
      <c r="AX29" s="1321"/>
    </row>
    <row r="30" spans="1:50" ht="15">
      <c r="A30" s="1303"/>
      <c r="B30" s="1322" t="s">
        <v>2294</v>
      </c>
      <c r="C30" s="1323" t="s">
        <v>2295</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2296</v>
      </c>
      <c r="AG30" s="458">
        <v>12.6658333333333</v>
      </c>
      <c r="AH30" s="458">
        <v>10</v>
      </c>
      <c r="AI30" s="458"/>
      <c r="AL30" s="1305">
        <f t="shared" si="20"/>
        <v>1978</v>
      </c>
      <c r="AM30" s="1321">
        <v>7.0180919651225508</v>
      </c>
      <c r="AN30" s="1321">
        <v>11.679670912976349</v>
      </c>
      <c r="AU30" s="1305" t="s">
        <v>2293</v>
      </c>
      <c r="AV30" s="1321">
        <v>7.6474638513509774</v>
      </c>
      <c r="AW30" s="1321">
        <v>11.135611907386988</v>
      </c>
      <c r="AX30" s="1321"/>
    </row>
    <row r="31" spans="1:50" ht="15">
      <c r="A31" s="1303"/>
      <c r="B31" s="1322" t="s">
        <v>2297</v>
      </c>
      <c r="C31" s="1323" t="s">
        <v>2298</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2299</v>
      </c>
      <c r="AG31" s="458">
        <v>15.265833333333299</v>
      </c>
      <c r="AH31" s="458">
        <v>9.5</v>
      </c>
      <c r="AI31" s="458"/>
      <c r="AL31" s="1305">
        <f t="shared" si="20"/>
        <v>1979</v>
      </c>
      <c r="AM31" s="1321">
        <v>8.2537154989383907</v>
      </c>
      <c r="AN31" s="1321">
        <v>15.130540003511925</v>
      </c>
      <c r="AU31" s="1305" t="s">
        <v>2296</v>
      </c>
      <c r="AV31" s="1321">
        <v>11.266044091932741</v>
      </c>
      <c r="AW31" s="1321">
        <v>13.293650793650727</v>
      </c>
      <c r="AX31" s="1321"/>
    </row>
    <row r="32" spans="1:50" ht="15">
      <c r="A32" s="1303"/>
      <c r="B32" s="1322" t="s">
        <v>2300</v>
      </c>
      <c r="C32" s="1323" t="s">
        <v>2301</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2302</v>
      </c>
      <c r="AG32" s="458">
        <v>18.87</v>
      </c>
      <c r="AH32" s="458">
        <v>14</v>
      </c>
      <c r="AI32" s="458"/>
      <c r="AL32" s="1305">
        <f t="shared" si="20"/>
        <v>1980</v>
      </c>
      <c r="AM32" s="1321">
        <v>9.0463348860016453</v>
      </c>
      <c r="AN32" s="1321">
        <v>24.914629576754649</v>
      </c>
      <c r="AU32" s="1305" t="s">
        <v>2299</v>
      </c>
      <c r="AV32" s="1321">
        <v>13.509370329291599</v>
      </c>
      <c r="AW32" s="1321">
        <v>13.660245183887881</v>
      </c>
      <c r="AX32" s="1321"/>
    </row>
    <row r="33" spans="1:50" ht="15">
      <c r="A33" s="1303"/>
      <c r="B33" s="1322" t="s">
        <v>2303</v>
      </c>
      <c r="C33" s="1323" t="s">
        <v>2304</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2305</v>
      </c>
      <c r="AG33" s="458">
        <v>14.8608333333333</v>
      </c>
      <c r="AH33" s="458">
        <v>19.3333333333333</v>
      </c>
      <c r="AI33" s="458"/>
      <c r="AL33" s="1305">
        <f t="shared" si="20"/>
        <v>1981</v>
      </c>
      <c r="AM33" s="1321">
        <v>9.3929856115106247</v>
      </c>
      <c r="AN33" s="1321">
        <v>9.9272631138294116</v>
      </c>
      <c r="AU33" s="1305" t="s">
        <v>2302</v>
      </c>
      <c r="AV33" s="1321">
        <v>10.315533980582487</v>
      </c>
      <c r="AW33" s="1321">
        <v>15.25423728813557</v>
      </c>
      <c r="AX33" s="1321"/>
    </row>
    <row r="34" spans="1:50" ht="15">
      <c r="A34" s="1303"/>
      <c r="B34" s="1322" t="s">
        <v>2306</v>
      </c>
      <c r="C34" s="1323" t="s">
        <v>2307</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2308</v>
      </c>
      <c r="AG34" s="458">
        <v>10.794166666666699</v>
      </c>
      <c r="AH34" s="458">
        <v>16.6666666666667</v>
      </c>
      <c r="AI34" s="458"/>
      <c r="AL34" s="1305">
        <f t="shared" si="20"/>
        <v>1982</v>
      </c>
      <c r="AM34" s="1321">
        <v>6.0956060668338523</v>
      </c>
      <c r="AN34" s="1321">
        <v>13.936385523068424</v>
      </c>
      <c r="AU34" s="1305" t="s">
        <v>2305</v>
      </c>
      <c r="AV34" s="1321">
        <v>6.1606160616062482</v>
      </c>
      <c r="AW34" s="1321">
        <v>14.639037433155096</v>
      </c>
      <c r="AX34" s="1321"/>
    </row>
    <row r="35" spans="1:50" ht="15">
      <c r="A35" s="1303"/>
      <c r="B35" s="1322" t="s">
        <v>2309</v>
      </c>
      <c r="C35" s="1323" t="s">
        <v>2310</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2311</v>
      </c>
      <c r="AG35" s="458">
        <v>12.0425</v>
      </c>
      <c r="AH35" s="458">
        <v>22.3333333333333</v>
      </c>
      <c r="AI35" s="458"/>
      <c r="AL35" s="1305">
        <f t="shared" si="20"/>
        <v>1983</v>
      </c>
      <c r="AM35" s="1321">
        <v>3.9400278940027391</v>
      </c>
      <c r="AN35" s="1321">
        <v>16.568839282144168</v>
      </c>
      <c r="AU35" s="1305" t="s">
        <v>2308</v>
      </c>
      <c r="AV35" s="1321">
        <v>3.2124352331607042</v>
      </c>
      <c r="AW35" s="1321">
        <v>12.303206997084601</v>
      </c>
      <c r="AX35" s="1321"/>
    </row>
    <row r="36" spans="1:50" ht="15">
      <c r="A36" s="1303"/>
      <c r="B36" s="1322" t="s">
        <v>2312</v>
      </c>
      <c r="C36" s="1323" t="s">
        <v>2313</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2314</v>
      </c>
      <c r="AG36" s="458">
        <v>9.93333333333333</v>
      </c>
      <c r="AH36" s="458">
        <v>21.5</v>
      </c>
      <c r="AI36" s="458"/>
      <c r="AL36" s="1305">
        <f t="shared" si="20"/>
        <v>1984</v>
      </c>
      <c r="AM36" s="1321">
        <v>3.5521264303553579</v>
      </c>
      <c r="AN36" s="1321">
        <v>11.519671166036289</v>
      </c>
      <c r="AU36" s="1305" t="s">
        <v>2311</v>
      </c>
      <c r="AV36" s="1321">
        <v>4.3172690763051804</v>
      </c>
      <c r="AW36" s="1321">
        <v>11.526479750778947</v>
      </c>
      <c r="AX36" s="1321"/>
    </row>
    <row r="37" spans="1:50" ht="15">
      <c r="A37" s="1303"/>
      <c r="B37" s="1322" t="s">
        <v>2315</v>
      </c>
      <c r="C37" s="1323" t="s">
        <v>2316</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2317</v>
      </c>
      <c r="AG37" s="458">
        <v>8.3324999999999996</v>
      </c>
      <c r="AH37" s="458">
        <v>14.3333333333333</v>
      </c>
      <c r="AI37" s="458"/>
      <c r="AL37" s="1305">
        <f t="shared" si="20"/>
        <v>1985</v>
      </c>
      <c r="AM37" s="1321">
        <v>3.1981138866891996</v>
      </c>
      <c r="AN37" s="1321">
        <v>16.8005641703989</v>
      </c>
      <c r="AU37" s="1305" t="s">
        <v>2314</v>
      </c>
      <c r="AV37" s="1321">
        <v>3.5611164581327301</v>
      </c>
      <c r="AW37" s="1321">
        <v>16.294227188081663</v>
      </c>
      <c r="AX37" s="1321"/>
    </row>
    <row r="38" spans="1:50" ht="15">
      <c r="A38" s="1303"/>
      <c r="B38" s="1322" t="s">
        <v>2318</v>
      </c>
      <c r="C38" s="1323" t="s">
        <v>2319</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2320</v>
      </c>
      <c r="AG38" s="458">
        <v>8.2033333333333296</v>
      </c>
      <c r="AH38" s="458">
        <v>12.5</v>
      </c>
      <c r="AI38" s="458"/>
      <c r="AL38" s="1305">
        <f t="shared" si="20"/>
        <v>1986</v>
      </c>
      <c r="AM38" s="1321">
        <v>2.0282171570079441</v>
      </c>
      <c r="AN38" s="1321">
        <v>17.0617302973872</v>
      </c>
      <c r="AU38" s="1305" t="s">
        <v>2317</v>
      </c>
      <c r="AV38" s="1321">
        <v>1.858736059479682</v>
      </c>
      <c r="AW38" s="1321">
        <v>18.654923939151445</v>
      </c>
      <c r="AX38" s="1321"/>
    </row>
    <row r="39" spans="1:50" ht="15">
      <c r="A39" s="1303"/>
      <c r="B39" s="1322" t="s">
        <v>2321</v>
      </c>
      <c r="C39" s="1323" t="s">
        <v>2322</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2323</v>
      </c>
      <c r="AG39" s="458">
        <v>9.3149999999999995</v>
      </c>
      <c r="AH39" s="458">
        <v>15.3333333333333</v>
      </c>
      <c r="AI39" s="458"/>
      <c r="AL39" s="1305">
        <f t="shared" si="20"/>
        <v>1987</v>
      </c>
      <c r="AM39" s="1321">
        <v>2.4459865992069894</v>
      </c>
      <c r="AN39" s="1321">
        <v>14.497506209255675</v>
      </c>
      <c r="AU39" s="1305" t="s">
        <v>2320</v>
      </c>
      <c r="AV39" s="1321">
        <v>3.7408759124087965</v>
      </c>
      <c r="AW39" s="1321">
        <v>16.160593792172449</v>
      </c>
      <c r="AX39" s="1321"/>
    </row>
    <row r="40" spans="1:50" ht="15">
      <c r="A40" s="1303"/>
      <c r="B40" s="1322" t="s">
        <v>2324</v>
      </c>
      <c r="C40" s="1323" t="s">
        <v>2325</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2326</v>
      </c>
      <c r="AG40" s="458">
        <v>10.873333333333299</v>
      </c>
      <c r="AH40" s="458">
        <v>19.8333333333333</v>
      </c>
      <c r="AI40" s="458"/>
      <c r="AL40" s="1305">
        <f t="shared" si="20"/>
        <v>1988</v>
      </c>
      <c r="AM40" s="1321">
        <v>3.505464252940655</v>
      </c>
      <c r="AN40" s="1321">
        <v>15.183209898027968</v>
      </c>
      <c r="AU40" s="1305" t="s">
        <v>2323</v>
      </c>
      <c r="AV40" s="1321">
        <v>4.0090882439163238</v>
      </c>
      <c r="AW40" s="1321">
        <v>12.7795527156551</v>
      </c>
      <c r="AX40" s="1321"/>
    </row>
    <row r="41" spans="1:50" ht="15">
      <c r="A41" s="1303"/>
      <c r="B41" s="1322" t="s">
        <v>2327</v>
      </c>
      <c r="C41" s="1323" t="s">
        <v>2328</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2329</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2326</v>
      </c>
      <c r="AV41" s="1321">
        <v>4.8270030300900544</v>
      </c>
      <c r="AW41" s="1321">
        <v>14.730878186969122</v>
      </c>
      <c r="AX41" s="1321"/>
    </row>
    <row r="42" spans="1:50" ht="15">
      <c r="A42" s="1303"/>
      <c r="B42" s="1322" t="s">
        <v>2330</v>
      </c>
      <c r="C42" s="1323" t="s">
        <v>2331</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2332</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2329</v>
      </c>
      <c r="AV42" s="1321">
        <v>5.397956439902714</v>
      </c>
      <c r="AW42" s="1321">
        <v>14.320987654320774</v>
      </c>
      <c r="AX42" s="1321">
        <f>AW42-AV42</f>
        <v>8.9230312144180601</v>
      </c>
    </row>
    <row r="43" spans="1:50" ht="15">
      <c r="A43" s="1303"/>
      <c r="B43" s="1322" t="s">
        <v>2333</v>
      </c>
      <c r="C43" s="1323" t="s">
        <v>2334</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2335</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2332</v>
      </c>
      <c r="AV43" s="1321">
        <v>4.2349639645391335</v>
      </c>
      <c r="AW43" s="1321">
        <v>15.334773218142431</v>
      </c>
      <c r="AX43" s="1321">
        <f t="shared" ref="AX43:AX66" si="30">AW43-AV43</f>
        <v>11.099809253603297</v>
      </c>
    </row>
    <row r="44" spans="1:50" ht="15">
      <c r="A44" s="1303"/>
      <c r="B44" s="1322" t="s">
        <v>2336</v>
      </c>
      <c r="C44" s="1323" t="s">
        <v>2337</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2338</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2335</v>
      </c>
      <c r="AV44" s="1321">
        <v>3.0288196781495458</v>
      </c>
      <c r="AW44" s="1321">
        <v>13.874702076949319</v>
      </c>
      <c r="AX44" s="1321">
        <f t="shared" si="30"/>
        <v>10.845882398799773</v>
      </c>
    </row>
    <row r="45" spans="1:50" ht="15">
      <c r="A45" s="1303"/>
      <c r="B45" s="1322" t="s">
        <v>2339</v>
      </c>
      <c r="C45" s="1323" t="s">
        <v>2340</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2341</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2338</v>
      </c>
      <c r="AV45" s="1321">
        <v>2.9516569663852152</v>
      </c>
      <c r="AW45" s="1321">
        <v>9.7174465540440451</v>
      </c>
      <c r="AX45" s="1321">
        <f t="shared" si="30"/>
        <v>6.7657895876588299</v>
      </c>
    </row>
    <row r="46" spans="1:50" ht="15">
      <c r="A46" s="1303"/>
      <c r="B46" s="1322" t="s">
        <v>2342</v>
      </c>
      <c r="C46" s="1323" t="s">
        <v>2298</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2343</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2341</v>
      </c>
      <c r="AV46" s="1321">
        <v>2.6074415921546858</v>
      </c>
      <c r="AW46" s="1321">
        <v>8.9385474860335563</v>
      </c>
      <c r="AX46" s="1321">
        <f t="shared" si="30"/>
        <v>6.3311058938788705</v>
      </c>
    </row>
    <row r="47" spans="1:50" ht="15">
      <c r="A47" s="1303"/>
      <c r="B47" s="1322" t="s">
        <v>2344</v>
      </c>
      <c r="C47" s="1323" t="s">
        <v>2345</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2346</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2343</v>
      </c>
      <c r="AV47" s="1321">
        <v>2.8054196885364746</v>
      </c>
      <c r="AW47" s="1321">
        <v>8.6804252657910439</v>
      </c>
      <c r="AX47" s="1321">
        <f t="shared" si="30"/>
        <v>5.8750055772545693</v>
      </c>
    </row>
    <row r="48" spans="1:50" ht="15">
      <c r="A48" s="1303"/>
      <c r="B48" s="1322" t="s">
        <v>2347</v>
      </c>
      <c r="C48" s="1323" t="s">
        <v>2348</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2349</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2346</v>
      </c>
      <c r="AV48" s="1321">
        <v>2.9312041999344842</v>
      </c>
      <c r="AW48" s="1321">
        <v>7.3541259063184299</v>
      </c>
      <c r="AX48" s="1321">
        <f t="shared" si="30"/>
        <v>4.4229217063839457</v>
      </c>
    </row>
    <row r="49" spans="1:50" ht="15">
      <c r="A49" s="1303"/>
      <c r="B49" s="1322" t="s">
        <v>2350</v>
      </c>
      <c r="C49" s="1323" t="s">
        <v>2351</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2352</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2349</v>
      </c>
      <c r="AV49" s="1321">
        <v>2.3376899373076299</v>
      </c>
      <c r="AW49" s="1321">
        <v>8.5977701543738476</v>
      </c>
      <c r="AX49" s="1321">
        <f t="shared" si="30"/>
        <v>6.2600802170662178</v>
      </c>
    </row>
    <row r="50" spans="1:50" ht="15">
      <c r="A50" s="1303"/>
      <c r="B50" s="1322" t="s">
        <v>2353</v>
      </c>
      <c r="C50" s="1323" t="s">
        <v>2354</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2355</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2352</v>
      </c>
      <c r="AV50" s="1321">
        <v>1.55227909874327</v>
      </c>
      <c r="AW50" s="1321">
        <v>6.8805528134254814</v>
      </c>
      <c r="AX50" s="1321">
        <f t="shared" si="30"/>
        <v>5.3282737146822114</v>
      </c>
    </row>
    <row r="51" spans="1:50" ht="15">
      <c r="A51" s="1303"/>
      <c r="B51" s="1322" t="s">
        <v>2356</v>
      </c>
      <c r="C51" s="1323" t="s">
        <v>2357</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2358</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2355</v>
      </c>
      <c r="AV51" s="1321">
        <v>2.1880271969738203</v>
      </c>
      <c r="AW51" s="1321">
        <v>5.1814907176504335</v>
      </c>
      <c r="AX51" s="1321">
        <f t="shared" si="30"/>
        <v>2.9934635206766131</v>
      </c>
    </row>
    <row r="52" spans="1:50" ht="15">
      <c r="A52" s="1303"/>
      <c r="B52" s="1322" t="s">
        <v>2359</v>
      </c>
      <c r="C52" s="1323" t="s">
        <v>2360</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2361</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2358</v>
      </c>
      <c r="AV52" s="1321">
        <v>3.3768572714992615</v>
      </c>
      <c r="AW52" s="1321">
        <v>5.3389532841586487</v>
      </c>
      <c r="AX52" s="1321">
        <f t="shared" si="30"/>
        <v>1.9620960126593872</v>
      </c>
    </row>
    <row r="53" spans="1:50" ht="15">
      <c r="A53" s="1303"/>
      <c r="B53" s="1322" t="s">
        <v>2362</v>
      </c>
      <c r="C53" s="1323" t="s">
        <v>2363</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2364</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2361</v>
      </c>
      <c r="AV53" s="1321">
        <v>2.8261711188543188</v>
      </c>
      <c r="AW53" s="1321">
        <v>5.701900633544625</v>
      </c>
      <c r="AX53" s="1321">
        <f t="shared" si="30"/>
        <v>2.8757295146903061</v>
      </c>
    </row>
    <row r="54" spans="1:50" ht="15">
      <c r="A54" s="1303"/>
      <c r="B54" s="1322" t="s">
        <v>2365</v>
      </c>
      <c r="C54" s="1323" t="s">
        <v>2366</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2367</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2364</v>
      </c>
      <c r="AV54" s="1321">
        <v>1.5860316265058287</v>
      </c>
      <c r="AW54" s="1321">
        <v>9.1640378548894574</v>
      </c>
      <c r="AX54" s="1321">
        <f t="shared" si="30"/>
        <v>7.5780062283836287</v>
      </c>
    </row>
    <row r="55" spans="1:50" ht="15">
      <c r="A55" s="1303"/>
      <c r="B55" s="1322" t="s">
        <v>2368</v>
      </c>
      <c r="C55" s="1323" t="s">
        <v>2369</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2370</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2367</v>
      </c>
      <c r="AV55" s="1321">
        <v>2.2700949733610827</v>
      </c>
      <c r="AW55" s="1321">
        <v>5.8589799161970575</v>
      </c>
      <c r="AX55" s="1321">
        <f t="shared" si="30"/>
        <v>3.5888849428359748</v>
      </c>
    </row>
    <row r="56" spans="1:50" ht="15">
      <c r="A56" s="1303"/>
      <c r="B56" s="1322" t="s">
        <v>2371</v>
      </c>
      <c r="C56" s="1323" t="s">
        <v>2372</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2373</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2370</v>
      </c>
      <c r="AV56" s="1321">
        <v>2.6772366930917713</v>
      </c>
      <c r="AW56" s="1321">
        <v>1.3853818330717758</v>
      </c>
      <c r="AX56" s="1321">
        <f t="shared" si="30"/>
        <v>-1.2918548600199955</v>
      </c>
    </row>
    <row r="57" spans="1:50" ht="15">
      <c r="A57" s="1303"/>
      <c r="B57" s="1322" t="s">
        <v>2374</v>
      </c>
      <c r="C57" s="1323" t="s">
        <v>2375</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2376</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2373</v>
      </c>
      <c r="AV57" s="1321">
        <v>3.3927468454954663</v>
      </c>
      <c r="AW57" s="1321">
        <v>3.3992999461496538</v>
      </c>
      <c r="AX57" s="1321">
        <f t="shared" si="30"/>
        <v>6.5531006541874603E-3</v>
      </c>
    </row>
    <row r="58" spans="1:50" ht="15">
      <c r="A58" s="1303"/>
      <c r="B58" s="1322" t="s">
        <v>2377</v>
      </c>
      <c r="C58" s="1323" t="s">
        <v>2378</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2379</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2376</v>
      </c>
      <c r="AV58" s="1321">
        <v>3.2259441007040266</v>
      </c>
      <c r="AW58" s="1321">
        <v>4.6416248942127396</v>
      </c>
      <c r="AX58" s="1321">
        <f t="shared" si="30"/>
        <v>1.415680793508713</v>
      </c>
    </row>
    <row r="59" spans="1:50" ht="15">
      <c r="A59" s="1303"/>
      <c r="B59" s="1322" t="s">
        <v>2380</v>
      </c>
      <c r="C59" s="1323" t="s">
        <v>2381</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2382</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2379</v>
      </c>
      <c r="AV59" s="1321">
        <v>2.852672481501429</v>
      </c>
      <c r="AW59" s="1321">
        <v>7.0984198083861543</v>
      </c>
      <c r="AX59" s="1321">
        <f t="shared" si="30"/>
        <v>4.2457473268847252</v>
      </c>
    </row>
    <row r="60" spans="1:50" ht="15">
      <c r="A60" s="1303"/>
      <c r="B60" s="1322" t="s">
        <v>2383</v>
      </c>
      <c r="C60" s="1323" t="s">
        <v>2384</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2385</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2382</v>
      </c>
      <c r="AV60" s="1321">
        <v>3.8391002966508836</v>
      </c>
      <c r="AW60" s="1321">
        <v>11.536450769677714</v>
      </c>
      <c r="AX60" s="1321">
        <f t="shared" si="30"/>
        <v>7.6973504730268303</v>
      </c>
    </row>
    <row r="61" spans="1:50" ht="15">
      <c r="A61" s="1303"/>
      <c r="B61" s="1322" t="s">
        <v>2386</v>
      </c>
      <c r="C61" s="1323" t="s">
        <v>2387</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2388</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2385</v>
      </c>
      <c r="AV61" s="1321">
        <v>-0.35554626629971153</v>
      </c>
      <c r="AW61" s="1321">
        <v>7.1299999999999102</v>
      </c>
      <c r="AX61" s="1321">
        <f t="shared" si="30"/>
        <v>7.4855462662996217</v>
      </c>
    </row>
    <row r="62" spans="1:50" ht="15">
      <c r="A62" s="1303"/>
      <c r="B62" s="1322" t="s">
        <v>2389</v>
      </c>
      <c r="C62" s="1323" t="s">
        <v>2390</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2391</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2388</v>
      </c>
      <c r="AV62" s="1321">
        <v>1.64004344238991</v>
      </c>
      <c r="AW62" s="1321">
        <v>4.2623435498177429</v>
      </c>
      <c r="AX62" s="1321">
        <f t="shared" si="30"/>
        <v>2.6223001074278329</v>
      </c>
    </row>
    <row r="63" spans="1:50" ht="15">
      <c r="A63" s="1303"/>
      <c r="B63" s="1322" t="s">
        <v>2392</v>
      </c>
      <c r="C63" s="1323" t="s">
        <v>2393</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2394</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2391</v>
      </c>
      <c r="AV63" s="1321">
        <v>3.1568415686219993</v>
      </c>
      <c r="AW63" s="1321">
        <v>10.932148652267998</v>
      </c>
      <c r="AX63" s="1321">
        <f t="shared" si="30"/>
        <v>7.7753070836459983</v>
      </c>
    </row>
    <row r="64" spans="1:50" ht="15">
      <c r="A64" s="1303"/>
      <c r="B64" s="1322" t="s">
        <v>2395</v>
      </c>
      <c r="C64" s="1323" t="s">
        <v>2396</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2397</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2394</v>
      </c>
      <c r="AV64" s="1321">
        <v>2.069337265261268</v>
      </c>
      <c r="AW64" s="1321">
        <v>2.2065882379669972</v>
      </c>
      <c r="AX64" s="1321">
        <f t="shared" si="30"/>
        <v>0.13725097270572917</v>
      </c>
    </row>
    <row r="65" spans="1:50" ht="15">
      <c r="A65" s="1303"/>
      <c r="B65" s="1322" t="s">
        <v>2398</v>
      </c>
      <c r="C65" s="1323" t="s">
        <v>2399</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2400</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2397</v>
      </c>
      <c r="AV65" s="1321">
        <v>1.4648326556266085</v>
      </c>
      <c r="AW65" s="1321">
        <v>3.3110926466785315</v>
      </c>
      <c r="AX65" s="1321">
        <f t="shared" si="30"/>
        <v>1.8462599910519231</v>
      </c>
    </row>
    <row r="66" spans="1:50" ht="15">
      <c r="A66" s="1303"/>
      <c r="B66" s="1322" t="s">
        <v>2401</v>
      </c>
      <c r="C66" s="1323" t="s">
        <v>2402</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2400</v>
      </c>
      <c r="AV66" s="1327">
        <f>AV65</f>
        <v>1.4648326556266085</v>
      </c>
      <c r="AW66" s="1327">
        <f>AW65</f>
        <v>3.3110926466785315</v>
      </c>
      <c r="AX66" s="1328">
        <f t="shared" si="30"/>
        <v>1.8462599910519231</v>
      </c>
    </row>
    <row r="67" spans="1:50">
      <c r="A67" s="1303"/>
      <c r="B67" s="1322" t="s">
        <v>2403</v>
      </c>
      <c r="C67" s="1323" t="s">
        <v>2298</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2404</v>
      </c>
      <c r="C68" s="1323" t="s">
        <v>2405</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2406</v>
      </c>
      <c r="C69" s="1323" t="s">
        <v>2407</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2408</v>
      </c>
      <c r="C70" s="1323" t="s">
        <v>2409</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2410</v>
      </c>
      <c r="C71" s="1323" t="s">
        <v>2411</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2412</v>
      </c>
      <c r="C72" s="1323" t="s">
        <v>2413</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2414</v>
      </c>
      <c r="C73" s="1323" t="s">
        <v>2415</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2416</v>
      </c>
      <c r="C74" s="1323" t="s">
        <v>2417</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2418</v>
      </c>
      <c r="C75" s="1323" t="s">
        <v>2419</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2420</v>
      </c>
      <c r="C76" s="1323" t="s">
        <v>2421</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2422</v>
      </c>
      <c r="C77" s="1323" t="s">
        <v>2423</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2424</v>
      </c>
      <c r="C78" s="1323" t="s">
        <v>2425</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2426</v>
      </c>
      <c r="C79" s="1323" t="s">
        <v>2427</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2428</v>
      </c>
      <c r="C80" s="1323" t="s">
        <v>2429</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2430</v>
      </c>
      <c r="C81" s="1323" t="s">
        <v>2431</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2432</v>
      </c>
      <c r="C82" s="1323" t="s">
        <v>2433</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2434</v>
      </c>
      <c r="C83" s="1323" t="s">
        <v>2435</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2436</v>
      </c>
      <c r="C84" s="1323" t="s">
        <v>2437</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2438</v>
      </c>
      <c r="C85" s="1323" t="s">
        <v>2439</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2440</v>
      </c>
      <c r="C86" s="1323" t="s">
        <v>2441</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2442</v>
      </c>
      <c r="C87" s="1323" t="s">
        <v>2443</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13413</v>
      </c>
    </row>
    <row r="88" spans="1:25">
      <c r="A88" s="1303"/>
      <c r="B88" s="1322" t="s">
        <v>2444</v>
      </c>
      <c r="C88" s="1323" t="s">
        <v>2445</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13414</v>
      </c>
    </row>
    <row r="89" spans="1:25">
      <c r="A89" s="1303"/>
      <c r="B89" s="1322" t="s">
        <v>2446</v>
      </c>
      <c r="C89" s="1323" t="s">
        <v>2447</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2448</v>
      </c>
      <c r="C90" s="1323" t="s">
        <v>2449</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2450</v>
      </c>
      <c r="C91" s="1323" t="s">
        <v>2451</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2452</v>
      </c>
      <c r="C92" s="1323" t="s">
        <v>2453</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13410</v>
      </c>
      <c r="X92" s="1305" t="s">
        <v>13411</v>
      </c>
      <c r="Y92" s="1305" t="s">
        <v>13412</v>
      </c>
    </row>
    <row r="93" spans="1:25">
      <c r="A93" s="1303"/>
      <c r="B93" s="1322" t="s">
        <v>2454</v>
      </c>
      <c r="C93" s="1323" t="s">
        <v>2455</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2456</v>
      </c>
      <c r="C94" s="1323" t="s">
        <v>2457</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2458</v>
      </c>
      <c r="C95" s="1323" t="s">
        <v>2459</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2460</v>
      </c>
      <c r="C96" s="1323" t="s">
        <v>2461</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2462</v>
      </c>
      <c r="C97" s="1323" t="s">
        <v>2463</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2464</v>
      </c>
      <c r="C98" s="1323" t="s">
        <v>2465</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2466</v>
      </c>
      <c r="C99" s="1323" t="s">
        <v>2467</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2468</v>
      </c>
      <c r="C100" s="1323" t="s">
        <v>2469</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2470</v>
      </c>
      <c r="C101" s="1323" t="s">
        <v>2471</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2472</v>
      </c>
      <c r="C102" s="1323" t="s">
        <v>2473</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2474</v>
      </c>
      <c r="C103" s="1323" t="s">
        <v>2475</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2476</v>
      </c>
      <c r="C104" s="1323" t="s">
        <v>2477</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2478</v>
      </c>
      <c r="C105" s="1323" t="s">
        <v>2479</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2480</v>
      </c>
      <c r="C106" s="1323" t="s">
        <v>2481</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2482</v>
      </c>
      <c r="C107" s="1323" t="s">
        <v>2483</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2484</v>
      </c>
      <c r="C108" s="1323" t="s">
        <v>2475</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2485</v>
      </c>
      <c r="C109" s="1323" t="s">
        <v>2486</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2487</v>
      </c>
      <c r="C110" s="1323" t="s">
        <v>2488</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2489</v>
      </c>
      <c r="C111" s="1323" t="s">
        <v>2490</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2491</v>
      </c>
      <c r="C112" s="1323" t="s">
        <v>2492</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2493</v>
      </c>
      <c r="C113" s="1323" t="s">
        <v>2494</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2495</v>
      </c>
      <c r="C114" s="1323" t="s">
        <v>2496</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2497</v>
      </c>
      <c r="C115" s="1323" t="s">
        <v>2498</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2499</v>
      </c>
      <c r="C116" s="1323" t="s">
        <v>2500</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2501</v>
      </c>
      <c r="C117" s="1323" t="s">
        <v>2502</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2503</v>
      </c>
      <c r="C118" s="1323" t="s">
        <v>2504</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2505</v>
      </c>
      <c r="C119" s="1323" t="s">
        <v>2506</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2507</v>
      </c>
      <c r="C120" s="1323" t="s">
        <v>2508</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2509</v>
      </c>
      <c r="C121" s="1323" t="s">
        <v>2510</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2511</v>
      </c>
      <c r="C122" s="1323" t="s">
        <v>2512</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2513</v>
      </c>
      <c r="C123" s="1323" t="s">
        <v>2514</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2515</v>
      </c>
      <c r="C124" s="1323" t="s">
        <v>2516</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2517</v>
      </c>
      <c r="C125" s="1323" t="s">
        <v>2518</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2519</v>
      </c>
      <c r="C126" s="1323" t="s">
        <v>2520</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2521</v>
      </c>
      <c r="C127" s="1323" t="s">
        <v>2522</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2523</v>
      </c>
      <c r="C128" s="1323" t="s">
        <v>2524</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2525</v>
      </c>
      <c r="C129" s="1323" t="s">
        <v>2526</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2527</v>
      </c>
      <c r="C130" s="1323" t="s">
        <v>2528</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2529</v>
      </c>
      <c r="C131" s="1323" t="s">
        <v>2530</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2531</v>
      </c>
      <c r="C132" s="1323" t="s">
        <v>2532</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2533</v>
      </c>
      <c r="C133" s="1323" t="s">
        <v>2534</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2535</v>
      </c>
      <c r="C134" s="1323" t="s">
        <v>2536</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2537</v>
      </c>
      <c r="C135" s="1323" t="s">
        <v>2538</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2539</v>
      </c>
      <c r="C136" s="1323" t="s">
        <v>2540</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2541</v>
      </c>
      <c r="C137" s="1323" t="s">
        <v>2542</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2543</v>
      </c>
      <c r="C138" s="1323" t="s">
        <v>2544</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2545</v>
      </c>
      <c r="C139" s="1323" t="s">
        <v>2546</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2547</v>
      </c>
      <c r="C140" s="1323" t="s">
        <v>2548</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2549</v>
      </c>
      <c r="C141" s="1323" t="s">
        <v>2550</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2551</v>
      </c>
      <c r="C142" s="1323" t="s">
        <v>2552</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2553</v>
      </c>
      <c r="C143" s="1323" t="s">
        <v>2554</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2555</v>
      </c>
      <c r="C144" s="1323" t="s">
        <v>2556</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2557</v>
      </c>
      <c r="C145" s="1323" t="s">
        <v>2558</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2559</v>
      </c>
      <c r="C146" s="1323" t="s">
        <v>2560</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2561</v>
      </c>
      <c r="C147" s="1323" t="s">
        <v>2562</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2563</v>
      </c>
      <c r="C148" s="1323" t="s">
        <v>2564</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2565</v>
      </c>
      <c r="C149" s="1323" t="s">
        <v>2566</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2567</v>
      </c>
      <c r="C150" s="1323" t="s">
        <v>2568</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2569</v>
      </c>
      <c r="C151" s="1323" t="s">
        <v>2570</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2571</v>
      </c>
      <c r="C152" s="1323" t="s">
        <v>2572</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2573</v>
      </c>
      <c r="C153" s="1323" t="s">
        <v>2574</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2575</v>
      </c>
      <c r="C154" s="1323" t="s">
        <v>2576</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2577</v>
      </c>
      <c r="C155" s="1323" t="s">
        <v>2578</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2579</v>
      </c>
      <c r="C156" s="1323" t="s">
        <v>2580</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2581</v>
      </c>
      <c r="C157" s="1323" t="s">
        <v>2582</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2583</v>
      </c>
      <c r="C158" s="1323" t="s">
        <v>2584</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2585</v>
      </c>
      <c r="C159" s="1323" t="s">
        <v>2586</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2587</v>
      </c>
      <c r="C160" s="1323" t="s">
        <v>2536</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2588</v>
      </c>
      <c r="C161" s="1323" t="s">
        <v>2589</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2590</v>
      </c>
      <c r="C162" s="1323" t="s">
        <v>2591</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2592</v>
      </c>
      <c r="C163" s="1323" t="s">
        <v>2593</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2594</v>
      </c>
      <c r="C164" s="1323" t="s">
        <v>2595</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2596</v>
      </c>
      <c r="C165" s="1323" t="s">
        <v>2597</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2598</v>
      </c>
      <c r="C166" s="1323" t="s">
        <v>2599</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2600</v>
      </c>
      <c r="C167" s="1323" t="s">
        <v>2601</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2602</v>
      </c>
      <c r="C168" s="1323" t="s">
        <v>2603</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2604</v>
      </c>
      <c r="C169" s="1323" t="s">
        <v>2605</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2606</v>
      </c>
      <c r="C170" s="1323" t="s">
        <v>2607</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2608</v>
      </c>
      <c r="C171" s="1323" t="s">
        <v>2292</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2609</v>
      </c>
      <c r="C172" s="1323" t="s">
        <v>2610</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2611</v>
      </c>
      <c r="C173" s="1323" t="s">
        <v>2612</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2613</v>
      </c>
      <c r="C174" s="1323" t="s">
        <v>2465</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2614</v>
      </c>
      <c r="C175" s="1323" t="s">
        <v>2615</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2616</v>
      </c>
      <c r="C176" s="1323" t="s">
        <v>2617</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2618</v>
      </c>
      <c r="C177" s="1323" t="s">
        <v>2619</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2620</v>
      </c>
      <c r="C178" s="1323" t="s">
        <v>2435</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2621</v>
      </c>
      <c r="C179" s="1323" t="s">
        <v>2622</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2623</v>
      </c>
      <c r="C180" s="1323" t="s">
        <v>2624</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2625</v>
      </c>
      <c r="C181" s="1323" t="s">
        <v>2626</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2627</v>
      </c>
      <c r="C182" s="1323" t="s">
        <v>2628</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2629</v>
      </c>
      <c r="C183" s="1323" t="s">
        <v>2630</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2631</v>
      </c>
      <c r="C184" s="1323" t="s">
        <v>2632</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2633</v>
      </c>
      <c r="C185" s="1323" t="s">
        <v>2634</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2635</v>
      </c>
      <c r="C186" s="1323" t="s">
        <v>2636</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2637</v>
      </c>
      <c r="C187" s="1323" t="s">
        <v>2445</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2638</v>
      </c>
      <c r="C188" s="1323" t="s">
        <v>2639</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2640</v>
      </c>
      <c r="C189" s="1323" t="s">
        <v>2641</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2642</v>
      </c>
      <c r="C190" s="1323" t="s">
        <v>2643</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2644</v>
      </c>
      <c r="C191" s="1323" t="s">
        <v>2645</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2646</v>
      </c>
      <c r="C192" s="1323" t="s">
        <v>2647</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2648</v>
      </c>
      <c r="C193" s="1323" t="s">
        <v>2649</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2650</v>
      </c>
      <c r="C194" s="1323" t="s">
        <v>2651</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2652</v>
      </c>
      <c r="C195" s="1323" t="s">
        <v>2653</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2654</v>
      </c>
      <c r="C196" s="1323" t="s">
        <v>2655</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2656</v>
      </c>
      <c r="C197" s="1323" t="s">
        <v>2657</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2658</v>
      </c>
      <c r="C198" s="1323" t="s">
        <v>2659</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2660</v>
      </c>
      <c r="C199" s="1323" t="s">
        <v>2661</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2662</v>
      </c>
      <c r="C200" s="1323" t="s">
        <v>2663</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2664</v>
      </c>
      <c r="C201" s="1323" t="s">
        <v>2665</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2666</v>
      </c>
      <c r="C202" s="1323" t="s">
        <v>2667</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2668</v>
      </c>
      <c r="C203" s="1323" t="s">
        <v>2669</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2670</v>
      </c>
      <c r="C204" s="1323" t="s">
        <v>2671</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2672</v>
      </c>
      <c r="C205" s="1323" t="s">
        <v>2673</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2674</v>
      </c>
      <c r="C206" s="1323" t="s">
        <v>2675</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2676</v>
      </c>
      <c r="C207" s="1323" t="s">
        <v>2677</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2678</v>
      </c>
      <c r="C208" s="1323" t="s">
        <v>2679</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2680</v>
      </c>
      <c r="C209" s="1323" t="s">
        <v>2681</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2682</v>
      </c>
      <c r="C210" s="1323" t="s">
        <v>2683</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2684</v>
      </c>
      <c r="C211" s="1323" t="s">
        <v>2685</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2686</v>
      </c>
      <c r="C212" s="1323" t="s">
        <v>2663</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2687</v>
      </c>
      <c r="C213" s="1323" t="s">
        <v>2688</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2689</v>
      </c>
      <c r="C214" s="1323" t="s">
        <v>2690</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2691</v>
      </c>
      <c r="C215" s="1323" t="s">
        <v>2692</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2693</v>
      </c>
      <c r="C216" s="1323" t="s">
        <v>2694</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2695</v>
      </c>
      <c r="C217" s="1323" t="s">
        <v>2696</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2697</v>
      </c>
      <c r="C218" s="1323" t="s">
        <v>2698</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2699</v>
      </c>
      <c r="C219" s="1323" t="s">
        <v>2700</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2701</v>
      </c>
      <c r="C220" s="1323" t="s">
        <v>2702</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2703</v>
      </c>
      <c r="C221" s="1323" t="s">
        <v>2704</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2705</v>
      </c>
      <c r="C222" s="1323" t="s">
        <v>2706</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2707</v>
      </c>
      <c r="C223" s="1323" t="s">
        <v>2708</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2709</v>
      </c>
      <c r="C224" s="1323" t="s">
        <v>2710</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2711</v>
      </c>
      <c r="C225" s="1323" t="s">
        <v>2712</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2713</v>
      </c>
      <c r="C226" s="1323" t="s">
        <v>2714</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2715</v>
      </c>
      <c r="C227" s="1323" t="s">
        <v>2716</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2717</v>
      </c>
      <c r="C228" s="1323" t="s">
        <v>2718</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2719</v>
      </c>
      <c r="C229" s="1323" t="s">
        <v>2720</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2721</v>
      </c>
      <c r="C230" s="1323" t="s">
        <v>2722</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2723</v>
      </c>
      <c r="C231" s="1323" t="s">
        <v>2724</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2725</v>
      </c>
      <c r="C232" s="1323" t="s">
        <v>2726</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2727</v>
      </c>
      <c r="C233" s="1323" t="s">
        <v>2728</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2729</v>
      </c>
      <c r="C234" s="1323" t="s">
        <v>2730</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2731</v>
      </c>
      <c r="C235" s="1323" t="s">
        <v>2732</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2733</v>
      </c>
      <c r="C236" s="1323" t="s">
        <v>2734</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2735</v>
      </c>
      <c r="C237" s="1323" t="s">
        <v>2736</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2737</v>
      </c>
      <c r="C238" s="1323" t="s">
        <v>2738</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2739</v>
      </c>
      <c r="C239" s="1323" t="s">
        <v>2740</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2741</v>
      </c>
      <c r="C240" s="1323" t="s">
        <v>2742</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2743</v>
      </c>
      <c r="C241" s="1323" t="s">
        <v>2744</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2745</v>
      </c>
      <c r="C242" s="1323" t="s">
        <v>2746</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2747</v>
      </c>
      <c r="C243" s="1323" t="s">
        <v>2748</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2749</v>
      </c>
      <c r="C244" s="1323" t="s">
        <v>2750</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2751</v>
      </c>
      <c r="C245" s="1323" t="s">
        <v>2752</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2753</v>
      </c>
      <c r="C246" s="1323" t="s">
        <v>2754</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2755</v>
      </c>
      <c r="C247" s="1323" t="s">
        <v>2756</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2757</v>
      </c>
      <c r="C248" s="1323" t="s">
        <v>2758</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2759</v>
      </c>
      <c r="C249" s="1323" t="s">
        <v>2760</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2761</v>
      </c>
      <c r="C250" s="1323" t="s">
        <v>2762</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2763</v>
      </c>
      <c r="C251" s="1323" t="s">
        <v>2764</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2765</v>
      </c>
      <c r="C252" s="1323" t="s">
        <v>2766</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2767</v>
      </c>
      <c r="C253" s="1323" t="s">
        <v>2768</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2769</v>
      </c>
      <c r="C254" s="1323" t="s">
        <v>2770</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2771</v>
      </c>
      <c r="C255" s="1323" t="s">
        <v>2772</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2773</v>
      </c>
      <c r="C256" s="1323" t="s">
        <v>2774</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2775</v>
      </c>
      <c r="C257" s="1323" t="s">
        <v>2776</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2777</v>
      </c>
      <c r="C258" s="1323" t="s">
        <v>2778</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2779</v>
      </c>
      <c r="C259" s="1323" t="s">
        <v>2780</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2781</v>
      </c>
      <c r="C260" s="1323" t="s">
        <v>2782</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2783</v>
      </c>
      <c r="C261" s="1323" t="s">
        <v>2784</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2785</v>
      </c>
      <c r="C262" s="1323" t="s">
        <v>2786</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2787</v>
      </c>
      <c r="C263" s="1323" t="s">
        <v>2788</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2789</v>
      </c>
      <c r="C264" s="1323" t="s">
        <v>2790</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2791</v>
      </c>
      <c r="C265" s="1323" t="s">
        <v>2792</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2793</v>
      </c>
      <c r="C266" s="1323" t="s">
        <v>2794</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2795</v>
      </c>
      <c r="C267" s="1323" t="s">
        <v>2796</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2797</v>
      </c>
      <c r="C268" s="1323" t="s">
        <v>2798</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2799</v>
      </c>
      <c r="C269" s="1323" t="s">
        <v>2800</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2801</v>
      </c>
      <c r="C270" s="1323" t="s">
        <v>2802</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2803</v>
      </c>
      <c r="C271" s="1323" t="s">
        <v>2804</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2805</v>
      </c>
      <c r="C272" s="1323" t="s">
        <v>2806</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2807</v>
      </c>
      <c r="C273" s="1323" t="s">
        <v>2808</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2809</v>
      </c>
      <c r="C274" s="1323" t="s">
        <v>2810</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2811</v>
      </c>
      <c r="C275" s="1323" t="s">
        <v>2812</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2813</v>
      </c>
      <c r="C276" s="1323" t="s">
        <v>2814</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2815</v>
      </c>
      <c r="C277" s="1323" t="s">
        <v>2816</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2817</v>
      </c>
      <c r="C278" s="1323" t="s">
        <v>2818</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2819</v>
      </c>
      <c r="C279" s="1323" t="s">
        <v>2820</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2821</v>
      </c>
      <c r="C280" s="1323" t="s">
        <v>2700</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2822</v>
      </c>
      <c r="C281" s="1323" t="s">
        <v>2823</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2824</v>
      </c>
      <c r="C282" s="1323" t="s">
        <v>2825</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2826</v>
      </c>
      <c r="C283" s="1323" t="s">
        <v>2827</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2828</v>
      </c>
      <c r="C284" s="1323" t="s">
        <v>2829</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2830</v>
      </c>
      <c r="C285" s="1323" t="s">
        <v>2831</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2832</v>
      </c>
      <c r="C286" s="1323" t="s">
        <v>2833</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2834</v>
      </c>
      <c r="C287" s="1323" t="s">
        <v>2835</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2836</v>
      </c>
      <c r="C288" s="1323" t="s">
        <v>2837</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2838</v>
      </c>
      <c r="C289" s="1323" t="s">
        <v>2839</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2840</v>
      </c>
      <c r="C290" s="1323" t="s">
        <v>2841</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2842</v>
      </c>
      <c r="C291" s="1323" t="s">
        <v>2843</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2844</v>
      </c>
      <c r="C292" s="1323" t="s">
        <v>2845</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2846</v>
      </c>
      <c r="C293" s="1323" t="s">
        <v>2847</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2848</v>
      </c>
      <c r="C294" s="1323" t="s">
        <v>2849</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2850</v>
      </c>
      <c r="C295" s="1323" t="s">
        <v>2851</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2852</v>
      </c>
      <c r="C296" s="1323" t="s">
        <v>2683</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2853</v>
      </c>
      <c r="C297" s="1323" t="s">
        <v>2854</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2855</v>
      </c>
      <c r="C298" s="1323" t="s">
        <v>2856</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2857</v>
      </c>
      <c r="C299" s="1323" t="s">
        <v>2858</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2859</v>
      </c>
      <c r="C300" s="1323" t="s">
        <v>2860</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2861</v>
      </c>
      <c r="C301" s="1323" t="s">
        <v>2862</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2863</v>
      </c>
      <c r="C302" s="1323" t="s">
        <v>2864</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2865</v>
      </c>
      <c r="C303" s="1323" t="s">
        <v>2866</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2867</v>
      </c>
      <c r="C304" s="1323" t="s">
        <v>2868</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2869</v>
      </c>
      <c r="C305" s="1323" t="s">
        <v>2870</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2871</v>
      </c>
      <c r="C306" s="1323" t="s">
        <v>2872</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2873</v>
      </c>
      <c r="C307" s="1323" t="s">
        <v>2874</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2875</v>
      </c>
      <c r="C308" s="1323" t="s">
        <v>2876</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2877</v>
      </c>
      <c r="C309" s="1323" t="s">
        <v>2878</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2879</v>
      </c>
      <c r="C310" s="1323" t="s">
        <v>2880</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2881</v>
      </c>
      <c r="C311" s="1323" t="s">
        <v>2882</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2883</v>
      </c>
      <c r="C312" s="1323" t="s">
        <v>2884</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2885</v>
      </c>
      <c r="C313" s="1323" t="s">
        <v>2886</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2887</v>
      </c>
      <c r="C314" s="1323" t="s">
        <v>2888</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2889</v>
      </c>
      <c r="C315" s="1323" t="s">
        <v>2890</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2891</v>
      </c>
      <c r="C316" s="1323" t="s">
        <v>2892</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2893</v>
      </c>
      <c r="C317" s="1323" t="s">
        <v>2894</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2895</v>
      </c>
      <c r="C318" s="1323" t="s">
        <v>2896</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2897</v>
      </c>
      <c r="C319" s="1323" t="s">
        <v>2898</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2899</v>
      </c>
      <c r="C320" s="1323" t="s">
        <v>2900</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2901</v>
      </c>
      <c r="C321" s="1323" t="s">
        <v>2902</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2903</v>
      </c>
      <c r="C322" s="1323" t="s">
        <v>2904</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2905</v>
      </c>
      <c r="C323" s="1323" t="s">
        <v>2906</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2907</v>
      </c>
      <c r="C324" s="1323" t="s">
        <v>2908</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2909</v>
      </c>
      <c r="C325" s="1323" t="s">
        <v>2910</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2911</v>
      </c>
      <c r="C326" s="1323" t="s">
        <v>2912</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2913</v>
      </c>
      <c r="C327" s="1323" t="s">
        <v>2914</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2915</v>
      </c>
      <c r="C328" s="1323" t="s">
        <v>2916</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2917</v>
      </c>
      <c r="C329" s="1323" t="s">
        <v>2918</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2919</v>
      </c>
      <c r="C330" s="1323" t="s">
        <v>2920</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2921</v>
      </c>
      <c r="C331" s="1323" t="s">
        <v>2922</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2923</v>
      </c>
      <c r="C332" s="1323" t="s">
        <v>2924</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2925</v>
      </c>
      <c r="C333" s="1323" t="s">
        <v>2926</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2927</v>
      </c>
      <c r="C334" s="1323" t="s">
        <v>2928</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2929</v>
      </c>
      <c r="C335" s="1323" t="s">
        <v>2930</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2931</v>
      </c>
      <c r="C336" s="1323" t="s">
        <v>2932</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2933</v>
      </c>
      <c r="C337" s="1323" t="s">
        <v>2934</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2935</v>
      </c>
      <c r="C338" s="1323" t="s">
        <v>2936</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2937</v>
      </c>
      <c r="C339" s="1323" t="s">
        <v>2938</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2939</v>
      </c>
      <c r="C340" s="1323" t="s">
        <v>2940</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2941</v>
      </c>
      <c r="C341" s="1323" t="s">
        <v>2942</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2943</v>
      </c>
      <c r="C342" s="1323" t="s">
        <v>2944</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2945</v>
      </c>
      <c r="C343" s="1323" t="s">
        <v>2946</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2947</v>
      </c>
      <c r="C344" s="1323" t="s">
        <v>2948</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2949</v>
      </c>
      <c r="C345" s="1323" t="s">
        <v>2950</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2951</v>
      </c>
      <c r="C346" s="1323" t="s">
        <v>2952</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2953</v>
      </c>
      <c r="C347" s="1323" t="s">
        <v>2954</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2955</v>
      </c>
      <c r="C348" s="1323" t="s">
        <v>2956</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2957</v>
      </c>
      <c r="C349" s="1323" t="s">
        <v>2958</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2959</v>
      </c>
      <c r="C350" s="1323" t="s">
        <v>2960</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2961</v>
      </c>
      <c r="C351" s="1323" t="s">
        <v>2962</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2963</v>
      </c>
      <c r="C352" s="1323" t="s">
        <v>2964</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2965</v>
      </c>
      <c r="C353" s="1323" t="s">
        <v>2966</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2967</v>
      </c>
      <c r="C354" s="1323" t="s">
        <v>2968</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2969</v>
      </c>
      <c r="C355" s="1323" t="s">
        <v>2970</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2971</v>
      </c>
      <c r="C356" s="1323" t="s">
        <v>2972</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2973</v>
      </c>
      <c r="C357" s="1323" t="s">
        <v>2974</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2975</v>
      </c>
      <c r="C358" s="1323" t="s">
        <v>2976</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2977</v>
      </c>
      <c r="C359" s="1323" t="s">
        <v>2978</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2979</v>
      </c>
      <c r="C360" s="1323" t="s">
        <v>2980</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2981</v>
      </c>
      <c r="C361" s="1323" t="s">
        <v>2982</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2983</v>
      </c>
      <c r="C362" s="1323" t="s">
        <v>2984</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2985</v>
      </c>
      <c r="C363" s="1323" t="s">
        <v>2986</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2987</v>
      </c>
      <c r="C364" s="1323" t="s">
        <v>2988</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2989</v>
      </c>
      <c r="C365" s="1323" t="s">
        <v>2990</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2991</v>
      </c>
      <c r="C366" s="1323" t="s">
        <v>2992</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2993</v>
      </c>
      <c r="C367" s="1323" t="s">
        <v>2994</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2995</v>
      </c>
      <c r="C368" s="1323" t="s">
        <v>2996</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2997</v>
      </c>
      <c r="C369" s="1323" t="s">
        <v>2998</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2999</v>
      </c>
      <c r="C370" s="1323" t="s">
        <v>3000</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3001</v>
      </c>
      <c r="C371" s="1323" t="s">
        <v>3002</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3003</v>
      </c>
      <c r="C372" s="1323" t="s">
        <v>3004</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3005</v>
      </c>
      <c r="C373" s="1323" t="s">
        <v>3006</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3007</v>
      </c>
      <c r="C374" s="1323" t="s">
        <v>3008</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3009</v>
      </c>
      <c r="C375" s="1323" t="s">
        <v>3010</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3011</v>
      </c>
      <c r="C376" s="1323" t="s">
        <v>3012</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3013</v>
      </c>
      <c r="C377" s="1323" t="s">
        <v>3014</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3015</v>
      </c>
      <c r="C378" s="1323" t="s">
        <v>3016</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3017</v>
      </c>
      <c r="C379" s="1323" t="s">
        <v>3018</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3019</v>
      </c>
      <c r="C380" s="1323" t="s">
        <v>3020</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3021</v>
      </c>
      <c r="C381" s="1323" t="s">
        <v>3022</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3023</v>
      </c>
      <c r="C382" s="1323" t="s">
        <v>3024</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3025</v>
      </c>
      <c r="C383" s="1323" t="s">
        <v>3026</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3027</v>
      </c>
      <c r="C384" s="1323" t="s">
        <v>3028</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3029</v>
      </c>
      <c r="C385" s="1323" t="s">
        <v>3030</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3031</v>
      </c>
      <c r="C386" s="1323" t="s">
        <v>3032</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3033</v>
      </c>
      <c r="C387" s="1323" t="s">
        <v>3034</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3035</v>
      </c>
      <c r="C388" s="1323" t="s">
        <v>3036</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3037</v>
      </c>
      <c r="C389" s="1323" t="s">
        <v>3038</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3039</v>
      </c>
      <c r="C390" s="1323" t="s">
        <v>3040</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3041</v>
      </c>
      <c r="C391" s="1323" t="s">
        <v>3042</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3043</v>
      </c>
      <c r="C392" s="1323" t="s">
        <v>3044</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3045</v>
      </c>
      <c r="C393" s="1323" t="s">
        <v>3046</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3047</v>
      </c>
      <c r="C394" s="1323" t="s">
        <v>3048</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3049</v>
      </c>
      <c r="C395" s="1323" t="s">
        <v>3050</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3051</v>
      </c>
      <c r="C396" s="1323" t="s">
        <v>3052</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3053</v>
      </c>
      <c r="C397" s="1323" t="s">
        <v>3054</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3055</v>
      </c>
      <c r="C398" s="1323" t="s">
        <v>3056</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3057</v>
      </c>
      <c r="C399" s="1323" t="s">
        <v>3058</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3059</v>
      </c>
      <c r="C400" s="1323" t="s">
        <v>3060</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3061</v>
      </c>
      <c r="C401" s="1323" t="s">
        <v>3062</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3063</v>
      </c>
      <c r="C402" s="1323" t="s">
        <v>3064</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3065</v>
      </c>
      <c r="C403" s="1323" t="s">
        <v>3066</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3067</v>
      </c>
      <c r="C404" s="1323" t="s">
        <v>3068</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3069</v>
      </c>
      <c r="C405" s="1323" t="s">
        <v>3070</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3071</v>
      </c>
      <c r="C406" s="1323" t="s">
        <v>3072</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3073</v>
      </c>
      <c r="C407" s="1323" t="s">
        <v>3074</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3075</v>
      </c>
      <c r="C408" s="1323" t="s">
        <v>3076</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3077</v>
      </c>
      <c r="C409" s="1323" t="s">
        <v>3078</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3079</v>
      </c>
      <c r="C410" s="1323" t="s">
        <v>3080</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3081</v>
      </c>
      <c r="C411" s="1323" t="s">
        <v>3082</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3083</v>
      </c>
      <c r="C412" s="1323" t="s">
        <v>3084</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3085</v>
      </c>
      <c r="C413" s="1323" t="s">
        <v>3086</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3087</v>
      </c>
      <c r="C414" s="1323" t="s">
        <v>3088</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3089</v>
      </c>
      <c r="C415" s="1323" t="s">
        <v>3090</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3091</v>
      </c>
      <c r="C416" s="1323" t="s">
        <v>3092</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3093</v>
      </c>
      <c r="C417" s="1323" t="s">
        <v>3094</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3095</v>
      </c>
      <c r="C418" s="1323" t="s">
        <v>3096</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3097</v>
      </c>
      <c r="C419" s="1323" t="s">
        <v>3098</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3099</v>
      </c>
      <c r="C420" s="1323" t="s">
        <v>3100</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3101</v>
      </c>
      <c r="C421" s="1323" t="s">
        <v>3102</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3103</v>
      </c>
      <c r="C422" s="1323" t="s">
        <v>3104</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3105</v>
      </c>
      <c r="C423" s="1323" t="s">
        <v>3106</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3107</v>
      </c>
      <c r="C424" s="1323" t="s">
        <v>3108</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3109</v>
      </c>
      <c r="C425" s="1323" t="s">
        <v>3110</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3111</v>
      </c>
      <c r="C426" s="1323" t="s">
        <v>3112</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3113</v>
      </c>
      <c r="C427" s="1323" t="s">
        <v>3114</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3115</v>
      </c>
      <c r="C428" s="1323" t="s">
        <v>3116</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3117</v>
      </c>
      <c r="C429" s="1323" t="s">
        <v>3118</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3119</v>
      </c>
      <c r="C430" s="1323" t="s">
        <v>3120</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3121</v>
      </c>
      <c r="C431" s="1323" t="s">
        <v>3122</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3123</v>
      </c>
      <c r="C432" s="1323" t="s">
        <v>3124</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3125</v>
      </c>
      <c r="C433" s="1323" t="s">
        <v>3126</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3127</v>
      </c>
      <c r="C434" s="1323" t="s">
        <v>3128</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3129</v>
      </c>
      <c r="C435" s="1323" t="s">
        <v>3130</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3131</v>
      </c>
      <c r="C436" s="1323" t="s">
        <v>3132</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3133</v>
      </c>
      <c r="C437" s="1323" t="s">
        <v>3134</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3135</v>
      </c>
      <c r="C438" s="1323" t="s">
        <v>3136</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3137</v>
      </c>
      <c r="C439" s="1323" t="s">
        <v>3138</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3139</v>
      </c>
      <c r="C440" s="1323" t="s">
        <v>3140</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3141</v>
      </c>
      <c r="C441" s="1323" t="s">
        <v>3142</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3143</v>
      </c>
      <c r="C442" s="1323" t="s">
        <v>3144</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3145</v>
      </c>
      <c r="C443" s="1323" t="s">
        <v>3146</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3147</v>
      </c>
      <c r="C444" s="1323" t="s">
        <v>3148</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3149</v>
      </c>
      <c r="C445" s="1323" t="s">
        <v>3150</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3151</v>
      </c>
      <c r="C446" s="1323" t="s">
        <v>3152</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3153</v>
      </c>
      <c r="C447" s="1323" t="s">
        <v>3154</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3155</v>
      </c>
      <c r="C448" s="1323" t="s">
        <v>3156</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3157</v>
      </c>
      <c r="C449" s="1323" t="s">
        <v>3158</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3159</v>
      </c>
      <c r="C450" s="1323" t="s">
        <v>3160</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3161</v>
      </c>
      <c r="C451" s="1323" t="s">
        <v>3162</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3163</v>
      </c>
      <c r="C452" s="1323" t="s">
        <v>3164</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3165</v>
      </c>
      <c r="C453" s="1323" t="s">
        <v>3166</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3167</v>
      </c>
      <c r="C454" s="1323" t="s">
        <v>3168</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3169</v>
      </c>
      <c r="C455" s="1323" t="s">
        <v>3170</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3171</v>
      </c>
      <c r="C456" s="1323" t="s">
        <v>3172</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3173</v>
      </c>
      <c r="C457" s="1323" t="s">
        <v>3174</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3175</v>
      </c>
      <c r="C458" s="1323" t="s">
        <v>3176</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3177</v>
      </c>
      <c r="C459" s="1323" t="s">
        <v>3178</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3179</v>
      </c>
      <c r="C460" s="1323" t="s">
        <v>3180</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3181</v>
      </c>
      <c r="C461" s="1323" t="s">
        <v>3182</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3183</v>
      </c>
      <c r="C462" s="1323" t="s">
        <v>3184</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3185</v>
      </c>
      <c r="C463" s="1323" t="s">
        <v>3186</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3187</v>
      </c>
      <c r="C464" s="1323" t="s">
        <v>3188</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3189</v>
      </c>
      <c r="C465" s="1323" t="s">
        <v>3190</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3191</v>
      </c>
      <c r="C466" s="1323" t="s">
        <v>3192</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3193</v>
      </c>
      <c r="C467" s="1323" t="s">
        <v>3194</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3195</v>
      </c>
      <c r="C468" s="1323" t="s">
        <v>3196</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3197</v>
      </c>
      <c r="C469" s="1323" t="s">
        <v>3198</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3199</v>
      </c>
      <c r="C470" s="1323" t="s">
        <v>3200</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3201</v>
      </c>
      <c r="C471" s="1323" t="s">
        <v>3202</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3203</v>
      </c>
      <c r="C472" s="1323" t="s">
        <v>3204</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3205</v>
      </c>
      <c r="C473" s="1323" t="s">
        <v>3206</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3207</v>
      </c>
      <c r="C474" s="1323" t="s">
        <v>3208</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3209</v>
      </c>
      <c r="C475" s="1323" t="s">
        <v>3210</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3211</v>
      </c>
      <c r="C476" s="1323" t="s">
        <v>3212</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3213</v>
      </c>
      <c r="C477" s="1323" t="s">
        <v>3214</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3215</v>
      </c>
      <c r="C478" s="1323" t="s">
        <v>3216</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3217</v>
      </c>
      <c r="C479" s="1323" t="s">
        <v>3218</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3219</v>
      </c>
      <c r="C480" s="1323" t="s">
        <v>3220</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3221</v>
      </c>
      <c r="C481" s="1323" t="s">
        <v>3222</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3223</v>
      </c>
      <c r="C482" s="1323" t="s">
        <v>3224</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3225</v>
      </c>
      <c r="C483" s="1323" t="s">
        <v>3226</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3227</v>
      </c>
      <c r="C484" s="1323" t="s">
        <v>3228</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3229</v>
      </c>
      <c r="C485" s="1323" t="s">
        <v>3230</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3231</v>
      </c>
      <c r="C486" s="1323" t="s">
        <v>3232</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3233</v>
      </c>
      <c r="C487" s="1323" t="s">
        <v>3234</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3235</v>
      </c>
      <c r="C488" s="1323" t="s">
        <v>3236</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3237</v>
      </c>
      <c r="C489" s="1323" t="s">
        <v>3238</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3239</v>
      </c>
      <c r="C490" s="1323" t="s">
        <v>3240</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3241</v>
      </c>
      <c r="C491" s="1323" t="s">
        <v>3242</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3243</v>
      </c>
      <c r="C492" s="1323" t="s">
        <v>3244</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3245</v>
      </c>
      <c r="C493" s="1323" t="s">
        <v>3246</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3247</v>
      </c>
      <c r="C494" s="1323" t="s">
        <v>3248</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3249</v>
      </c>
      <c r="C495" s="1323" t="s">
        <v>3250</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3251</v>
      </c>
      <c r="C496" s="1323" t="s">
        <v>3252</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3253</v>
      </c>
      <c r="C497" s="1323" t="s">
        <v>3254</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3255</v>
      </c>
      <c r="C498" s="1323" t="s">
        <v>3256</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3257</v>
      </c>
      <c r="C499" s="1323" t="s">
        <v>3258</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3259</v>
      </c>
      <c r="C500" s="1323" t="s">
        <v>3260</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3261</v>
      </c>
      <c r="C501" s="1323" t="s">
        <v>3262</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3263</v>
      </c>
      <c r="C502" s="1323" t="s">
        <v>3264</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3265</v>
      </c>
      <c r="C503" s="1323" t="s">
        <v>3266</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3267</v>
      </c>
      <c r="C504" s="1323" t="s">
        <v>3268</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3269</v>
      </c>
      <c r="C505" s="1323" t="s">
        <v>3270</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3271</v>
      </c>
      <c r="C506" s="1323" t="s">
        <v>3272</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3273</v>
      </c>
      <c r="C507" s="1323" t="s">
        <v>3274</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3275</v>
      </c>
      <c r="C508" s="1323" t="s">
        <v>3276</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3277</v>
      </c>
      <c r="C509" s="1323" t="s">
        <v>3278</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3279</v>
      </c>
      <c r="C510" s="1323" t="s">
        <v>3280</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3281</v>
      </c>
      <c r="C511" s="1323" t="s">
        <v>3282</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3283</v>
      </c>
      <c r="C512" s="1323" t="s">
        <v>3284</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3285</v>
      </c>
      <c r="C513" s="1323" t="s">
        <v>3286</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3287</v>
      </c>
      <c r="C514" s="1323" t="s">
        <v>3288</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3289</v>
      </c>
      <c r="C515" s="1323" t="s">
        <v>3290</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3291</v>
      </c>
      <c r="C516" s="1323" t="s">
        <v>3292</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3293</v>
      </c>
      <c r="C517" s="1323" t="s">
        <v>3294</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3295</v>
      </c>
      <c r="C518" s="1323" t="s">
        <v>3296</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3297</v>
      </c>
      <c r="C519" s="1323" t="s">
        <v>3298</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3299</v>
      </c>
      <c r="C520" s="1323" t="s">
        <v>3300</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3301</v>
      </c>
      <c r="C521" s="1323" t="s">
        <v>3302</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3303</v>
      </c>
      <c r="C522" s="1323" t="s">
        <v>3304</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3305</v>
      </c>
      <c r="C523" s="1323" t="s">
        <v>3306</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3307</v>
      </c>
      <c r="C524" s="1323" t="s">
        <v>3308</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3309</v>
      </c>
      <c r="C525" s="1323" t="s">
        <v>3308</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3310</v>
      </c>
      <c r="C526" s="1323" t="s">
        <v>3311</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3312</v>
      </c>
      <c r="C527" s="1323" t="s">
        <v>3313</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3314</v>
      </c>
      <c r="C528" s="1323" t="s">
        <v>3315</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3316</v>
      </c>
      <c r="C529" s="1323" t="s">
        <v>3317</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3318</v>
      </c>
      <c r="C530" s="1323" t="s">
        <v>3319</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3320</v>
      </c>
      <c r="C531" s="1323" t="s">
        <v>3321</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3322</v>
      </c>
      <c r="C532" s="1323" t="s">
        <v>3323</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3324</v>
      </c>
      <c r="C533" s="1323" t="s">
        <v>3325</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3326</v>
      </c>
      <c r="C534" s="1323" t="s">
        <v>3327</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3328</v>
      </c>
      <c r="C535" s="1323" t="s">
        <v>3329</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3330</v>
      </c>
      <c r="C536" s="1323" t="s">
        <v>3331</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3332</v>
      </c>
      <c r="C537" s="1323" t="s">
        <v>3333</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3334</v>
      </c>
      <c r="C538" s="1323" t="s">
        <v>3335</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3336</v>
      </c>
      <c r="C539" s="1323" t="s">
        <v>3337</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3338</v>
      </c>
      <c r="C540" s="1323" t="s">
        <v>3339</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3340</v>
      </c>
      <c r="C541" s="1323" t="s">
        <v>3341</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3342</v>
      </c>
      <c r="C542" s="1323" t="s">
        <v>3343</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3344</v>
      </c>
      <c r="C543" s="1323" t="s">
        <v>3345</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3346</v>
      </c>
      <c r="C544" s="1323" t="s">
        <v>3347</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3348</v>
      </c>
      <c r="C545" s="1323" t="s">
        <v>3349</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3350</v>
      </c>
      <c r="C546" s="1323" t="s">
        <v>3351</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3352</v>
      </c>
      <c r="C547" s="1323" t="s">
        <v>3353</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3354</v>
      </c>
      <c r="C548" s="1323" t="s">
        <v>3355</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3356</v>
      </c>
      <c r="C549" s="1323" t="s">
        <v>3357</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3358</v>
      </c>
      <c r="C550" s="1323" t="s">
        <v>3359</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3360</v>
      </c>
      <c r="C551" s="1323" t="s">
        <v>3361</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3362</v>
      </c>
      <c r="C552" s="1323" t="s">
        <v>3363</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3364</v>
      </c>
      <c r="C553" s="1323" t="s">
        <v>3365</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3366</v>
      </c>
      <c r="C554" s="1323" t="s">
        <v>3367</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3368</v>
      </c>
      <c r="C555" s="1323" t="s">
        <v>3369</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3370</v>
      </c>
      <c r="C556" s="1323" t="s">
        <v>3371</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3372</v>
      </c>
      <c r="C557" s="1323" t="s">
        <v>3373</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3374</v>
      </c>
      <c r="C558" s="1323" t="s">
        <v>3375</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3376</v>
      </c>
      <c r="C559" s="1323" t="s">
        <v>3377</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3378</v>
      </c>
      <c r="C560" s="1323" t="s">
        <v>3379</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3380</v>
      </c>
      <c r="C561" s="1323" t="s">
        <v>3381</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3382</v>
      </c>
      <c r="C562" s="1323" t="s">
        <v>3383</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3384</v>
      </c>
      <c r="C563" s="1323" t="s">
        <v>3385</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3386</v>
      </c>
      <c r="C564" s="1323" t="s">
        <v>3387</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3388</v>
      </c>
      <c r="C565" s="1323" t="s">
        <v>3389</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3390</v>
      </c>
      <c r="C566" s="1323" t="s">
        <v>3391</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3392</v>
      </c>
      <c r="C567" s="1323" t="s">
        <v>3393</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3394</v>
      </c>
      <c r="C568" s="1323" t="s">
        <v>3395</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3396</v>
      </c>
      <c r="C569" s="1323" t="s">
        <v>3397</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3398</v>
      </c>
      <c r="C570" s="1323" t="s">
        <v>3399</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3400</v>
      </c>
      <c r="C571" s="1323" t="s">
        <v>3401</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3402</v>
      </c>
      <c r="C572" s="1323" t="s">
        <v>3403</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3404</v>
      </c>
      <c r="C573" s="1323" t="s">
        <v>3405</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3406</v>
      </c>
      <c r="C574" s="1323" t="s">
        <v>3407</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3408</v>
      </c>
      <c r="C575" s="1323" t="s">
        <v>3409</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3410</v>
      </c>
      <c r="C576" s="1323" t="s">
        <v>3411</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3412</v>
      </c>
      <c r="C577" s="1323" t="s">
        <v>3413</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3414</v>
      </c>
      <c r="C578" s="1323" t="s">
        <v>3415</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3416</v>
      </c>
      <c r="C579" s="1323" t="s">
        <v>3417</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3418</v>
      </c>
      <c r="C580" s="1323" t="s">
        <v>3419</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3420</v>
      </c>
      <c r="C581" s="1323" t="s">
        <v>3421</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3422</v>
      </c>
      <c r="C582" s="1323" t="s">
        <v>3423</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3424</v>
      </c>
      <c r="C583" s="1323" t="s">
        <v>3425</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3426</v>
      </c>
      <c r="C584" s="1323" t="s">
        <v>3427</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3428</v>
      </c>
      <c r="C585" s="1323" t="s">
        <v>3429</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3430</v>
      </c>
      <c r="C586" s="1323" t="s">
        <v>3431</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3432</v>
      </c>
      <c r="C587" s="1323" t="s">
        <v>3433</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3434</v>
      </c>
      <c r="C588" s="1323" t="s">
        <v>3435</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3436</v>
      </c>
      <c r="C589" s="1323" t="s">
        <v>3437</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3438</v>
      </c>
      <c r="C590" s="1323" t="s">
        <v>3439</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3440</v>
      </c>
      <c r="C591" s="1323" t="s">
        <v>3441</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3442</v>
      </c>
      <c r="C592" s="1323" t="s">
        <v>3443</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3444</v>
      </c>
      <c r="C593" s="1323" t="s">
        <v>3445</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3446</v>
      </c>
      <c r="C594" s="1323" t="s">
        <v>3447</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3448</v>
      </c>
      <c r="C595" s="1323" t="s">
        <v>3449</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3450</v>
      </c>
      <c r="C596" s="1323" t="s">
        <v>3451</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3452</v>
      </c>
      <c r="C597" s="1323" t="s">
        <v>3453</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3454</v>
      </c>
      <c r="C598" s="1323" t="s">
        <v>3455</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3456</v>
      </c>
      <c r="C599" s="1323" t="s">
        <v>3457</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3458</v>
      </c>
      <c r="C600" s="1323" t="s">
        <v>3459</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3460</v>
      </c>
      <c r="C601" s="1323" t="s">
        <v>3461</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3462</v>
      </c>
      <c r="C602" s="1323" t="s">
        <v>3463</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3464</v>
      </c>
      <c r="C603" s="1323" t="s">
        <v>3465</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3466</v>
      </c>
      <c r="C604" s="1323" t="s">
        <v>3467</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3468</v>
      </c>
      <c r="C605" s="1323" t="s">
        <v>3469</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3470</v>
      </c>
      <c r="C606" s="1323" t="s">
        <v>3471</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3472</v>
      </c>
      <c r="C607" s="1323" t="s">
        <v>3473</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3474</v>
      </c>
      <c r="C608" s="1323" t="s">
        <v>3475</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3476</v>
      </c>
      <c r="C609" s="1323" t="s">
        <v>3477</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3478</v>
      </c>
      <c r="C610" s="1323" t="s">
        <v>3479</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3480</v>
      </c>
      <c r="C611" s="1323" t="s">
        <v>3481</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3482</v>
      </c>
      <c r="C612" s="1323" t="s">
        <v>3483</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3484</v>
      </c>
      <c r="C613" s="1323" t="s">
        <v>3485</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3486</v>
      </c>
      <c r="C614" s="1323" t="s">
        <v>3487</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3488</v>
      </c>
      <c r="C615" s="1323" t="s">
        <v>3489</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3490</v>
      </c>
      <c r="C616" s="1323" t="s">
        <v>3491</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3492</v>
      </c>
      <c r="C617" s="1323" t="s">
        <v>3493</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3494</v>
      </c>
      <c r="C618" s="1323" t="s">
        <v>3495</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3496</v>
      </c>
      <c r="C619" s="1323" t="s">
        <v>3497</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3498</v>
      </c>
      <c r="C620" s="1323" t="s">
        <v>3499</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3500</v>
      </c>
      <c r="C621" s="1323" t="s">
        <v>3501</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3502</v>
      </c>
      <c r="C622" s="1323" t="s">
        <v>3503</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3504</v>
      </c>
      <c r="C623" s="1323" t="s">
        <v>3505</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3506</v>
      </c>
      <c r="C624" s="1323" t="s">
        <v>3507</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3508</v>
      </c>
      <c r="C625" s="1323" t="s">
        <v>3509</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3510</v>
      </c>
      <c r="C626" s="1323" t="s">
        <v>3511</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3512</v>
      </c>
      <c r="C627" s="1323" t="s">
        <v>3513</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3514</v>
      </c>
      <c r="C628" s="1323" t="s">
        <v>3515</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3516</v>
      </c>
      <c r="C629" s="1323" t="s">
        <v>3517</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3518</v>
      </c>
      <c r="C630" s="1323" t="s">
        <v>3519</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3520</v>
      </c>
      <c r="C631" s="1323" t="s">
        <v>3521</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3522</v>
      </c>
      <c r="C632" s="1323" t="s">
        <v>3523</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3524</v>
      </c>
      <c r="C633" s="1323" t="s">
        <v>3525</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3526</v>
      </c>
      <c r="C634" s="1323" t="s">
        <v>3527</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3528</v>
      </c>
      <c r="C635" s="1323" t="s">
        <v>3529</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3530</v>
      </c>
      <c r="C636" s="1323" t="s">
        <v>3531</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3532</v>
      </c>
      <c r="C637" s="1323" t="s">
        <v>3533</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3534</v>
      </c>
      <c r="C638" s="1323" t="s">
        <v>3535</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3536</v>
      </c>
      <c r="C639" s="1323" t="s">
        <v>3537</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3538</v>
      </c>
      <c r="C640" s="1323" t="s">
        <v>3539</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3540</v>
      </c>
      <c r="C641" s="1323" t="s">
        <v>3541</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3542</v>
      </c>
      <c r="C642" s="1323" t="s">
        <v>3543</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3544</v>
      </c>
      <c r="C643" s="1323" t="s">
        <v>3545</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3546</v>
      </c>
      <c r="C644" s="1323" t="s">
        <v>3547</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3548</v>
      </c>
      <c r="C645" s="1323" t="s">
        <v>3549</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3550</v>
      </c>
      <c r="C646" s="1323" t="s">
        <v>3551</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3552</v>
      </c>
      <c r="C647" s="1323" t="s">
        <v>3553</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3554</v>
      </c>
      <c r="C648" s="1323" t="s">
        <v>3555</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3556</v>
      </c>
      <c r="C649" s="1323" t="s">
        <v>3557</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3558</v>
      </c>
      <c r="C650" s="1323" t="s">
        <v>3559</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3560</v>
      </c>
      <c r="C651" s="1323" t="s">
        <v>3561</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3562</v>
      </c>
      <c r="C652" s="1323" t="s">
        <v>3563</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3564</v>
      </c>
      <c r="C653" s="1323" t="s">
        <v>3565</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3566</v>
      </c>
      <c r="C654" s="1323" t="s">
        <v>3567</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3568</v>
      </c>
      <c r="C655" s="1323" t="s">
        <v>3569</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3570</v>
      </c>
      <c r="C656" s="1323" t="s">
        <v>3571</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3572</v>
      </c>
      <c r="C657" s="1323" t="s">
        <v>3573</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3574</v>
      </c>
      <c r="C658" s="1323" t="s">
        <v>3575</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3576</v>
      </c>
      <c r="C659" s="1323" t="s">
        <v>3577</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3578</v>
      </c>
      <c r="C660" s="1323" t="s">
        <v>3579</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3580</v>
      </c>
      <c r="C661" s="1323" t="s">
        <v>3581</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3582</v>
      </c>
      <c r="C662" s="1323" t="s">
        <v>3583</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3584</v>
      </c>
      <c r="C663" s="1323" t="s">
        <v>3585</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3586</v>
      </c>
      <c r="C664" s="1323" t="s">
        <v>3587</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3588</v>
      </c>
      <c r="C665" s="1323" t="s">
        <v>3589</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3590</v>
      </c>
      <c r="C666" s="1323" t="s">
        <v>3591</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3592</v>
      </c>
      <c r="C667" s="1323" t="s">
        <v>3593</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3594</v>
      </c>
      <c r="C668" s="1323" t="s">
        <v>3595</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3596</v>
      </c>
      <c r="C669" s="1323" t="s">
        <v>3597</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3598</v>
      </c>
      <c r="C670" s="1323" t="s">
        <v>3599</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3600</v>
      </c>
      <c r="C671" s="1323" t="s">
        <v>3601</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3602</v>
      </c>
      <c r="C672" s="1323" t="s">
        <v>3603</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3604</v>
      </c>
      <c r="C673" s="1323" t="s">
        <v>3605</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3606</v>
      </c>
      <c r="C674" s="1323" t="s">
        <v>3607</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3608</v>
      </c>
      <c r="C675" s="1323" t="s">
        <v>3609</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3610</v>
      </c>
      <c r="C676" s="1323" t="s">
        <v>3611</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3612</v>
      </c>
      <c r="C677" s="1323" t="s">
        <v>3613</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3614</v>
      </c>
      <c r="C678" s="1323" t="s">
        <v>3615</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3616</v>
      </c>
      <c r="C679" s="1323" t="s">
        <v>3617</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3618</v>
      </c>
      <c r="C680" s="1323" t="s">
        <v>3619</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3620</v>
      </c>
      <c r="C681" s="1323" t="s">
        <v>3621</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3622</v>
      </c>
      <c r="C682" s="1323" t="s">
        <v>3623</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3624</v>
      </c>
      <c r="C683" s="1323" t="s">
        <v>3625</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3626</v>
      </c>
      <c r="C684" s="1323" t="s">
        <v>3627</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3628</v>
      </c>
      <c r="C685" s="1323" t="s">
        <v>3629</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3630</v>
      </c>
      <c r="C686" s="1323" t="s">
        <v>3631</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3632</v>
      </c>
      <c r="C687" s="1323" t="s">
        <v>3633</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3634</v>
      </c>
      <c r="C688" s="1323" t="s">
        <v>3635</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3636</v>
      </c>
      <c r="C689" s="1323" t="s">
        <v>3637</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3638</v>
      </c>
      <c r="C690" s="1323" t="s">
        <v>3639</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3640</v>
      </c>
      <c r="C691" s="1323" t="s">
        <v>3641</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3642</v>
      </c>
      <c r="C692" s="1323" t="s">
        <v>3643</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3644</v>
      </c>
      <c r="C693" s="1323" t="s">
        <v>3645</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3646</v>
      </c>
      <c r="C694" s="1323" t="s">
        <v>3647</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3648</v>
      </c>
      <c r="C695" s="1323" t="s">
        <v>3649</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3650</v>
      </c>
      <c r="C696" s="1323" t="s">
        <v>3651</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3652</v>
      </c>
      <c r="C697" s="1323" t="s">
        <v>3653</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3654</v>
      </c>
      <c r="C698" s="1323" t="s">
        <v>3655</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3656</v>
      </c>
      <c r="C699" s="1323" t="s">
        <v>3657</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3658</v>
      </c>
      <c r="C700" s="1323" t="s">
        <v>3659</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3660</v>
      </c>
      <c r="C701" s="1323" t="s">
        <v>3661</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3662</v>
      </c>
      <c r="C702" s="1323" t="s">
        <v>3663</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3664</v>
      </c>
      <c r="C703" s="1323" t="s">
        <v>3665</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3666</v>
      </c>
      <c r="C704" s="1323" t="s">
        <v>3667</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3668</v>
      </c>
      <c r="C705" s="1323" t="s">
        <v>3669</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3670</v>
      </c>
      <c r="C706" s="1323" t="s">
        <v>3671</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3672</v>
      </c>
      <c r="C707" s="1323" t="s">
        <v>3673</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3674</v>
      </c>
      <c r="C708" s="1323" t="s">
        <v>3675</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3676</v>
      </c>
      <c r="C709" s="1323" t="s">
        <v>3677</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3678</v>
      </c>
      <c r="C710" s="1323" t="s">
        <v>3679</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3680</v>
      </c>
      <c r="C711" s="1323" t="s">
        <v>3681</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3682</v>
      </c>
      <c r="C712" s="1323" t="s">
        <v>3683</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3684</v>
      </c>
      <c r="C713" s="1323" t="s">
        <v>3685</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3686</v>
      </c>
      <c r="C714" s="1323" t="s">
        <v>3687</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3688</v>
      </c>
      <c r="C715" s="1323" t="s">
        <v>3689</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3690</v>
      </c>
      <c r="C716" s="1323" t="s">
        <v>3691</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3692</v>
      </c>
      <c r="C717" s="1323" t="s">
        <v>3693</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3694</v>
      </c>
      <c r="C718" s="1323" t="s">
        <v>3695</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3696</v>
      </c>
      <c r="C719" s="1323" t="s">
        <v>3697</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3698</v>
      </c>
      <c r="C720" s="1323" t="s">
        <v>3699</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3700</v>
      </c>
      <c r="C721" s="1323" t="s">
        <v>3701</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3702</v>
      </c>
      <c r="C722" s="1323" t="s">
        <v>3703</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3704</v>
      </c>
      <c r="C723" s="1323" t="s">
        <v>3705</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3706</v>
      </c>
      <c r="C724" s="1323" t="s">
        <v>3707</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3708</v>
      </c>
      <c r="C725" s="1323" t="s">
        <v>3709</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3710</v>
      </c>
      <c r="C726" s="1323" t="s">
        <v>3711</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3712</v>
      </c>
      <c r="C727" s="1323" t="s">
        <v>3713</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3714</v>
      </c>
      <c r="C728" s="1323" t="s">
        <v>3715</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3716</v>
      </c>
      <c r="C729" s="1323" t="s">
        <v>3717</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3718</v>
      </c>
      <c r="C730" s="1323" t="s">
        <v>3719</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3720</v>
      </c>
      <c r="C731" s="1323" t="s">
        <v>3721</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3722</v>
      </c>
      <c r="C732" s="1323" t="s">
        <v>3723</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3724</v>
      </c>
      <c r="C733" s="1323" t="s">
        <v>3467</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3725</v>
      </c>
      <c r="C734" s="1323" t="s">
        <v>3726</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3727</v>
      </c>
      <c r="C735" s="1323" t="s">
        <v>3728</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3729</v>
      </c>
      <c r="C736" s="1323" t="s">
        <v>3730</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3731</v>
      </c>
      <c r="C737" s="1323" t="s">
        <v>3585</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3732</v>
      </c>
      <c r="C738" s="1323" t="s">
        <v>3733</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3734</v>
      </c>
      <c r="C739" s="1323" t="s">
        <v>3735</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3736</v>
      </c>
      <c r="C740" s="1323" t="s">
        <v>3737</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3738</v>
      </c>
      <c r="C741" s="1323" t="s">
        <v>3739</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3740</v>
      </c>
      <c r="C742" s="1323" t="s">
        <v>3741</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3742</v>
      </c>
      <c r="C743" s="1323" t="s">
        <v>3743</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3744</v>
      </c>
      <c r="C744" s="1323" t="s">
        <v>3745</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3746</v>
      </c>
      <c r="C745" s="1323" t="s">
        <v>3747</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3748</v>
      </c>
      <c r="C746" s="1323" t="s">
        <v>3749</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3750</v>
      </c>
      <c r="C747" s="1323" t="s">
        <v>3751</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3752</v>
      </c>
      <c r="C748" s="1323" t="s">
        <v>3753</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3754</v>
      </c>
      <c r="C749" s="1323" t="s">
        <v>3755</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3756</v>
      </c>
      <c r="C750" s="1323" t="s">
        <v>3757</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3758</v>
      </c>
      <c r="C751" s="1323" t="s">
        <v>3759</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3760</v>
      </c>
      <c r="C752" s="1323" t="s">
        <v>3761</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3762</v>
      </c>
      <c r="C753" s="1323" t="s">
        <v>3763</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3764</v>
      </c>
      <c r="C754" s="1323" t="s">
        <v>3765</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3766</v>
      </c>
      <c r="C755" s="1323" t="s">
        <v>3767</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3768</v>
      </c>
      <c r="C756" s="1323" t="s">
        <v>3769</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3770</v>
      </c>
      <c r="C757" s="1323" t="s">
        <v>3771</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3772</v>
      </c>
      <c r="C758" s="1323" t="s">
        <v>3773</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3774</v>
      </c>
      <c r="C759" s="1323" t="s">
        <v>3775</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3776</v>
      </c>
      <c r="C760" s="1323" t="s">
        <v>3777</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3778</v>
      </c>
      <c r="C761" s="1323" t="s">
        <v>3779</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3780</v>
      </c>
      <c r="C762" s="1323" t="s">
        <v>3781</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3782</v>
      </c>
      <c r="C763" s="1323" t="s">
        <v>3783</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3784</v>
      </c>
      <c r="C764" s="1323" t="s">
        <v>3785</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3786</v>
      </c>
      <c r="C765" s="1323" t="s">
        <v>3787</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3788</v>
      </c>
      <c r="C766" s="1323" t="s">
        <v>3789</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3790</v>
      </c>
      <c r="C767" s="1323" t="s">
        <v>3791</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3792</v>
      </c>
      <c r="C768" s="1323" t="s">
        <v>3793</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3794</v>
      </c>
      <c r="C769" s="1323" t="s">
        <v>3795</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3796</v>
      </c>
      <c r="C770" s="1323" t="s">
        <v>3797</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3798</v>
      </c>
      <c r="C771" s="1323" t="s">
        <v>3799</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3800</v>
      </c>
      <c r="C772" s="1323" t="s">
        <v>3801</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3802</v>
      </c>
      <c r="C773" s="1323" t="s">
        <v>3803</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3804</v>
      </c>
      <c r="C774" s="1323" t="s">
        <v>3805</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3806</v>
      </c>
      <c r="C775" s="1323" t="s">
        <v>3807</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3808</v>
      </c>
      <c r="C776" s="1323" t="s">
        <v>3809</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3810</v>
      </c>
      <c r="C777" s="1323" t="s">
        <v>3811</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3812</v>
      </c>
      <c r="C778" s="1323" t="s">
        <v>3813</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3814</v>
      </c>
      <c r="C779" s="1323" t="s">
        <v>3815</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3816</v>
      </c>
      <c r="C780" s="1323" t="s">
        <v>3817</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3818</v>
      </c>
      <c r="C781" s="1323" t="s">
        <v>3819</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3820</v>
      </c>
      <c r="C782" s="1323" t="s">
        <v>3821</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3822</v>
      </c>
      <c r="C783" s="1323" t="s">
        <v>3823</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3824</v>
      </c>
      <c r="C784" s="1323" t="s">
        <v>3825</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3826</v>
      </c>
      <c r="C785" s="1323" t="s">
        <v>3827</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3828</v>
      </c>
      <c r="C786" s="1323" t="s">
        <v>3829</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3830</v>
      </c>
      <c r="C787" s="1323" t="s">
        <v>3831</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3832</v>
      </c>
      <c r="C788" s="1323" t="s">
        <v>3833</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3834</v>
      </c>
      <c r="C789" s="1323" t="s">
        <v>3835</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3836</v>
      </c>
      <c r="C790" s="1323" t="s">
        <v>3837</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3838</v>
      </c>
      <c r="C791" s="1323" t="s">
        <v>3839</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3840</v>
      </c>
      <c r="C792" s="1323" t="s">
        <v>3841</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3842</v>
      </c>
      <c r="C793" s="1323" t="s">
        <v>3843</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3844</v>
      </c>
      <c r="C794" s="1323" t="s">
        <v>3845</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3846</v>
      </c>
      <c r="C795" s="1323" t="s">
        <v>3847</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3848</v>
      </c>
      <c r="C796" s="1323" t="s">
        <v>3849</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3850</v>
      </c>
      <c r="C797" s="1323" t="s">
        <v>3851</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3852</v>
      </c>
      <c r="C798" s="1323" t="s">
        <v>3853</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3854</v>
      </c>
      <c r="C799" s="1323" t="s">
        <v>3855</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3856</v>
      </c>
      <c r="C800" s="1323" t="s">
        <v>3857</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3858</v>
      </c>
      <c r="C801" s="1323" t="s">
        <v>3859</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3860</v>
      </c>
      <c r="C802" s="1323" t="s">
        <v>3861</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3862</v>
      </c>
      <c r="C803" s="1323" t="s">
        <v>3863</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3864</v>
      </c>
      <c r="C804" s="1323" t="s">
        <v>3865</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3866</v>
      </c>
      <c r="C805" s="1323" t="s">
        <v>3867</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3868</v>
      </c>
      <c r="C806" s="1323" t="s">
        <v>3869</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3870</v>
      </c>
      <c r="C807" s="1323" t="s">
        <v>3871</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3872</v>
      </c>
      <c r="C808" s="1323" t="s">
        <v>3873</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3874</v>
      </c>
      <c r="C809" s="1323" t="s">
        <v>3875</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3876</v>
      </c>
      <c r="C810" s="1323" t="s">
        <v>3877</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3878</v>
      </c>
      <c r="C811" s="1323" t="s">
        <v>3879</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3880</v>
      </c>
      <c r="C812" s="1323" t="s">
        <v>3881</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3882</v>
      </c>
      <c r="C813" s="1323" t="s">
        <v>3883</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3884</v>
      </c>
      <c r="C814" s="1323" t="s">
        <v>3885</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3886</v>
      </c>
      <c r="C815" s="1323" t="s">
        <v>3887</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3888</v>
      </c>
      <c r="C816" s="1323" t="s">
        <v>3889</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3890</v>
      </c>
      <c r="C817" s="1323" t="s">
        <v>3891</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3892</v>
      </c>
      <c r="C818" s="1323" t="s">
        <v>3893</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3894</v>
      </c>
      <c r="C819" s="1323" t="s">
        <v>3895</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3896</v>
      </c>
      <c r="C820" s="1323" t="s">
        <v>3897</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3898</v>
      </c>
      <c r="C821" s="1323" t="s">
        <v>3899</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3900</v>
      </c>
      <c r="C822" s="1323" t="s">
        <v>3901</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3902</v>
      </c>
      <c r="C823" s="1323" t="s">
        <v>3903</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3904</v>
      </c>
      <c r="C824" s="1323" t="s">
        <v>3905</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3906</v>
      </c>
      <c r="C825" s="1323" t="s">
        <v>3907</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3908</v>
      </c>
      <c r="C826" s="1323" t="s">
        <v>3909</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3910</v>
      </c>
      <c r="C827" s="1323" t="s">
        <v>3911</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3912</v>
      </c>
      <c r="C828" s="1323" t="s">
        <v>3913</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3914</v>
      </c>
      <c r="C829" s="1323" t="s">
        <v>3771</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3915</v>
      </c>
      <c r="C830" s="1323" t="s">
        <v>3916</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3917</v>
      </c>
      <c r="C831" s="1323" t="s">
        <v>3918</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3919</v>
      </c>
      <c r="C832" s="1323" t="s">
        <v>3920</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3921</v>
      </c>
      <c r="C833" s="1323" t="s">
        <v>3922</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3923</v>
      </c>
      <c r="C834" s="1323" t="s">
        <v>3924</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3925</v>
      </c>
      <c r="C835" s="1323" t="s">
        <v>3926</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3927</v>
      </c>
      <c r="C836" s="1323" t="s">
        <v>3928</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3929</v>
      </c>
      <c r="C837" s="1323" t="s">
        <v>3930</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3931</v>
      </c>
      <c r="C838" s="1323" t="s">
        <v>3932</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3933</v>
      </c>
      <c r="C839" s="1323" t="s">
        <v>3934</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3935</v>
      </c>
      <c r="C840" s="1323" t="s">
        <v>3936</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3937</v>
      </c>
      <c r="C841" s="1323" t="s">
        <v>3938</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3939</v>
      </c>
      <c r="C842" s="1323" t="s">
        <v>3940</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3941</v>
      </c>
      <c r="C843" s="1323" t="s">
        <v>3942</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3943</v>
      </c>
      <c r="C844" s="1323" t="s">
        <v>3944</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3945</v>
      </c>
      <c r="C845" s="1323" t="s">
        <v>3946</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3947</v>
      </c>
      <c r="C846" s="1323" t="s">
        <v>3948</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3949</v>
      </c>
      <c r="C847" s="1323" t="s">
        <v>3950</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3951</v>
      </c>
      <c r="C848" s="1323" t="s">
        <v>3952</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3953</v>
      </c>
      <c r="C849" s="1323" t="s">
        <v>3954</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3955</v>
      </c>
      <c r="C850" s="1323" t="s">
        <v>3956</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3957</v>
      </c>
      <c r="C851" s="1323" t="s">
        <v>3958</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3959</v>
      </c>
      <c r="C852" s="1323" t="s">
        <v>3960</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3961</v>
      </c>
      <c r="C853" s="1323" t="s">
        <v>3962</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3963</v>
      </c>
      <c r="C854" s="1323" t="s">
        <v>3964</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3965</v>
      </c>
      <c r="C855" s="1323" t="s">
        <v>3966</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3967</v>
      </c>
      <c r="C856" s="1323" t="s">
        <v>3968</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3969</v>
      </c>
      <c r="C857" s="1323" t="s">
        <v>3970</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3971</v>
      </c>
      <c r="C858" s="1323" t="s">
        <v>3972</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3973</v>
      </c>
      <c r="C859" s="1323" t="s">
        <v>3974</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3975</v>
      </c>
      <c r="C860" s="1323" t="s">
        <v>3976</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3977</v>
      </c>
      <c r="C861" s="1323" t="s">
        <v>3978</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3979</v>
      </c>
      <c r="C862" s="1323" t="s">
        <v>3980</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3981</v>
      </c>
      <c r="C863" s="1323" t="s">
        <v>3982</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3983</v>
      </c>
      <c r="C864" s="1323" t="s">
        <v>3984</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3985</v>
      </c>
      <c r="C865" s="1323" t="s">
        <v>3986</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3987</v>
      </c>
      <c r="C866" s="1323" t="s">
        <v>3988</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3989</v>
      </c>
      <c r="C867" s="1323" t="s">
        <v>3990</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3991</v>
      </c>
      <c r="C868" s="1323" t="s">
        <v>3992</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3993</v>
      </c>
      <c r="C869" s="1323" t="s">
        <v>3994</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3995</v>
      </c>
      <c r="C870" s="1323" t="s">
        <v>3996</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3997</v>
      </c>
      <c r="C871" s="1323" t="s">
        <v>3998</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3999</v>
      </c>
      <c r="C872" s="1323" t="s">
        <v>4000</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4001</v>
      </c>
      <c r="C873" s="1323" t="s">
        <v>4002</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4003</v>
      </c>
      <c r="C874" s="1323" t="s">
        <v>4004</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4005</v>
      </c>
      <c r="C875" s="1323" t="s">
        <v>4006</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4007</v>
      </c>
      <c r="C876" s="1323" t="s">
        <v>3833</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4008</v>
      </c>
      <c r="C877" s="1323" t="s">
        <v>4009</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4010</v>
      </c>
      <c r="C878" s="1323" t="s">
        <v>4011</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4012</v>
      </c>
      <c r="C879" s="1323" t="s">
        <v>4013</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4014</v>
      </c>
      <c r="C880" s="1323" t="s">
        <v>4015</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4016</v>
      </c>
      <c r="C881" s="1323" t="s">
        <v>4017</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4018</v>
      </c>
      <c r="C882" s="1323" t="s">
        <v>4019</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4020</v>
      </c>
      <c r="C883" s="1323" t="s">
        <v>4021</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4022</v>
      </c>
      <c r="C884" s="1323" t="s">
        <v>4023</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4024</v>
      </c>
      <c r="C885" s="1323" t="s">
        <v>4025</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4026</v>
      </c>
      <c r="C886" s="1323" t="s">
        <v>4027</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4028</v>
      </c>
      <c r="C887" s="1323" t="s">
        <v>3781</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4029</v>
      </c>
      <c r="C888" s="1323" t="s">
        <v>4030</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4031</v>
      </c>
      <c r="C889" s="1323" t="s">
        <v>4032</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4033</v>
      </c>
      <c r="C890" s="1323" t="s">
        <v>4034</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4035</v>
      </c>
      <c r="C891" s="1323" t="s">
        <v>4036</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4037</v>
      </c>
      <c r="C892" s="1323" t="s">
        <v>4038</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4039</v>
      </c>
      <c r="C893" s="1323" t="s">
        <v>4040</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4041</v>
      </c>
      <c r="C894" s="1323" t="s">
        <v>4042</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4043</v>
      </c>
      <c r="C895" s="1323" t="s">
        <v>4044</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4045</v>
      </c>
      <c r="C896" s="1323" t="s">
        <v>4046</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4047</v>
      </c>
      <c r="C897" s="1323" t="s">
        <v>4048</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4049</v>
      </c>
      <c r="C898" s="1323" t="s">
        <v>4050</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4051</v>
      </c>
      <c r="C899" s="1323" t="s">
        <v>4052</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4053</v>
      </c>
      <c r="C900" s="1323" t="s">
        <v>4054</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4055</v>
      </c>
      <c r="C901" s="1323" t="s">
        <v>4056</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4057</v>
      </c>
      <c r="C902" s="1323" t="s">
        <v>4058</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4059</v>
      </c>
      <c r="C903" s="1323" t="s">
        <v>4060</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4061</v>
      </c>
      <c r="C904" s="1323" t="s">
        <v>4062</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4063</v>
      </c>
      <c r="C905" s="1323" t="s">
        <v>4064</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4065</v>
      </c>
      <c r="C906" s="1323" t="s">
        <v>4066</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4067</v>
      </c>
      <c r="C907" s="1323" t="s">
        <v>4068</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4069</v>
      </c>
      <c r="C908" s="1323" t="s">
        <v>4070</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4071</v>
      </c>
      <c r="C909" s="1323" t="s">
        <v>4072</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4073</v>
      </c>
      <c r="C910" s="1323" t="s">
        <v>4074</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4075</v>
      </c>
      <c r="C911" s="1323" t="s">
        <v>4076</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4077</v>
      </c>
      <c r="C912" s="1323" t="s">
        <v>4078</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4079</v>
      </c>
      <c r="C913" s="1323" t="s">
        <v>4080</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4081</v>
      </c>
      <c r="C914" s="1323" t="s">
        <v>4082</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4083</v>
      </c>
      <c r="C915" s="1323" t="s">
        <v>4084</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4085</v>
      </c>
      <c r="C916" s="1323" t="s">
        <v>4086</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4087</v>
      </c>
      <c r="C917" s="1323" t="s">
        <v>4088</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4089</v>
      </c>
      <c r="C918" s="1323" t="s">
        <v>4090</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4091</v>
      </c>
      <c r="C919" s="1323" t="s">
        <v>4092</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4093</v>
      </c>
      <c r="C920" s="1323" t="s">
        <v>4094</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4095</v>
      </c>
      <c r="C921" s="1323" t="s">
        <v>4096</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4097</v>
      </c>
      <c r="C922" s="1323" t="s">
        <v>4098</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4099</v>
      </c>
      <c r="C923" s="1323" t="s">
        <v>4100</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4101</v>
      </c>
      <c r="C924" s="1323" t="s">
        <v>4102</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4103</v>
      </c>
      <c r="C925" s="1323" t="s">
        <v>4102</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4104</v>
      </c>
      <c r="C926" s="1323" t="s">
        <v>4105</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4106</v>
      </c>
      <c r="C927" s="1323" t="s">
        <v>4107</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4108</v>
      </c>
      <c r="C928" s="1323" t="s">
        <v>4109</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4110</v>
      </c>
      <c r="C929" s="1323" t="s">
        <v>3928</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4111</v>
      </c>
      <c r="C930" s="1323" t="s">
        <v>4112</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4113</v>
      </c>
      <c r="C931" s="1323" t="s">
        <v>4114</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4115</v>
      </c>
      <c r="C932" s="1323" t="s">
        <v>4116</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4117</v>
      </c>
      <c r="C933" s="1323" t="s">
        <v>4118</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4119</v>
      </c>
      <c r="C934" s="1323" t="s">
        <v>4120</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4121</v>
      </c>
      <c r="C935" s="1323" t="s">
        <v>4122</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4123</v>
      </c>
      <c r="C936" s="1323" t="s">
        <v>4124</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4125</v>
      </c>
      <c r="C937" s="1323" t="s">
        <v>4126</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4127</v>
      </c>
      <c r="C938" s="1323" t="s">
        <v>4128</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4129</v>
      </c>
      <c r="C939" s="1323" t="s">
        <v>4130</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4131</v>
      </c>
      <c r="C940" s="1323" t="s">
        <v>4132</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4133</v>
      </c>
      <c r="C941" s="1323" t="s">
        <v>4134</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4135</v>
      </c>
      <c r="C942" s="1323" t="s">
        <v>4136</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4137</v>
      </c>
      <c r="C943" s="1323" t="s">
        <v>4138</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4139</v>
      </c>
      <c r="C944" s="1323" t="s">
        <v>4140</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4141</v>
      </c>
      <c r="C945" s="1323" t="s">
        <v>4142</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4143</v>
      </c>
      <c r="C946" s="1323" t="s">
        <v>4144</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4145</v>
      </c>
      <c r="C947" s="1323" t="s">
        <v>4146</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4147</v>
      </c>
      <c r="C948" s="1323" t="s">
        <v>4148</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4149</v>
      </c>
      <c r="C949" s="1323" t="s">
        <v>4150</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4151</v>
      </c>
      <c r="C950" s="1323" t="s">
        <v>4152</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4153</v>
      </c>
      <c r="C951" s="1323" t="s">
        <v>4154</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4155</v>
      </c>
      <c r="C952" s="1323" t="s">
        <v>4156</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4157</v>
      </c>
      <c r="C953" s="1323" t="s">
        <v>4158</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4159</v>
      </c>
      <c r="C954" s="1323" t="s">
        <v>4160</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4161</v>
      </c>
      <c r="C955" s="1323" t="s">
        <v>4162</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4163</v>
      </c>
      <c r="C956" s="1323" t="s">
        <v>4164</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4165</v>
      </c>
      <c r="C957" s="1323" t="s">
        <v>4166</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4167</v>
      </c>
      <c r="C958" s="1323" t="s">
        <v>4168</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4169</v>
      </c>
      <c r="C959" s="1323" t="s">
        <v>4170</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4171</v>
      </c>
      <c r="C960" s="1323" t="s">
        <v>4172</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4173</v>
      </c>
      <c r="C961" s="1323" t="s">
        <v>4174</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4175</v>
      </c>
      <c r="C962" s="1323" t="s">
        <v>4176</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4177</v>
      </c>
      <c r="C963" s="1323" t="s">
        <v>4178</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4179</v>
      </c>
      <c r="C964" s="1323" t="s">
        <v>4180</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4181</v>
      </c>
      <c r="C965" s="1323" t="s">
        <v>4182</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4183</v>
      </c>
      <c r="C966" s="1323" t="s">
        <v>4184</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4185</v>
      </c>
      <c r="C967" s="1323" t="s">
        <v>4186</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4187</v>
      </c>
      <c r="C968" s="1323" t="s">
        <v>3777</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4188</v>
      </c>
      <c r="C969" s="1323" t="s">
        <v>4189</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4190</v>
      </c>
      <c r="C970" s="1323" t="s">
        <v>4191</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4192</v>
      </c>
      <c r="C971" s="1323" t="s">
        <v>4193</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4194</v>
      </c>
      <c r="C972" s="1323" t="s">
        <v>4195</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4196</v>
      </c>
      <c r="C973" s="1323" t="s">
        <v>4197</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4198</v>
      </c>
      <c r="C974" s="1323" t="s">
        <v>4199</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4200</v>
      </c>
      <c r="C975" s="1323" t="s">
        <v>4201</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4202</v>
      </c>
      <c r="C976" s="1323" t="s">
        <v>4203</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4204</v>
      </c>
      <c r="C977" s="1323" t="s">
        <v>4205</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4206</v>
      </c>
      <c r="C978" s="1323" t="s">
        <v>4207</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4208</v>
      </c>
      <c r="C979" s="1323" t="s">
        <v>4209</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4210</v>
      </c>
      <c r="C980" s="1323" t="s">
        <v>4211</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4212</v>
      </c>
      <c r="C981" s="1323" t="s">
        <v>4213</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4214</v>
      </c>
      <c r="C982" s="1323" t="s">
        <v>4215</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4216</v>
      </c>
      <c r="C983" s="1323" t="s">
        <v>4217</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4218</v>
      </c>
      <c r="C984" s="1323" t="s">
        <v>4219</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4220</v>
      </c>
      <c r="C985" s="1323" t="s">
        <v>4221</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4222</v>
      </c>
      <c r="C986" s="1323" t="s">
        <v>4223</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4224</v>
      </c>
      <c r="C987" s="1323" t="s">
        <v>4225</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4226</v>
      </c>
      <c r="C988" s="1323" t="s">
        <v>4227</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4228</v>
      </c>
      <c r="C989" s="1323" t="s">
        <v>4229</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4230</v>
      </c>
      <c r="C990" s="1323" t="s">
        <v>4231</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4232</v>
      </c>
      <c r="C991" s="1323" t="s">
        <v>4233</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4234</v>
      </c>
      <c r="C992" s="1323" t="s">
        <v>4235</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4236</v>
      </c>
      <c r="C993" s="1323" t="s">
        <v>4237</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4238</v>
      </c>
      <c r="C994" s="1323" t="s">
        <v>4239</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4240</v>
      </c>
      <c r="C995" s="1323" t="s">
        <v>4241</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4242</v>
      </c>
      <c r="C996" s="1323" t="s">
        <v>4243</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4244</v>
      </c>
      <c r="C997" s="1323" t="s">
        <v>4245</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4246</v>
      </c>
      <c r="C998" s="1323" t="s">
        <v>4247</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4248</v>
      </c>
      <c r="C999" s="1323" t="s">
        <v>4249</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4250</v>
      </c>
      <c r="C1000" s="1323" t="s">
        <v>4251</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4252</v>
      </c>
      <c r="C1001" s="1323" t="s">
        <v>4253</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4254</v>
      </c>
      <c r="C1002" s="1323" t="s">
        <v>4255</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4256</v>
      </c>
      <c r="C1003" s="1323" t="s">
        <v>4257</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4258</v>
      </c>
      <c r="C1004" s="1323" t="s">
        <v>4259</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4260</v>
      </c>
      <c r="C1005" s="1323" t="s">
        <v>4261</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4262</v>
      </c>
      <c r="C1006" s="1323" t="s">
        <v>4263</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4264</v>
      </c>
      <c r="C1007" s="1323" t="s">
        <v>4265</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4266</v>
      </c>
      <c r="C1008" s="1323" t="s">
        <v>4267</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4268</v>
      </c>
      <c r="C1009" s="1323" t="s">
        <v>4269</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4270</v>
      </c>
      <c r="C1010" s="1323" t="s">
        <v>4271</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4272</v>
      </c>
      <c r="C1011" s="1323" t="s">
        <v>4273</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4274</v>
      </c>
      <c r="C1012" s="1323" t="s">
        <v>4275</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4276</v>
      </c>
      <c r="C1013" s="1323" t="s">
        <v>4277</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4278</v>
      </c>
      <c r="C1014" s="1323" t="s">
        <v>4279</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4280</v>
      </c>
      <c r="C1015" s="1323" t="s">
        <v>4281</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4282</v>
      </c>
      <c r="C1016" s="1323" t="s">
        <v>4283</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4284</v>
      </c>
      <c r="C1017" s="1323" t="s">
        <v>4285</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4286</v>
      </c>
      <c r="C1018" s="1323" t="s">
        <v>4287</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4288</v>
      </c>
      <c r="C1019" s="1323" t="s">
        <v>4289</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4290</v>
      </c>
      <c r="C1020" s="1323" t="s">
        <v>4291</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4292</v>
      </c>
      <c r="C1021" s="1323" t="s">
        <v>4293</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4294</v>
      </c>
      <c r="C1022" s="1323" t="s">
        <v>4295</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4296</v>
      </c>
      <c r="C1023" s="1323" t="s">
        <v>4297</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4298</v>
      </c>
      <c r="C1024" s="1323" t="s">
        <v>4299</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4300</v>
      </c>
      <c r="C1025" s="1323" t="s">
        <v>4301</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4302</v>
      </c>
      <c r="C1026" s="1323" t="s">
        <v>4303</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4304</v>
      </c>
      <c r="C1027" s="1323" t="s">
        <v>4305</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4306</v>
      </c>
      <c r="C1028" s="1323" t="s">
        <v>4307</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4308</v>
      </c>
      <c r="C1029" s="1323" t="s">
        <v>4309</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4310</v>
      </c>
      <c r="C1030" s="1323" t="s">
        <v>4311</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4312</v>
      </c>
      <c r="C1031" s="1323" t="s">
        <v>4313</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4314</v>
      </c>
      <c r="C1032" s="1323" t="s">
        <v>4315</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4316</v>
      </c>
      <c r="C1033" s="1323" t="s">
        <v>4317</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4318</v>
      </c>
      <c r="C1034" s="1323" t="s">
        <v>4319</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4320</v>
      </c>
      <c r="C1035" s="1323" t="s">
        <v>4321</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4322</v>
      </c>
      <c r="C1036" s="1323" t="s">
        <v>4323</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4324</v>
      </c>
      <c r="C1037" s="1323" t="s">
        <v>4325</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4326</v>
      </c>
      <c r="C1038" s="1323" t="s">
        <v>4327</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4328</v>
      </c>
      <c r="C1039" s="1323" t="s">
        <v>4329</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4330</v>
      </c>
      <c r="C1040" s="1323" t="s">
        <v>4331</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4332</v>
      </c>
      <c r="C1041" s="1323" t="s">
        <v>4333</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4334</v>
      </c>
      <c r="C1042" s="1323" t="s">
        <v>4335</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4336</v>
      </c>
      <c r="C1043" s="1323" t="s">
        <v>4337</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4338</v>
      </c>
      <c r="C1044" s="1323" t="s">
        <v>4339</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4340</v>
      </c>
      <c r="C1045" s="1323" t="s">
        <v>4341</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4342</v>
      </c>
      <c r="C1046" s="1323" t="s">
        <v>4343</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4344</v>
      </c>
      <c r="C1047" s="1323" t="s">
        <v>4345</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4346</v>
      </c>
      <c r="C1048" s="1323" t="s">
        <v>4347</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4348</v>
      </c>
      <c r="C1049" s="1323" t="s">
        <v>4349</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4350</v>
      </c>
      <c r="C1050" s="1323" t="s">
        <v>4351</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4352</v>
      </c>
      <c r="C1051" s="1323" t="s">
        <v>4353</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4354</v>
      </c>
      <c r="C1052" s="1323" t="s">
        <v>4355</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4356</v>
      </c>
      <c r="C1053" s="1323" t="s">
        <v>4357</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4358</v>
      </c>
      <c r="C1054" s="1323" t="s">
        <v>4359</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4360</v>
      </c>
      <c r="C1055" s="1323" t="s">
        <v>4361</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4362</v>
      </c>
      <c r="C1056" s="1323" t="s">
        <v>4363</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4364</v>
      </c>
      <c r="C1057" s="1323" t="s">
        <v>4365</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4366</v>
      </c>
      <c r="C1058" s="1323" t="s">
        <v>4367</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4368</v>
      </c>
      <c r="C1059" s="1323" t="s">
        <v>4369</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4370</v>
      </c>
      <c r="C1060" s="1323" t="s">
        <v>4371</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4372</v>
      </c>
      <c r="C1061" s="1323" t="s">
        <v>4373</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4374</v>
      </c>
      <c r="C1062" s="1323" t="s">
        <v>4375</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4376</v>
      </c>
      <c r="C1063" s="1323" t="s">
        <v>4377</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4378</v>
      </c>
      <c r="C1064" s="1323" t="s">
        <v>4379</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4380</v>
      </c>
      <c r="C1065" s="1323" t="s">
        <v>4381</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4382</v>
      </c>
      <c r="C1066" s="1323" t="s">
        <v>4383</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4384</v>
      </c>
      <c r="C1067" s="1323" t="s">
        <v>4385</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4386</v>
      </c>
      <c r="C1068" s="1323" t="s">
        <v>4387</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4388</v>
      </c>
      <c r="C1069" s="1323" t="s">
        <v>4389</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4390</v>
      </c>
      <c r="C1070" s="1323" t="s">
        <v>4391</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4392</v>
      </c>
      <c r="C1071" s="1323" t="s">
        <v>4393</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4394</v>
      </c>
      <c r="C1072" s="1323" t="s">
        <v>4395</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4396</v>
      </c>
      <c r="C1073" s="1323" t="s">
        <v>4397</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4398</v>
      </c>
      <c r="C1074" s="1323" t="s">
        <v>4399</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4400</v>
      </c>
      <c r="C1075" s="1323" t="s">
        <v>4401</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4402</v>
      </c>
      <c r="C1076" s="1323" t="s">
        <v>4403</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4404</v>
      </c>
      <c r="C1077" s="1323" t="s">
        <v>4405</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4406</v>
      </c>
      <c r="C1078" s="1323" t="s">
        <v>4407</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4408</v>
      </c>
      <c r="C1079" s="1323" t="s">
        <v>4409</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4410</v>
      </c>
      <c r="C1080" s="1323" t="s">
        <v>3453</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4411</v>
      </c>
      <c r="C1081" s="1323" t="s">
        <v>4412</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4413</v>
      </c>
      <c r="C1082" s="1323" t="s">
        <v>4414</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4415</v>
      </c>
      <c r="C1083" s="1323" t="s">
        <v>4416</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4417</v>
      </c>
      <c r="C1084" s="1323" t="s">
        <v>4418</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4419</v>
      </c>
      <c r="C1085" s="1323" t="s">
        <v>4420</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4421</v>
      </c>
      <c r="C1086" s="1323" t="s">
        <v>4422</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4423</v>
      </c>
      <c r="C1087" s="1323" t="s">
        <v>4424</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4425</v>
      </c>
      <c r="C1088" s="1323" t="s">
        <v>4426</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4427</v>
      </c>
      <c r="C1089" s="1323" t="s">
        <v>4428</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4429</v>
      </c>
      <c r="C1090" s="1323" t="s">
        <v>4430</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4431</v>
      </c>
      <c r="C1091" s="1323" t="s">
        <v>4432</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4433</v>
      </c>
      <c r="C1092" s="1323" t="s">
        <v>4434</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4435</v>
      </c>
      <c r="C1093" s="1323" t="s">
        <v>4436</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4437</v>
      </c>
      <c r="C1094" s="1323" t="s">
        <v>4438</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4439</v>
      </c>
      <c r="C1095" s="1323" t="s">
        <v>4440</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4441</v>
      </c>
      <c r="C1096" s="1323" t="s">
        <v>4442</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4443</v>
      </c>
      <c r="C1097" s="1323" t="s">
        <v>4444</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4445</v>
      </c>
      <c r="C1098" s="1323" t="s">
        <v>4446</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4447</v>
      </c>
      <c r="C1099" s="1323" t="s">
        <v>4448</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4449</v>
      </c>
      <c r="C1100" s="1323" t="s">
        <v>4450</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4451</v>
      </c>
      <c r="C1101" s="1323" t="s">
        <v>4452</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4453</v>
      </c>
      <c r="C1102" s="1323" t="s">
        <v>4454</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4455</v>
      </c>
      <c r="C1103" s="1323" t="s">
        <v>4315</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4456</v>
      </c>
      <c r="C1104" s="1323" t="s">
        <v>4457</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4458</v>
      </c>
      <c r="C1105" s="1323" t="s">
        <v>4459</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4460</v>
      </c>
      <c r="C1106" s="1323" t="s">
        <v>4461</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4462</v>
      </c>
      <c r="C1107" s="1323" t="s">
        <v>4463</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4464</v>
      </c>
      <c r="C1108" s="1323" t="s">
        <v>4465</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4466</v>
      </c>
      <c r="C1109" s="1323" t="s">
        <v>4467</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4468</v>
      </c>
      <c r="C1110" s="1323" t="s">
        <v>4469</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4470</v>
      </c>
      <c r="C1111" s="1323" t="s">
        <v>4471</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4472</v>
      </c>
      <c r="C1112" s="1323" t="s">
        <v>4473</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4474</v>
      </c>
      <c r="C1113" s="1323" t="s">
        <v>4475</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4476</v>
      </c>
      <c r="C1114" s="1323" t="s">
        <v>4477</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4478</v>
      </c>
      <c r="C1115" s="1323" t="s">
        <v>4479</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4480</v>
      </c>
      <c r="C1116" s="1323" t="s">
        <v>4481</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4482</v>
      </c>
      <c r="C1117" s="1323" t="s">
        <v>4483</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4484</v>
      </c>
      <c r="C1118" s="1323" t="s">
        <v>4485</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4486</v>
      </c>
      <c r="C1119" s="1323" t="s">
        <v>4487</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4488</v>
      </c>
      <c r="C1120" s="1323" t="s">
        <v>4489</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4490</v>
      </c>
      <c r="C1121" s="1323" t="s">
        <v>4491</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4492</v>
      </c>
      <c r="C1122" s="1323" t="s">
        <v>4493</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4494</v>
      </c>
      <c r="C1123" s="1323" t="s">
        <v>4495</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4496</v>
      </c>
      <c r="C1124" s="1323" t="s">
        <v>4452</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4497</v>
      </c>
      <c r="C1125" s="1323" t="s">
        <v>4498</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4499</v>
      </c>
      <c r="C1126" s="1323" t="s">
        <v>4500</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4501</v>
      </c>
      <c r="C1127" s="1323" t="s">
        <v>4502</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4503</v>
      </c>
      <c r="C1128" s="1323" t="s">
        <v>4504</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4505</v>
      </c>
      <c r="C1129" s="1323" t="s">
        <v>4506</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4507</v>
      </c>
      <c r="C1130" s="1323" t="s">
        <v>4508</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4509</v>
      </c>
      <c r="C1131" s="1323" t="s">
        <v>4510</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4511</v>
      </c>
      <c r="C1132" s="1323" t="s">
        <v>4512</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4513</v>
      </c>
      <c r="C1133" s="1323" t="s">
        <v>4514</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4515</v>
      </c>
      <c r="C1134" s="1323" t="s">
        <v>4516</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4517</v>
      </c>
      <c r="C1135" s="1323" t="s">
        <v>4518</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4519</v>
      </c>
      <c r="C1136" s="1323" t="s">
        <v>4520</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4521</v>
      </c>
      <c r="C1137" s="1323" t="s">
        <v>4522</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4523</v>
      </c>
      <c r="C1138" s="1323" t="s">
        <v>4524</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4525</v>
      </c>
      <c r="C1139" s="1323" t="s">
        <v>4526</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4527</v>
      </c>
      <c r="C1140" s="1323" t="s">
        <v>4528</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4529</v>
      </c>
      <c r="C1141" s="1323" t="s">
        <v>4530</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4531</v>
      </c>
      <c r="C1142" s="1323" t="s">
        <v>4532</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4533</v>
      </c>
      <c r="C1143" s="1323" t="s">
        <v>4534</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4535</v>
      </c>
      <c r="C1144" s="1323" t="s">
        <v>4536</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4537</v>
      </c>
      <c r="C1145" s="1323" t="s">
        <v>4538</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4539</v>
      </c>
      <c r="C1146" s="1323" t="s">
        <v>4540</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4541</v>
      </c>
      <c r="C1147" s="1323" t="s">
        <v>4542</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4543</v>
      </c>
      <c r="C1148" s="1323" t="s">
        <v>4544</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4545</v>
      </c>
      <c r="C1149" s="1323" t="s">
        <v>4546</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4547</v>
      </c>
      <c r="C1150" s="1323" t="s">
        <v>4548</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4549</v>
      </c>
      <c r="C1151" s="1323" t="s">
        <v>4550</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4551</v>
      </c>
      <c r="C1152" s="1323" t="s">
        <v>4552</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4553</v>
      </c>
      <c r="C1153" s="1323" t="s">
        <v>4554</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4555</v>
      </c>
      <c r="C1154" s="1323" t="s">
        <v>4556</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4557</v>
      </c>
      <c r="C1155" s="1323" t="s">
        <v>4558</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4559</v>
      </c>
      <c r="C1156" s="1323" t="s">
        <v>4560</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4561</v>
      </c>
      <c r="C1157" s="1323" t="s">
        <v>4562</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4563</v>
      </c>
      <c r="C1158" s="1323" t="s">
        <v>4564</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4565</v>
      </c>
      <c r="C1159" s="1323" t="s">
        <v>4566</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4567</v>
      </c>
      <c r="C1160" s="1323" t="s">
        <v>3557</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4568</v>
      </c>
      <c r="C1161" s="1323" t="s">
        <v>4569</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4570</v>
      </c>
      <c r="C1162" s="1323" t="s">
        <v>4571</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4572</v>
      </c>
      <c r="C1163" s="1323" t="s">
        <v>4573</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4574</v>
      </c>
      <c r="C1164" s="1323" t="s">
        <v>4575</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4576</v>
      </c>
      <c r="C1165" s="1323" t="s">
        <v>4577</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4578</v>
      </c>
      <c r="C1166" s="1323" t="s">
        <v>4579</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4580</v>
      </c>
      <c r="C1167" s="1323" t="s">
        <v>4581</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4582</v>
      </c>
      <c r="C1168" s="1323" t="s">
        <v>4583</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4584</v>
      </c>
      <c r="C1169" s="1323" t="s">
        <v>4585</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4586</v>
      </c>
      <c r="C1170" s="1323" t="s">
        <v>4587</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4588</v>
      </c>
      <c r="C1171" s="1323" t="s">
        <v>4589</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4590</v>
      </c>
      <c r="C1172" s="1323" t="s">
        <v>4591</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4592</v>
      </c>
      <c r="C1173" s="1323" t="s">
        <v>4593</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4594</v>
      </c>
      <c r="C1174" s="1323" t="s">
        <v>4595</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4596</v>
      </c>
      <c r="C1175" s="1323" t="s">
        <v>4597</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4598</v>
      </c>
      <c r="C1176" s="1323" t="s">
        <v>4599</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4600</v>
      </c>
      <c r="C1177" s="1323" t="s">
        <v>4601</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4602</v>
      </c>
      <c r="C1178" s="1323" t="s">
        <v>4603</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4604</v>
      </c>
      <c r="C1179" s="1323" t="s">
        <v>4605</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4606</v>
      </c>
      <c r="C1180" s="1323" t="s">
        <v>4607</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4608</v>
      </c>
      <c r="C1181" s="1323" t="s">
        <v>4609</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4610</v>
      </c>
      <c r="C1182" s="1323" t="s">
        <v>4611</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4612</v>
      </c>
      <c r="C1183" s="1323" t="s">
        <v>4613</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4614</v>
      </c>
      <c r="C1184" s="1323" t="s">
        <v>4615</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4616</v>
      </c>
      <c r="C1185" s="1323" t="s">
        <v>4617</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4618</v>
      </c>
      <c r="C1186" s="1323" t="s">
        <v>4619</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4620</v>
      </c>
      <c r="C1187" s="1323" t="s">
        <v>4621</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4622</v>
      </c>
      <c r="C1188" s="1323" t="s">
        <v>4623</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4624</v>
      </c>
      <c r="C1189" s="1323" t="s">
        <v>4625</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4626</v>
      </c>
      <c r="C1190" s="1323" t="s">
        <v>4627</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4628</v>
      </c>
      <c r="C1191" s="1323" t="s">
        <v>3525</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4629</v>
      </c>
      <c r="C1192" s="1323" t="s">
        <v>4630</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4631</v>
      </c>
      <c r="C1193" s="1323" t="s">
        <v>4632</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4633</v>
      </c>
      <c r="C1194" s="1323" t="s">
        <v>4634</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4635</v>
      </c>
      <c r="C1195" s="1323" t="s">
        <v>4636</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4637</v>
      </c>
      <c r="C1196" s="1323" t="s">
        <v>4638</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4639</v>
      </c>
      <c r="C1197" s="1323" t="s">
        <v>4640</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4641</v>
      </c>
      <c r="C1198" s="1323" t="s">
        <v>4642</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4643</v>
      </c>
      <c r="C1199" s="1323" t="s">
        <v>4644</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4645</v>
      </c>
      <c r="C1200" s="1323" t="s">
        <v>4646</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4647</v>
      </c>
      <c r="C1201" s="1323" t="s">
        <v>4648</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4649</v>
      </c>
      <c r="C1202" s="1323" t="s">
        <v>4650</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4651</v>
      </c>
      <c r="C1203" s="1323" t="s">
        <v>4652</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4653</v>
      </c>
      <c r="C1204" s="1323" t="s">
        <v>4654</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4655</v>
      </c>
      <c r="C1205" s="1323" t="s">
        <v>4656</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4657</v>
      </c>
      <c r="C1206" s="1323" t="s">
        <v>4658</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4659</v>
      </c>
      <c r="C1207" s="1323" t="s">
        <v>4660</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4661</v>
      </c>
      <c r="C1208" s="1323" t="s">
        <v>4662</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4663</v>
      </c>
      <c r="C1209" s="1323" t="s">
        <v>4664</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4665</v>
      </c>
      <c r="C1210" s="1323" t="s">
        <v>4666</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4667</v>
      </c>
      <c r="C1211" s="1323" t="s">
        <v>4668</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4669</v>
      </c>
      <c r="C1212" s="1323" t="s">
        <v>4670</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4671</v>
      </c>
      <c r="C1213" s="1323" t="s">
        <v>4672</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4673</v>
      </c>
      <c r="C1214" s="1323" t="s">
        <v>4674</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4675</v>
      </c>
      <c r="C1215" s="1323" t="s">
        <v>4676</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4677</v>
      </c>
      <c r="C1216" s="1323" t="s">
        <v>4678</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4679</v>
      </c>
      <c r="C1217" s="1323" t="s">
        <v>4680</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4681</v>
      </c>
      <c r="C1218" s="1323" t="s">
        <v>4682</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4683</v>
      </c>
      <c r="C1219" s="1323" t="s">
        <v>4684</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4685</v>
      </c>
      <c r="C1220" s="1323" t="s">
        <v>4686</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4687</v>
      </c>
      <c r="C1221" s="1323" t="s">
        <v>4688</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4689</v>
      </c>
      <c r="C1222" s="1323" t="s">
        <v>4690</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4691</v>
      </c>
      <c r="C1223" s="1323" t="s">
        <v>4692</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4693</v>
      </c>
      <c r="C1224" s="1323" t="s">
        <v>4694</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4695</v>
      </c>
      <c r="C1225" s="1323" t="s">
        <v>4696</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4697</v>
      </c>
      <c r="C1226" s="1323" t="s">
        <v>4698</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4699</v>
      </c>
      <c r="C1227" s="1323" t="s">
        <v>4700</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4701</v>
      </c>
      <c r="C1228" s="1323" t="s">
        <v>4702</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4703</v>
      </c>
      <c r="C1229" s="1323" t="s">
        <v>4704</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4705</v>
      </c>
      <c r="C1230" s="1323" t="s">
        <v>4706</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4707</v>
      </c>
      <c r="C1231" s="1323" t="s">
        <v>4481</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4708</v>
      </c>
      <c r="C1232" s="1323" t="s">
        <v>4709</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4710</v>
      </c>
      <c r="C1233" s="1323" t="s">
        <v>4711</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4712</v>
      </c>
      <c r="C1234" s="1323" t="s">
        <v>4713</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4714</v>
      </c>
      <c r="C1235" s="1323" t="s">
        <v>4715</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4716</v>
      </c>
      <c r="C1236" s="1323" t="s">
        <v>4717</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4718</v>
      </c>
      <c r="C1237" s="1323" t="s">
        <v>4719</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4720</v>
      </c>
      <c r="C1238" s="1323" t="s">
        <v>4721</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4722</v>
      </c>
      <c r="C1239" s="1323" t="s">
        <v>4723</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4724</v>
      </c>
      <c r="C1240" s="1323" t="s">
        <v>4725</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4726</v>
      </c>
      <c r="C1241" s="1323" t="s">
        <v>4727</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4728</v>
      </c>
      <c r="C1242" s="1323" t="s">
        <v>4729</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4730</v>
      </c>
      <c r="C1243" s="1323" t="s">
        <v>4731</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4732</v>
      </c>
      <c r="C1244" s="1323" t="s">
        <v>4733</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4734</v>
      </c>
      <c r="C1245" s="1323" t="s">
        <v>4735</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4736</v>
      </c>
      <c r="C1246" s="1323" t="s">
        <v>4737</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4738</v>
      </c>
      <c r="C1247" s="1323" t="s">
        <v>4739</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4740</v>
      </c>
      <c r="C1248" s="1323" t="s">
        <v>4741</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4742</v>
      </c>
      <c r="C1249" s="1323" t="s">
        <v>4583</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4743</v>
      </c>
      <c r="C1250" s="1323" t="s">
        <v>4744</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4745</v>
      </c>
      <c r="C1251" s="1323" t="s">
        <v>4746</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4747</v>
      </c>
      <c r="C1252" s="1323" t="s">
        <v>4325</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4748</v>
      </c>
      <c r="C1253" s="1323" t="s">
        <v>4749</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4750</v>
      </c>
      <c r="C1254" s="1323" t="s">
        <v>4751</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4752</v>
      </c>
      <c r="C1255" s="1323" t="s">
        <v>4753</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4754</v>
      </c>
      <c r="C1256" s="1323" t="s">
        <v>4755</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4756</v>
      </c>
      <c r="C1257" s="1323" t="s">
        <v>4757</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4758</v>
      </c>
      <c r="C1258" s="1323" t="s">
        <v>4759</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4760</v>
      </c>
      <c r="C1259" s="1323" t="s">
        <v>4761</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4762</v>
      </c>
      <c r="C1260" s="1323" t="s">
        <v>4763</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4764</v>
      </c>
      <c r="C1261" s="1323" t="s">
        <v>4765</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4766</v>
      </c>
      <c r="C1262" s="1323" t="s">
        <v>4767</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4768</v>
      </c>
      <c r="C1263" s="1323" t="s">
        <v>4518</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4769</v>
      </c>
      <c r="C1264" s="1323" t="s">
        <v>4770</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4771</v>
      </c>
      <c r="C1265" s="1323" t="s">
        <v>4772</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4773</v>
      </c>
      <c r="C1266" s="1323" t="s">
        <v>4774</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4775</v>
      </c>
      <c r="C1267" s="1323" t="s">
        <v>4776</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4777</v>
      </c>
      <c r="C1268" s="1323" t="s">
        <v>4778</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4779</v>
      </c>
      <c r="C1269" s="1323" t="s">
        <v>4780</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4781</v>
      </c>
      <c r="C1270" s="1323" t="s">
        <v>4782</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4783</v>
      </c>
      <c r="C1271" s="1323" t="s">
        <v>4784</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4785</v>
      </c>
      <c r="C1272" s="1323" t="s">
        <v>4786</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4787</v>
      </c>
      <c r="C1273" s="1323" t="s">
        <v>4788</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4789</v>
      </c>
      <c r="C1274" s="1323" t="s">
        <v>4790</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4791</v>
      </c>
      <c r="C1275" s="1323" t="s">
        <v>4792</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4793</v>
      </c>
      <c r="C1276" s="1323" t="s">
        <v>4794</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4795</v>
      </c>
      <c r="C1277" s="1323" t="s">
        <v>4796</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4797</v>
      </c>
      <c r="C1278" s="1323" t="s">
        <v>3691</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4798</v>
      </c>
      <c r="C1279" s="1323" t="s">
        <v>4799</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4800</v>
      </c>
      <c r="C1280" s="1323" t="s">
        <v>4801</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4802</v>
      </c>
      <c r="C1281" s="1323" t="s">
        <v>4803</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4804</v>
      </c>
      <c r="C1282" s="1323" t="s">
        <v>4805</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4806</v>
      </c>
      <c r="C1283" s="1323" t="s">
        <v>4546</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4807</v>
      </c>
      <c r="C1284" s="1323" t="s">
        <v>4808</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4809</v>
      </c>
      <c r="C1285" s="1323" t="s">
        <v>4810</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4811</v>
      </c>
      <c r="C1286" s="1323" t="s">
        <v>4812</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4813</v>
      </c>
      <c r="C1287" s="1323" t="s">
        <v>4814</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4815</v>
      </c>
      <c r="C1288" s="1323" t="s">
        <v>4816</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4817</v>
      </c>
      <c r="C1289" s="1323" t="s">
        <v>3577</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4818</v>
      </c>
      <c r="C1290" s="1323" t="s">
        <v>4819</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4820</v>
      </c>
      <c r="C1291" s="1323" t="s">
        <v>4821</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4822</v>
      </c>
      <c r="C1292" s="1323" t="s">
        <v>4823</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4824</v>
      </c>
      <c r="C1293" s="1323" t="s">
        <v>4825</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4826</v>
      </c>
      <c r="C1294" s="1323" t="s">
        <v>4827</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4828</v>
      </c>
      <c r="C1295" s="1323" t="s">
        <v>4829</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4830</v>
      </c>
      <c r="C1296" s="1323" t="s">
        <v>4831</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4832</v>
      </c>
      <c r="C1297" s="1323" t="s">
        <v>4833</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4834</v>
      </c>
      <c r="C1298" s="1323" t="s">
        <v>4835</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4836</v>
      </c>
      <c r="C1299" s="1323" t="s">
        <v>4837</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4838</v>
      </c>
      <c r="C1300" s="1323" t="s">
        <v>4839</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4840</v>
      </c>
      <c r="C1301" s="1323" t="s">
        <v>4841</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4842</v>
      </c>
      <c r="C1302" s="1323" t="s">
        <v>4843</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4844</v>
      </c>
      <c r="C1303" s="1323" t="s">
        <v>4845</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4846</v>
      </c>
      <c r="C1304" s="1323" t="s">
        <v>4847</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4848</v>
      </c>
      <c r="C1305" s="1323" t="s">
        <v>4849</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4850</v>
      </c>
      <c r="C1306" s="1323" t="s">
        <v>4851</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4852</v>
      </c>
      <c r="C1307" s="1323" t="s">
        <v>4853</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4854</v>
      </c>
      <c r="C1308" s="1323" t="s">
        <v>4855</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4856</v>
      </c>
      <c r="C1309" s="1323" t="s">
        <v>4857</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4858</v>
      </c>
      <c r="C1310" s="1323" t="s">
        <v>4859</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4860</v>
      </c>
      <c r="C1311" s="1323" t="s">
        <v>4861</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4862</v>
      </c>
      <c r="C1312" s="1323" t="s">
        <v>4863</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4864</v>
      </c>
      <c r="C1313" s="1323" t="s">
        <v>4865</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4866</v>
      </c>
      <c r="C1314" s="1323" t="s">
        <v>4867</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4868</v>
      </c>
      <c r="C1315" s="1323" t="s">
        <v>3635</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4869</v>
      </c>
      <c r="C1316" s="1323" t="s">
        <v>4870</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4871</v>
      </c>
      <c r="C1317" s="1323" t="s">
        <v>4872</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4873</v>
      </c>
      <c r="C1318" s="1323" t="s">
        <v>4853</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4874</v>
      </c>
      <c r="C1319" s="1323" t="s">
        <v>4875</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4876</v>
      </c>
      <c r="C1320" s="1323" t="s">
        <v>4877</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4878</v>
      </c>
      <c r="C1321" s="1323" t="s">
        <v>4879</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4880</v>
      </c>
      <c r="C1322" s="1323" t="s">
        <v>4881</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4882</v>
      </c>
      <c r="C1323" s="1323" t="s">
        <v>4883</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4884</v>
      </c>
      <c r="C1324" s="1323" t="s">
        <v>4885</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4886</v>
      </c>
      <c r="C1325" s="1323" t="s">
        <v>4887</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4888</v>
      </c>
      <c r="C1326" s="1323" t="s">
        <v>4889</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4890</v>
      </c>
      <c r="C1327" s="1323" t="s">
        <v>4891</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4892</v>
      </c>
      <c r="C1328" s="1323" t="s">
        <v>4893</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4894</v>
      </c>
      <c r="C1329" s="1323" t="s">
        <v>4895</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4896</v>
      </c>
      <c r="C1330" s="1323" t="s">
        <v>4897</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4898</v>
      </c>
      <c r="C1331" s="1323" t="s">
        <v>4899</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4900</v>
      </c>
      <c r="C1332" s="1323" t="s">
        <v>4901</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4902</v>
      </c>
      <c r="C1333" s="1323" t="s">
        <v>3176</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4903</v>
      </c>
      <c r="C1334" s="1323" t="s">
        <v>4904</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4905</v>
      </c>
      <c r="C1335" s="1323" t="s">
        <v>4906</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4907</v>
      </c>
      <c r="C1336" s="1323" t="s">
        <v>4908</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4909</v>
      </c>
      <c r="C1337" s="1323" t="s">
        <v>4910</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4911</v>
      </c>
      <c r="C1338" s="1323" t="s">
        <v>4912</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4913</v>
      </c>
      <c r="C1339" s="1323" t="s">
        <v>4914</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4915</v>
      </c>
      <c r="C1340" s="1323" t="s">
        <v>4916</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4917</v>
      </c>
      <c r="C1341" s="1323" t="s">
        <v>4918</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4919</v>
      </c>
      <c r="C1342" s="1323" t="s">
        <v>4920</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4921</v>
      </c>
      <c r="C1343" s="1323" t="s">
        <v>4922</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4923</v>
      </c>
      <c r="C1344" s="1323" t="s">
        <v>4924</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4925</v>
      </c>
      <c r="C1345" s="1323" t="s">
        <v>4926</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4927</v>
      </c>
      <c r="C1346" s="1323" t="s">
        <v>4928</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4929</v>
      </c>
      <c r="C1347" s="1323" t="s">
        <v>4930</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4931</v>
      </c>
      <c r="C1348" s="1323" t="s">
        <v>4932</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4933</v>
      </c>
      <c r="C1349" s="1323" t="s">
        <v>4934</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4935</v>
      </c>
      <c r="C1350" s="1323" t="s">
        <v>4936</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4937</v>
      </c>
      <c r="C1351" s="1323" t="s">
        <v>4938</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4939</v>
      </c>
      <c r="C1352" s="1323" t="s">
        <v>4940</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4941</v>
      </c>
      <c r="C1353" s="1323" t="s">
        <v>4942</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4943</v>
      </c>
      <c r="C1354" s="1323" t="s">
        <v>4944</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4945</v>
      </c>
      <c r="C1355" s="1323" t="s">
        <v>4946</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4947</v>
      </c>
      <c r="C1356" s="1323" t="s">
        <v>4948</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4949</v>
      </c>
      <c r="C1357" s="1323" t="s">
        <v>4950</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4951</v>
      </c>
      <c r="C1358" s="1323" t="s">
        <v>4952</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4953</v>
      </c>
      <c r="C1359" s="1323" t="s">
        <v>4954</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4955</v>
      </c>
      <c r="C1360" s="1323" t="s">
        <v>4956</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4957</v>
      </c>
      <c r="C1361" s="1323" t="s">
        <v>4958</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4959</v>
      </c>
      <c r="C1362" s="1323" t="s">
        <v>4960</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4961</v>
      </c>
      <c r="C1363" s="1323" t="s">
        <v>4962</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4963</v>
      </c>
      <c r="C1364" s="1323" t="s">
        <v>4964</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4965</v>
      </c>
      <c r="C1365" s="1323" t="s">
        <v>4966</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4967</v>
      </c>
      <c r="C1366" s="1323" t="s">
        <v>2706</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4968</v>
      </c>
      <c r="C1367" s="1323" t="s">
        <v>4969</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4970</v>
      </c>
      <c r="C1368" s="1323" t="s">
        <v>4971</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4972</v>
      </c>
      <c r="C1369" s="1323" t="s">
        <v>4973</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4974</v>
      </c>
      <c r="C1370" s="1323" t="s">
        <v>4975</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4976</v>
      </c>
      <c r="C1371" s="1323" t="s">
        <v>2800</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4977</v>
      </c>
      <c r="C1372" s="1323" t="s">
        <v>4978</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4979</v>
      </c>
      <c r="C1373" s="1323" t="s">
        <v>4980</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4981</v>
      </c>
      <c r="C1374" s="1323" t="s">
        <v>4982</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4983</v>
      </c>
      <c r="C1375" s="1323" t="s">
        <v>4984</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4985</v>
      </c>
      <c r="C1376" s="1323" t="s">
        <v>4986</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4987</v>
      </c>
      <c r="C1377" s="1323" t="s">
        <v>4988</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4989</v>
      </c>
      <c r="C1378" s="1323" t="s">
        <v>4990</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4991</v>
      </c>
      <c r="C1379" s="1323" t="s">
        <v>4992</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4993</v>
      </c>
      <c r="C1380" s="1323" t="s">
        <v>2639</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4994</v>
      </c>
      <c r="C1381" s="1323" t="s">
        <v>4995</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4996</v>
      </c>
      <c r="C1382" s="1323" t="s">
        <v>4997</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4998</v>
      </c>
      <c r="C1383" s="1323" t="s">
        <v>4999</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5000</v>
      </c>
      <c r="C1384" s="1323" t="s">
        <v>5001</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5002</v>
      </c>
      <c r="C1385" s="1323" t="s">
        <v>5003</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5004</v>
      </c>
      <c r="C1386" s="1323" t="s">
        <v>5005</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5006</v>
      </c>
      <c r="C1387" s="1323" t="s">
        <v>5007</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5008</v>
      </c>
      <c r="C1388" s="1323" t="s">
        <v>5009</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5010</v>
      </c>
      <c r="C1389" s="1323" t="s">
        <v>5011</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5012</v>
      </c>
      <c r="C1390" s="1323" t="s">
        <v>5013</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5014</v>
      </c>
      <c r="C1391" s="1323" t="s">
        <v>5015</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5016</v>
      </c>
      <c r="C1392" s="1323" t="s">
        <v>5017</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5018</v>
      </c>
      <c r="C1393" s="1323" t="s">
        <v>5019</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5020</v>
      </c>
      <c r="C1394" s="1323" t="s">
        <v>5021</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5022</v>
      </c>
      <c r="C1395" s="1323" t="s">
        <v>5023</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5024</v>
      </c>
      <c r="C1396" s="1323" t="s">
        <v>5025</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5026</v>
      </c>
      <c r="C1397" s="1323" t="s">
        <v>5027</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5028</v>
      </c>
      <c r="C1398" s="1323" t="s">
        <v>5029</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5030</v>
      </c>
      <c r="C1399" s="1323" t="s">
        <v>5031</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5032</v>
      </c>
      <c r="C1400" s="1323" t="s">
        <v>5033</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5034</v>
      </c>
      <c r="C1401" s="1323" t="s">
        <v>5035</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5036</v>
      </c>
      <c r="C1402" s="1323" t="s">
        <v>5037</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5038</v>
      </c>
      <c r="C1403" s="1323" t="s">
        <v>5039</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5040</v>
      </c>
      <c r="C1404" s="1323" t="s">
        <v>5041</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5042</v>
      </c>
      <c r="C1405" s="1323" t="s">
        <v>5043</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5044</v>
      </c>
      <c r="C1406" s="1323" t="s">
        <v>5045</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5046</v>
      </c>
      <c r="C1407" s="1323" t="s">
        <v>5047</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5048</v>
      </c>
      <c r="C1408" s="1323" t="s">
        <v>5049</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5050</v>
      </c>
      <c r="C1409" s="1323" t="s">
        <v>5051</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5052</v>
      </c>
      <c r="C1410" s="1323" t="s">
        <v>5053</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5054</v>
      </c>
      <c r="C1411" s="1323" t="s">
        <v>5055</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5056</v>
      </c>
      <c r="C1412" s="1323" t="s">
        <v>5057</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5058</v>
      </c>
      <c r="C1413" s="1323" t="s">
        <v>5059</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5060</v>
      </c>
      <c r="C1414" s="1323" t="s">
        <v>5061</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5062</v>
      </c>
      <c r="C1415" s="1323" t="s">
        <v>5063</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5064</v>
      </c>
      <c r="C1416" s="1323" t="s">
        <v>5065</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5066</v>
      </c>
      <c r="C1417" s="1323" t="s">
        <v>5067</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5068</v>
      </c>
      <c r="C1418" s="1323" t="s">
        <v>5069</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5070</v>
      </c>
      <c r="C1419" s="1323" t="s">
        <v>5071</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5072</v>
      </c>
      <c r="C1420" s="1323" t="s">
        <v>5073</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5074</v>
      </c>
      <c r="C1421" s="1323" t="s">
        <v>5075</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5076</v>
      </c>
      <c r="C1422" s="1323" t="s">
        <v>5077</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5078</v>
      </c>
      <c r="C1423" s="1323" t="s">
        <v>5079</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5080</v>
      </c>
      <c r="C1424" s="1323" t="s">
        <v>5081</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5082</v>
      </c>
      <c r="C1425" s="1323" t="s">
        <v>5083</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5084</v>
      </c>
      <c r="C1426" s="1323" t="s">
        <v>5085</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5086</v>
      </c>
      <c r="C1427" s="1323" t="s">
        <v>5087</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5088</v>
      </c>
      <c r="C1428" s="1323" t="s">
        <v>5089</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5090</v>
      </c>
      <c r="C1429" s="1323" t="s">
        <v>5091</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5092</v>
      </c>
      <c r="C1430" s="1323" t="s">
        <v>5093</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5094</v>
      </c>
      <c r="C1431" s="1323" t="s">
        <v>5095</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5096</v>
      </c>
      <c r="C1432" s="1323" t="s">
        <v>5097</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5098</v>
      </c>
      <c r="C1433" s="1323" t="s">
        <v>5099</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5100</v>
      </c>
      <c r="C1434" s="1323" t="s">
        <v>5101</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5102</v>
      </c>
      <c r="C1435" s="1323" t="s">
        <v>5103</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5104</v>
      </c>
      <c r="C1436" s="1323" t="s">
        <v>5105</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5106</v>
      </c>
      <c r="C1437" s="1323" t="s">
        <v>5107</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5108</v>
      </c>
      <c r="C1438" s="1323" t="s">
        <v>5109</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5110</v>
      </c>
      <c r="C1439" s="1323" t="s">
        <v>5111</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5112</v>
      </c>
      <c r="C1440" s="1323" t="s">
        <v>5113</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5114</v>
      </c>
      <c r="C1441" s="1323" t="s">
        <v>5115</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5116</v>
      </c>
      <c r="C1442" s="1323" t="s">
        <v>5117</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5118</v>
      </c>
      <c r="C1443" s="1323" t="s">
        <v>5119</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5120</v>
      </c>
      <c r="C1444" s="1323" t="s">
        <v>5121</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5122</v>
      </c>
      <c r="C1445" s="1323" t="s">
        <v>5123</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5124</v>
      </c>
      <c r="C1446" s="1323" t="s">
        <v>5125</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5126</v>
      </c>
      <c r="C1447" s="1323" t="s">
        <v>5127</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5128</v>
      </c>
      <c r="C1448" s="1323" t="s">
        <v>5129</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5130</v>
      </c>
      <c r="C1449" s="1323" t="s">
        <v>5131</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5132</v>
      </c>
      <c r="C1450" s="1323" t="s">
        <v>5133</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5134</v>
      </c>
      <c r="C1451" s="1323" t="s">
        <v>5135</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5136</v>
      </c>
      <c r="C1452" s="1323" t="s">
        <v>5137</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5138</v>
      </c>
      <c r="C1453" s="1323" t="s">
        <v>5139</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5140</v>
      </c>
      <c r="C1454" s="1323" t="s">
        <v>5141</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5142</v>
      </c>
      <c r="C1455" s="1323" t="s">
        <v>5143</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5144</v>
      </c>
      <c r="C1456" s="1323" t="s">
        <v>5145</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5146</v>
      </c>
      <c r="C1457" s="1323" t="s">
        <v>5147</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5148</v>
      </c>
      <c r="C1458" s="1323" t="s">
        <v>5149</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5150</v>
      </c>
      <c r="C1459" s="1323" t="s">
        <v>5151</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5152</v>
      </c>
      <c r="C1460" s="1323" t="s">
        <v>2854</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5153</v>
      </c>
      <c r="C1461" s="1323" t="s">
        <v>5154</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5155</v>
      </c>
      <c r="C1462" s="1323" t="s">
        <v>5156</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5157</v>
      </c>
      <c r="C1463" s="1323" t="s">
        <v>5158</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5159</v>
      </c>
      <c r="C1464" s="1323" t="s">
        <v>5160</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5161</v>
      </c>
      <c r="C1465" s="1323" t="s">
        <v>5162</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5163</v>
      </c>
      <c r="C1466" s="1323" t="s">
        <v>5164</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5165</v>
      </c>
      <c r="C1467" s="1323" t="s">
        <v>5166</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5167</v>
      </c>
      <c r="C1468" s="1323" t="s">
        <v>5168</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5169</v>
      </c>
      <c r="C1469" s="1323" t="s">
        <v>5170</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5171</v>
      </c>
      <c r="C1470" s="1323" t="s">
        <v>5172</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5173</v>
      </c>
      <c r="C1471" s="1323" t="s">
        <v>5174</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5175</v>
      </c>
      <c r="C1472" s="1323" t="s">
        <v>5176</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5177</v>
      </c>
      <c r="C1473" s="1323" t="s">
        <v>5178</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5179</v>
      </c>
      <c r="C1474" s="1323" t="s">
        <v>5180</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5181</v>
      </c>
      <c r="C1475" s="1323" t="s">
        <v>5182</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5183</v>
      </c>
      <c r="C1476" s="1323" t="s">
        <v>5184</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5185</v>
      </c>
      <c r="C1477" s="1323" t="s">
        <v>5186</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5187</v>
      </c>
      <c r="C1478" s="1323" t="s">
        <v>5188</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5189</v>
      </c>
      <c r="C1479" s="1323" t="s">
        <v>5190</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5191</v>
      </c>
      <c r="C1480" s="1323" t="s">
        <v>5192</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5193</v>
      </c>
      <c r="C1481" s="1323" t="s">
        <v>5194</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5195</v>
      </c>
      <c r="C1482" s="1323" t="s">
        <v>5196</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5197</v>
      </c>
      <c r="C1483" s="1323" t="s">
        <v>5198</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5199</v>
      </c>
      <c r="C1484" s="1323" t="s">
        <v>5200</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5201</v>
      </c>
      <c r="C1485" s="1323" t="s">
        <v>3653</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5202</v>
      </c>
      <c r="C1486" s="1323" t="s">
        <v>5203</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5204</v>
      </c>
      <c r="C1487" s="1323" t="s">
        <v>5205</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5206</v>
      </c>
      <c r="C1488" s="1323" t="s">
        <v>5207</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5208</v>
      </c>
      <c r="C1489" s="1323" t="s">
        <v>5209</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5210</v>
      </c>
      <c r="C1490" s="1323" t="s">
        <v>5211</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5212</v>
      </c>
      <c r="C1491" s="1323" t="s">
        <v>5213</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5214</v>
      </c>
      <c r="C1492" s="1323" t="s">
        <v>5215</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5216</v>
      </c>
      <c r="C1493" s="1323" t="s">
        <v>5217</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5218</v>
      </c>
      <c r="C1494" s="1323" t="s">
        <v>5219</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5220</v>
      </c>
      <c r="C1495" s="1323" t="s">
        <v>5221</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5222</v>
      </c>
      <c r="C1496" s="1323" t="s">
        <v>5223</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5224</v>
      </c>
      <c r="C1497" s="1323" t="s">
        <v>5225</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5226</v>
      </c>
      <c r="C1498" s="1323" t="s">
        <v>5227</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5228</v>
      </c>
      <c r="C1499" s="1323" t="s">
        <v>5229</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5230</v>
      </c>
      <c r="C1500" s="1323" t="s">
        <v>5231</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5232</v>
      </c>
      <c r="C1501" s="1323" t="s">
        <v>5233</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5234</v>
      </c>
      <c r="C1502" s="1323" t="s">
        <v>5235</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5236</v>
      </c>
      <c r="C1503" s="1323" t="s">
        <v>5237</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5238</v>
      </c>
      <c r="C1504" s="1323" t="s">
        <v>5239</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5240</v>
      </c>
      <c r="C1505" s="1323" t="s">
        <v>5241</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5242</v>
      </c>
      <c r="C1506" s="1323" t="s">
        <v>5243</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5244</v>
      </c>
      <c r="C1507" s="1323" t="s">
        <v>5245</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5246</v>
      </c>
      <c r="C1508" s="1323" t="s">
        <v>4609</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5247</v>
      </c>
      <c r="C1509" s="1323" t="s">
        <v>5248</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5249</v>
      </c>
      <c r="C1510" s="1323" t="s">
        <v>5250</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5251</v>
      </c>
      <c r="C1511" s="1323" t="s">
        <v>5252</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5253</v>
      </c>
      <c r="C1512" s="1323" t="s">
        <v>5254</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5255</v>
      </c>
      <c r="C1513" s="1323" t="s">
        <v>5256</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5257</v>
      </c>
      <c r="C1514" s="1323" t="s">
        <v>5258</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5259</v>
      </c>
      <c r="C1515" s="1323" t="s">
        <v>5260</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5261</v>
      </c>
      <c r="C1516" s="1323" t="s">
        <v>5262</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5263</v>
      </c>
      <c r="C1517" s="1323" t="s">
        <v>5264</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5265</v>
      </c>
      <c r="C1518" s="1323" t="s">
        <v>5266</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5267</v>
      </c>
      <c r="C1519" s="1323" t="s">
        <v>5268</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5269</v>
      </c>
      <c r="C1520" s="1323" t="s">
        <v>5270</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5271</v>
      </c>
      <c r="C1521" s="1323" t="s">
        <v>5272</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5273</v>
      </c>
      <c r="C1522" s="1323" t="s">
        <v>5274</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5275</v>
      </c>
      <c r="C1523" s="1323" t="s">
        <v>5276</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5277</v>
      </c>
      <c r="C1524" s="1323" t="s">
        <v>5278</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5279</v>
      </c>
      <c r="C1525" s="1323" t="s">
        <v>5280</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5281</v>
      </c>
      <c r="C1526" s="1323" t="s">
        <v>3757</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5282</v>
      </c>
      <c r="C1527" s="1323" t="s">
        <v>5283</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5284</v>
      </c>
      <c r="C1528" s="1323" t="s">
        <v>5285</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5286</v>
      </c>
      <c r="C1529" s="1323" t="s">
        <v>5287</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5288</v>
      </c>
      <c r="C1530" s="1323" t="s">
        <v>5289</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5290</v>
      </c>
      <c r="C1531" s="1323" t="s">
        <v>5291</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5292</v>
      </c>
      <c r="C1532" s="1323" t="s">
        <v>5293</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5294</v>
      </c>
      <c r="C1533" s="1323" t="s">
        <v>5295</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5296</v>
      </c>
      <c r="C1534" s="1323" t="s">
        <v>5297</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5298</v>
      </c>
      <c r="C1535" s="1323" t="s">
        <v>5299</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5300</v>
      </c>
      <c r="C1536" s="1323" t="s">
        <v>5301</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5302</v>
      </c>
      <c r="C1537" s="1323" t="s">
        <v>5303</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5304</v>
      </c>
      <c r="C1538" s="1323" t="s">
        <v>5305</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5306</v>
      </c>
      <c r="C1539" s="1323" t="s">
        <v>5307</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5308</v>
      </c>
      <c r="C1540" s="1323" t="s">
        <v>3509</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5309</v>
      </c>
      <c r="C1541" s="1323" t="s">
        <v>5310</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5311</v>
      </c>
      <c r="C1542" s="1323" t="s">
        <v>5312</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5313</v>
      </c>
      <c r="C1543" s="1323" t="s">
        <v>5314</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5315</v>
      </c>
      <c r="C1544" s="1323" t="s">
        <v>5316</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5317</v>
      </c>
      <c r="C1545" s="1323" t="s">
        <v>5318</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5319</v>
      </c>
      <c r="C1546" s="1323" t="s">
        <v>5320</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5321</v>
      </c>
      <c r="C1547" s="1323" t="s">
        <v>5322</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5323</v>
      </c>
      <c r="C1548" s="1323" t="s">
        <v>5324</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5325</v>
      </c>
      <c r="C1549" s="1323" t="s">
        <v>5324</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5326</v>
      </c>
      <c r="C1550" s="1323" t="s">
        <v>5327</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5328</v>
      </c>
      <c r="C1551" s="1323" t="s">
        <v>5329</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5330</v>
      </c>
      <c r="C1552" s="1323" t="s">
        <v>5331</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5332</v>
      </c>
      <c r="C1553" s="1323" t="s">
        <v>5333</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5334</v>
      </c>
      <c r="C1554" s="1323" t="s">
        <v>5335</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5336</v>
      </c>
      <c r="C1555" s="1323" t="s">
        <v>5337</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5338</v>
      </c>
      <c r="C1556" s="1323" t="s">
        <v>5339</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5340</v>
      </c>
      <c r="C1557" s="1323" t="s">
        <v>5341</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5342</v>
      </c>
      <c r="C1558" s="1323" t="s">
        <v>5343</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5344</v>
      </c>
      <c r="C1559" s="1323" t="s">
        <v>5345</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5346</v>
      </c>
      <c r="C1560" s="1323" t="s">
        <v>5347</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5348</v>
      </c>
      <c r="C1561" s="1323" t="s">
        <v>5349</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5350</v>
      </c>
      <c r="C1562" s="1323" t="s">
        <v>5351</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5352</v>
      </c>
      <c r="C1563" s="1323" t="s">
        <v>5353</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5354</v>
      </c>
      <c r="C1564" s="1323" t="s">
        <v>5355</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5356</v>
      </c>
      <c r="C1565" s="1323" t="s">
        <v>5357</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5358</v>
      </c>
      <c r="C1566" s="1323" t="s">
        <v>5359</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5360</v>
      </c>
      <c r="C1567" s="1323" t="s">
        <v>5361</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5362</v>
      </c>
      <c r="C1568" s="1323" t="s">
        <v>5363</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5364</v>
      </c>
      <c r="C1569" s="1323" t="s">
        <v>5365</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5366</v>
      </c>
      <c r="C1570" s="1323" t="s">
        <v>5367</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5368</v>
      </c>
      <c r="C1571" s="1323" t="s">
        <v>5369</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5370</v>
      </c>
      <c r="C1572" s="1323" t="s">
        <v>5371</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5372</v>
      </c>
      <c r="C1573" s="1323" t="s">
        <v>5373</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5374</v>
      </c>
      <c r="C1574" s="1323" t="s">
        <v>5375</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5376</v>
      </c>
      <c r="C1575" s="1323" t="s">
        <v>5377</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5378</v>
      </c>
      <c r="C1576" s="1323" t="s">
        <v>5379</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5380</v>
      </c>
      <c r="C1577" s="1323" t="s">
        <v>5381</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5382</v>
      </c>
      <c r="C1578" s="1323" t="s">
        <v>5383</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5384</v>
      </c>
      <c r="C1579" s="1323" t="s">
        <v>5250</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5385</v>
      </c>
      <c r="C1580" s="1323" t="s">
        <v>5386</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5387</v>
      </c>
      <c r="C1581" s="1323" t="s">
        <v>5388</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5389</v>
      </c>
      <c r="C1582" s="1323" t="s">
        <v>5390</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5391</v>
      </c>
      <c r="C1583" s="1323" t="s">
        <v>5392</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5393</v>
      </c>
      <c r="C1584" s="1323" t="s">
        <v>5394</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5395</v>
      </c>
      <c r="C1585" s="1323" t="s">
        <v>5396</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5397</v>
      </c>
      <c r="C1586" s="1323" t="s">
        <v>5398</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5399</v>
      </c>
      <c r="C1587" s="1323" t="s">
        <v>5258</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5400</v>
      </c>
      <c r="C1588" s="1323" t="s">
        <v>5401</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5402</v>
      </c>
      <c r="C1589" s="1323" t="s">
        <v>5403</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5404</v>
      </c>
      <c r="C1590" s="1323" t="s">
        <v>5405</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5406</v>
      </c>
      <c r="C1591" s="1323" t="s">
        <v>5407</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5408</v>
      </c>
      <c r="C1592" s="1323" t="s">
        <v>5409</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5410</v>
      </c>
      <c r="C1593" s="1323" t="s">
        <v>5411</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5412</v>
      </c>
      <c r="C1594" s="1323" t="s">
        <v>5413</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5414</v>
      </c>
      <c r="C1595" s="1323" t="s">
        <v>5415</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5416</v>
      </c>
      <c r="C1596" s="1323" t="s">
        <v>5417</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5418</v>
      </c>
      <c r="C1597" s="1323" t="s">
        <v>5419</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5420</v>
      </c>
      <c r="C1598" s="1323" t="s">
        <v>5421</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5422</v>
      </c>
      <c r="C1599" s="1323" t="s">
        <v>5423</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5424</v>
      </c>
      <c r="C1600" s="1323" t="s">
        <v>5425</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5426</v>
      </c>
      <c r="C1601" s="1323" t="s">
        <v>5427</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5428</v>
      </c>
      <c r="C1602" s="1323" t="s">
        <v>5429</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5430</v>
      </c>
      <c r="C1603" s="1323" t="s">
        <v>5431</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5432</v>
      </c>
      <c r="C1604" s="1323" t="s">
        <v>5433</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5434</v>
      </c>
      <c r="C1605" s="1323" t="s">
        <v>5435</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5436</v>
      </c>
      <c r="C1606" s="1323" t="s">
        <v>5437</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5438</v>
      </c>
      <c r="C1607" s="1323" t="s">
        <v>5439</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5440</v>
      </c>
      <c r="C1608" s="1323" t="s">
        <v>5441</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5442</v>
      </c>
      <c r="C1609" s="1323" t="s">
        <v>5443</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5444</v>
      </c>
      <c r="C1610" s="1323" t="s">
        <v>5445</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5446</v>
      </c>
      <c r="C1611" s="1323" t="s">
        <v>5447</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5448</v>
      </c>
      <c r="C1612" s="1323" t="s">
        <v>5449</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5450</v>
      </c>
      <c r="C1613" s="1323" t="s">
        <v>5451</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5452</v>
      </c>
      <c r="C1614" s="1323" t="s">
        <v>5453</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5454</v>
      </c>
      <c r="C1615" s="1323" t="s">
        <v>5455</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5456</v>
      </c>
      <c r="C1616" s="1323" t="s">
        <v>5457</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5458</v>
      </c>
      <c r="C1617" s="1323" t="s">
        <v>5459</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5460</v>
      </c>
      <c r="C1618" s="1323" t="s">
        <v>5461</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5462</v>
      </c>
      <c r="C1619" s="1323" t="s">
        <v>5463</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5464</v>
      </c>
      <c r="C1620" s="1323" t="s">
        <v>5465</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5466</v>
      </c>
      <c r="C1621" s="1323" t="s">
        <v>5467</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5468</v>
      </c>
      <c r="C1622" s="1323" t="s">
        <v>5469</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5470</v>
      </c>
      <c r="C1623" s="1323" t="s">
        <v>5471</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5472</v>
      </c>
      <c r="C1624" s="1323" t="s">
        <v>5473</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5474</v>
      </c>
      <c r="C1625" s="1323" t="s">
        <v>5475</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5476</v>
      </c>
      <c r="C1626" s="1323" t="s">
        <v>5477</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5478</v>
      </c>
      <c r="C1627" s="1323" t="s">
        <v>5479</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5480</v>
      </c>
      <c r="C1628" s="1323" t="s">
        <v>5481</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5482</v>
      </c>
      <c r="C1629" s="1323" t="s">
        <v>5483</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5484</v>
      </c>
      <c r="C1630" s="1323" t="s">
        <v>5485</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5486</v>
      </c>
      <c r="C1631" s="1323" t="s">
        <v>5487</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5488</v>
      </c>
      <c r="C1632" s="1323" t="s">
        <v>5489</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5490</v>
      </c>
      <c r="C1633" s="1323" t="s">
        <v>5491</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5492</v>
      </c>
      <c r="C1634" s="1323" t="s">
        <v>5493</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5494</v>
      </c>
      <c r="C1635" s="1323" t="s">
        <v>5495</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5496</v>
      </c>
      <c r="C1636" s="1323" t="s">
        <v>5497</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5498</v>
      </c>
      <c r="C1637" s="1323" t="s">
        <v>5499</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5500</v>
      </c>
      <c r="C1638" s="1323" t="s">
        <v>5501</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5502</v>
      </c>
      <c r="C1639" s="1323" t="s">
        <v>5503</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5504</v>
      </c>
      <c r="C1640" s="1323" t="s">
        <v>4801</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5505</v>
      </c>
      <c r="C1641" s="1323" t="s">
        <v>5506</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5507</v>
      </c>
      <c r="C1642" s="1323" t="s">
        <v>5508</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5509</v>
      </c>
      <c r="C1643" s="1323" t="s">
        <v>5510</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5511</v>
      </c>
      <c r="C1644" s="1323" t="s">
        <v>4564</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5512</v>
      </c>
      <c r="C1645" s="1323" t="s">
        <v>5513</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5514</v>
      </c>
      <c r="C1646" s="1323" t="s">
        <v>5515</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5516</v>
      </c>
      <c r="C1647" s="1323" t="s">
        <v>3695</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5517</v>
      </c>
      <c r="C1648" s="1323" t="s">
        <v>5518</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5519</v>
      </c>
      <c r="C1649" s="1323" t="s">
        <v>5520</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5521</v>
      </c>
      <c r="C1650" s="1323" t="s">
        <v>5522</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5523</v>
      </c>
      <c r="C1651" s="1323" t="s">
        <v>5524</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5525</v>
      </c>
      <c r="C1652" s="1323" t="s">
        <v>5526</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5527</v>
      </c>
      <c r="C1653" s="1323" t="s">
        <v>5528</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5529</v>
      </c>
      <c r="C1654" s="1323" t="s">
        <v>5526</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5530</v>
      </c>
      <c r="C1655" s="1323" t="s">
        <v>5531</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5532</v>
      </c>
      <c r="C1656" s="1323" t="s">
        <v>5533</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5534</v>
      </c>
      <c r="C1657" s="1323" t="s">
        <v>5535</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5536</v>
      </c>
      <c r="C1658" s="1323" t="s">
        <v>5537</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5538</v>
      </c>
      <c r="C1659" s="1323" t="s">
        <v>5539</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5540</v>
      </c>
      <c r="C1660" s="1323" t="s">
        <v>5541</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5542</v>
      </c>
      <c r="C1661" s="1323" t="s">
        <v>5543</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5544</v>
      </c>
      <c r="C1662" s="1323" t="s">
        <v>5545</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5546</v>
      </c>
      <c r="C1663" s="1323" t="s">
        <v>5547</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5548</v>
      </c>
      <c r="C1664" s="1323" t="s">
        <v>5549</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5550</v>
      </c>
      <c r="C1665" s="1323" t="s">
        <v>5551</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5552</v>
      </c>
      <c r="C1666" s="1323" t="s">
        <v>5553</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5554</v>
      </c>
      <c r="C1667" s="1323" t="s">
        <v>5555</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5556</v>
      </c>
      <c r="C1668" s="1323" t="s">
        <v>3863</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5557</v>
      </c>
      <c r="C1669" s="1323" t="s">
        <v>5558</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5559</v>
      </c>
      <c r="C1670" s="1323" t="s">
        <v>5560</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5561</v>
      </c>
      <c r="C1671" s="1323" t="s">
        <v>5562</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5563</v>
      </c>
      <c r="C1672" s="1323" t="s">
        <v>5564</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5565</v>
      </c>
      <c r="C1673" s="1323" t="s">
        <v>5566</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5567</v>
      </c>
      <c r="C1674" s="1323" t="s">
        <v>5568</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5569</v>
      </c>
      <c r="C1675" s="1323" t="s">
        <v>5570</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5571</v>
      </c>
      <c r="C1676" s="1323" t="s">
        <v>5572</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5573</v>
      </c>
      <c r="C1677" s="1323" t="s">
        <v>5574</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5575</v>
      </c>
      <c r="C1678" s="1323" t="s">
        <v>5576</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5577</v>
      </c>
      <c r="C1679" s="1323" t="s">
        <v>5578</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5579</v>
      </c>
      <c r="C1680" s="1323" t="s">
        <v>3775</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5580</v>
      </c>
      <c r="C1681" s="1323" t="s">
        <v>5581</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5582</v>
      </c>
      <c r="C1682" s="1323" t="s">
        <v>5583</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5584</v>
      </c>
      <c r="C1683" s="1323" t="s">
        <v>4128</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5585</v>
      </c>
      <c r="C1684" s="1323" t="s">
        <v>5586</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5587</v>
      </c>
      <c r="C1685" s="1323" t="s">
        <v>5588</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5589</v>
      </c>
      <c r="C1686" s="1323" t="s">
        <v>5590</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5591</v>
      </c>
      <c r="C1687" s="1323" t="s">
        <v>5592</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5593</v>
      </c>
      <c r="C1688" s="1323" t="s">
        <v>5594</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5595</v>
      </c>
      <c r="C1689" s="1323" t="s">
        <v>5596</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5597</v>
      </c>
      <c r="C1690" s="1323" t="s">
        <v>5598</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5599</v>
      </c>
      <c r="C1691" s="1323" t="s">
        <v>5600</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5601</v>
      </c>
      <c r="C1692" s="1323" t="s">
        <v>5602</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5603</v>
      </c>
      <c r="C1693" s="1323" t="s">
        <v>5604</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5605</v>
      </c>
      <c r="C1694" s="1323" t="s">
        <v>5606</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5607</v>
      </c>
      <c r="C1695" s="1323" t="s">
        <v>5608</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5609</v>
      </c>
      <c r="C1696" s="1323" t="s">
        <v>5610</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5611</v>
      </c>
      <c r="C1697" s="1323" t="s">
        <v>5612</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5613</v>
      </c>
      <c r="C1698" s="1323" t="s">
        <v>5614</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5615</v>
      </c>
      <c r="C1699" s="1323" t="s">
        <v>5616</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5617</v>
      </c>
      <c r="C1700" s="1323" t="s">
        <v>5618</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5619</v>
      </c>
      <c r="C1701" s="1323" t="s">
        <v>5620</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5621</v>
      </c>
      <c r="C1702" s="1323" t="s">
        <v>5622</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5623</v>
      </c>
      <c r="C1703" s="1323" t="s">
        <v>5624</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5625</v>
      </c>
      <c r="C1704" s="1323" t="s">
        <v>5626</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5627</v>
      </c>
      <c r="C1705" s="1323" t="s">
        <v>5628</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5629</v>
      </c>
      <c r="C1706" s="1323" t="s">
        <v>5630</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5631</v>
      </c>
      <c r="C1707" s="1323" t="s">
        <v>5632</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5633</v>
      </c>
      <c r="C1708" s="1323" t="s">
        <v>5634</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5635</v>
      </c>
      <c r="C1709" s="1323" t="s">
        <v>5636</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5637</v>
      </c>
      <c r="C1710" s="1323" t="s">
        <v>5638</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5639</v>
      </c>
      <c r="C1711" s="1323" t="s">
        <v>5640</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5641</v>
      </c>
      <c r="C1712" s="1323" t="s">
        <v>5642</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5643</v>
      </c>
      <c r="C1713" s="1323" t="s">
        <v>5644</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5645</v>
      </c>
      <c r="C1714" s="1323" t="s">
        <v>5646</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5647</v>
      </c>
      <c r="C1715" s="1323" t="s">
        <v>5648</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5649</v>
      </c>
      <c r="C1716" s="1323" t="s">
        <v>5650</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5651</v>
      </c>
      <c r="C1717" s="1323" t="s">
        <v>5652</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5653</v>
      </c>
      <c r="C1718" s="1323" t="s">
        <v>5654</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5655</v>
      </c>
      <c r="C1719" s="1323" t="s">
        <v>5656</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5657</v>
      </c>
      <c r="C1720" s="1323" t="s">
        <v>5658</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5659</v>
      </c>
      <c r="C1721" s="1323" t="s">
        <v>5660</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5661</v>
      </c>
      <c r="C1722" s="1323" t="s">
        <v>4122</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5662</v>
      </c>
      <c r="C1723" s="1323" t="s">
        <v>5663</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5664</v>
      </c>
      <c r="C1724" s="1323" t="s">
        <v>5665</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5666</v>
      </c>
      <c r="C1725" s="1323" t="s">
        <v>5667</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5668</v>
      </c>
      <c r="C1726" s="1323" t="s">
        <v>5669</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5670</v>
      </c>
      <c r="C1727" s="1323" t="s">
        <v>5671</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5672</v>
      </c>
      <c r="C1728" s="1323" t="s">
        <v>5673</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5674</v>
      </c>
      <c r="C1729" s="1323" t="s">
        <v>5675</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5676</v>
      </c>
      <c r="C1730" s="1323" t="s">
        <v>5677</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5678</v>
      </c>
      <c r="C1731" s="1323" t="s">
        <v>5679</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5680</v>
      </c>
      <c r="C1732" s="1323" t="s">
        <v>5681</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5682</v>
      </c>
      <c r="C1733" s="1323" t="s">
        <v>5683</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5684</v>
      </c>
      <c r="C1734" s="1323" t="s">
        <v>5685</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5686</v>
      </c>
      <c r="C1735" s="1323" t="s">
        <v>5687</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5688</v>
      </c>
      <c r="C1736" s="1323" t="s">
        <v>5689</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5690</v>
      </c>
      <c r="C1737" s="1323" t="s">
        <v>5691</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5692</v>
      </c>
      <c r="C1738" s="1323" t="s">
        <v>5693</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5694</v>
      </c>
      <c r="C1739" s="1323" t="s">
        <v>5695</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5696</v>
      </c>
      <c r="C1740" s="1323" t="s">
        <v>5697</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5698</v>
      </c>
      <c r="C1741" s="1323" t="s">
        <v>5699</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5700</v>
      </c>
      <c r="C1742" s="1323" t="s">
        <v>5701</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5702</v>
      </c>
      <c r="C1743" s="1323" t="s">
        <v>5703</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5704</v>
      </c>
      <c r="C1744" s="1323" t="s">
        <v>5705</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5706</v>
      </c>
      <c r="C1745" s="1323" t="s">
        <v>5707</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5708</v>
      </c>
      <c r="C1746" s="1323" t="s">
        <v>5709</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5710</v>
      </c>
      <c r="C1747" s="1323" t="s">
        <v>5711</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5712</v>
      </c>
      <c r="C1748" s="1323" t="s">
        <v>5713</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5714</v>
      </c>
      <c r="C1749" s="1323" t="s">
        <v>5715</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5716</v>
      </c>
      <c r="C1750" s="1323" t="s">
        <v>5717</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5718</v>
      </c>
      <c r="C1751" s="1323" t="s">
        <v>5719</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5720</v>
      </c>
      <c r="C1752" s="1323" t="s">
        <v>5721</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5722</v>
      </c>
      <c r="C1753" s="1323" t="s">
        <v>5723</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5724</v>
      </c>
      <c r="C1754" s="1323" t="s">
        <v>5725</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5726</v>
      </c>
      <c r="C1755" s="1323" t="s">
        <v>5727</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5728</v>
      </c>
      <c r="C1756" s="1323" t="s">
        <v>5729</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5730</v>
      </c>
      <c r="C1757" s="1323" t="s">
        <v>5731</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5732</v>
      </c>
      <c r="C1758" s="1323" t="s">
        <v>5733</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5734</v>
      </c>
      <c r="C1759" s="1323" t="s">
        <v>5735</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5736</v>
      </c>
      <c r="C1760" s="1323" t="s">
        <v>5737</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5738</v>
      </c>
      <c r="C1761" s="1323" t="s">
        <v>5739</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5740</v>
      </c>
      <c r="C1762" s="1323" t="s">
        <v>5741</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5742</v>
      </c>
      <c r="C1763" s="1323" t="s">
        <v>5743</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5744</v>
      </c>
      <c r="C1764" s="1323" t="s">
        <v>5745</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5746</v>
      </c>
      <c r="C1765" s="1323" t="s">
        <v>5747</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5748</v>
      </c>
      <c r="C1766" s="1323" t="s">
        <v>5749</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5750</v>
      </c>
      <c r="C1767" s="1323" t="s">
        <v>5751</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5752</v>
      </c>
      <c r="C1768" s="1323" t="s">
        <v>5753</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5754</v>
      </c>
      <c r="C1769" s="1323" t="s">
        <v>5755</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5756</v>
      </c>
      <c r="C1770" s="1323" t="s">
        <v>5757</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5758</v>
      </c>
      <c r="C1771" s="1323" t="s">
        <v>5759</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5760</v>
      </c>
      <c r="C1772" s="1323" t="s">
        <v>5761</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5762</v>
      </c>
      <c r="C1773" s="1323" t="s">
        <v>5763</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5764</v>
      </c>
      <c r="C1774" s="1323" t="s">
        <v>5765</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5766</v>
      </c>
      <c r="C1775" s="1323" t="s">
        <v>5767</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5768</v>
      </c>
      <c r="C1776" s="1323" t="s">
        <v>5769</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5770</v>
      </c>
      <c r="C1777" s="1323" t="s">
        <v>5771</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5772</v>
      </c>
      <c r="C1778" s="1323" t="s">
        <v>5773</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5774</v>
      </c>
      <c r="C1779" s="1323" t="s">
        <v>5775</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5776</v>
      </c>
      <c r="C1780" s="1323" t="s">
        <v>5733</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5777</v>
      </c>
      <c r="C1781" s="1323" t="s">
        <v>5778</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5779</v>
      </c>
      <c r="C1782" s="1323" t="s">
        <v>5780</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5781</v>
      </c>
      <c r="C1783" s="1323" t="s">
        <v>5782</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5783</v>
      </c>
      <c r="C1784" s="1323" t="s">
        <v>5784</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5785</v>
      </c>
      <c r="C1785" s="1323" t="s">
        <v>5786</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5787</v>
      </c>
      <c r="C1786" s="1323" t="s">
        <v>5679</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5788</v>
      </c>
      <c r="C1787" s="1323" t="s">
        <v>5695</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5789</v>
      </c>
      <c r="C1788" s="1323" t="s">
        <v>5790</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5791</v>
      </c>
      <c r="C1789" s="1323" t="s">
        <v>5792</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5793</v>
      </c>
      <c r="C1790" s="1323" t="s">
        <v>5794</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5795</v>
      </c>
      <c r="C1791" s="1323" t="s">
        <v>5796</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5797</v>
      </c>
      <c r="C1792" s="1323" t="s">
        <v>5798</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5799</v>
      </c>
      <c r="C1793" s="1323" t="s">
        <v>5800</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5801</v>
      </c>
      <c r="C1794" s="1323" t="s">
        <v>5802</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5803</v>
      </c>
      <c r="C1795" s="1323" t="s">
        <v>4229</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5804</v>
      </c>
      <c r="C1796" s="1323" t="s">
        <v>5805</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5806</v>
      </c>
      <c r="C1797" s="1323" t="s">
        <v>5807</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5808</v>
      </c>
      <c r="C1798" s="1323" t="s">
        <v>5809</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5810</v>
      </c>
      <c r="C1799" s="1323" t="s">
        <v>5811</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5812</v>
      </c>
      <c r="C1800" s="1323" t="s">
        <v>5813</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5814</v>
      </c>
      <c r="C1801" s="1323" t="s">
        <v>5815</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5816</v>
      </c>
      <c r="C1802" s="1323" t="s">
        <v>5817</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5818</v>
      </c>
      <c r="C1803" s="1323" t="s">
        <v>5819</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5820</v>
      </c>
      <c r="C1804" s="1323" t="s">
        <v>5821</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5822</v>
      </c>
      <c r="C1805" s="1323" t="s">
        <v>5823</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5824</v>
      </c>
      <c r="C1806" s="1323" t="s">
        <v>5825</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5826</v>
      </c>
      <c r="C1807" s="1323" t="s">
        <v>5827</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5828</v>
      </c>
      <c r="C1808" s="1323" t="s">
        <v>5829</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5830</v>
      </c>
      <c r="C1809" s="1323" t="s">
        <v>5831</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5832</v>
      </c>
      <c r="C1810" s="1323" t="s">
        <v>5833</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5834</v>
      </c>
      <c r="C1811" s="1323" t="s">
        <v>5835</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5836</v>
      </c>
      <c r="C1812" s="1323" t="s">
        <v>5837</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5838</v>
      </c>
      <c r="C1813" s="1323" t="s">
        <v>5839</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5840</v>
      </c>
      <c r="C1814" s="1323" t="s">
        <v>5841</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5842</v>
      </c>
      <c r="C1815" s="1323" t="s">
        <v>5843</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5844</v>
      </c>
      <c r="C1816" s="1323" t="s">
        <v>5845</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5846</v>
      </c>
      <c r="C1817" s="1323" t="s">
        <v>5847</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5848</v>
      </c>
      <c r="C1818" s="1323" t="s">
        <v>5849</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5850</v>
      </c>
      <c r="C1819" s="1323" t="s">
        <v>5851</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5852</v>
      </c>
      <c r="C1820" s="1323" t="s">
        <v>5853</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5854</v>
      </c>
      <c r="C1821" s="1323" t="s">
        <v>5855</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5856</v>
      </c>
      <c r="C1822" s="1323" t="s">
        <v>5857</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5858</v>
      </c>
      <c r="C1823" s="1323" t="s">
        <v>5859</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5860</v>
      </c>
      <c r="C1824" s="1323" t="s">
        <v>5861</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5862</v>
      </c>
      <c r="C1825" s="1323" t="s">
        <v>5857</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5863</v>
      </c>
      <c r="C1826" s="1323" t="s">
        <v>5864</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5865</v>
      </c>
      <c r="C1827" s="1323" t="s">
        <v>5866</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5867</v>
      </c>
      <c r="C1828" s="1323" t="s">
        <v>5868</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5869</v>
      </c>
      <c r="C1829" s="1323" t="s">
        <v>5870</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5871</v>
      </c>
      <c r="C1830" s="1323" t="s">
        <v>5872</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5873</v>
      </c>
      <c r="C1831" s="1323" t="s">
        <v>5874</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5875</v>
      </c>
      <c r="C1832" s="1323" t="s">
        <v>5876</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5877</v>
      </c>
      <c r="C1833" s="1323" t="s">
        <v>5878</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5879</v>
      </c>
      <c r="C1834" s="1323" t="s">
        <v>5880</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5881</v>
      </c>
      <c r="C1835" s="1323" t="s">
        <v>5882</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5883</v>
      </c>
      <c r="C1836" s="1323" t="s">
        <v>5884</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5885</v>
      </c>
      <c r="C1837" s="1323" t="s">
        <v>5886</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5887</v>
      </c>
      <c r="C1838" s="1323" t="s">
        <v>5888</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5889</v>
      </c>
      <c r="C1839" s="1323" t="s">
        <v>5890</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5891</v>
      </c>
      <c r="C1840" s="1323" t="s">
        <v>5892</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5893</v>
      </c>
      <c r="C1841" s="1323" t="s">
        <v>5894</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5895</v>
      </c>
      <c r="C1842" s="1323" t="s">
        <v>5896</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5897</v>
      </c>
      <c r="C1843" s="1323" t="s">
        <v>5898</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5899</v>
      </c>
      <c r="C1844" s="1323" t="s">
        <v>5900</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5901</v>
      </c>
      <c r="C1845" s="1323" t="s">
        <v>5902</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5903</v>
      </c>
      <c r="C1846" s="1323" t="s">
        <v>5904</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5905</v>
      </c>
      <c r="C1847" s="1323" t="s">
        <v>5906</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5907</v>
      </c>
      <c r="C1848" s="1323" t="s">
        <v>5908</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5909</v>
      </c>
      <c r="C1849" s="1323" t="s">
        <v>5910</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5911</v>
      </c>
      <c r="C1850" s="1323" t="s">
        <v>5912</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5913</v>
      </c>
      <c r="C1851" s="1323" t="s">
        <v>5914</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5915</v>
      </c>
      <c r="C1852" s="1323" t="s">
        <v>5916</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5917</v>
      </c>
      <c r="C1853" s="1323" t="s">
        <v>5918</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5919</v>
      </c>
      <c r="C1854" s="1323" t="s">
        <v>5920</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5921</v>
      </c>
      <c r="C1855" s="1323" t="s">
        <v>5922</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5923</v>
      </c>
      <c r="C1856" s="1323" t="s">
        <v>5924</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5925</v>
      </c>
      <c r="C1857" s="1323" t="s">
        <v>5735</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5926</v>
      </c>
      <c r="C1858" s="1323" t="s">
        <v>5927</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5928</v>
      </c>
      <c r="C1859" s="1323" t="s">
        <v>5929</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5930</v>
      </c>
      <c r="C1860" s="1323" t="s">
        <v>5931</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5932</v>
      </c>
      <c r="C1861" s="1323" t="s">
        <v>5933</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5934</v>
      </c>
      <c r="C1862" s="1323" t="s">
        <v>5935</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5936</v>
      </c>
      <c r="C1863" s="1323" t="s">
        <v>5937</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5938</v>
      </c>
      <c r="C1864" s="1323" t="s">
        <v>5939</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5940</v>
      </c>
      <c r="C1865" s="1323" t="s">
        <v>5941</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5942</v>
      </c>
      <c r="C1866" s="1323" t="s">
        <v>5943</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5944</v>
      </c>
      <c r="C1867" s="1323" t="s">
        <v>5945</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5946</v>
      </c>
      <c r="C1868" s="1323" t="s">
        <v>5947</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5948</v>
      </c>
      <c r="C1869" s="1323" t="s">
        <v>5535</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5949</v>
      </c>
      <c r="C1870" s="1323" t="s">
        <v>5950</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5951</v>
      </c>
      <c r="C1871" s="1323" t="s">
        <v>5952</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5953</v>
      </c>
      <c r="C1872" s="1323" t="s">
        <v>5954</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5955</v>
      </c>
      <c r="C1873" s="1323" t="s">
        <v>5956</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5957</v>
      </c>
      <c r="C1874" s="1323" t="s">
        <v>5958</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5959</v>
      </c>
      <c r="C1875" s="1323" t="s">
        <v>5960</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5961</v>
      </c>
      <c r="C1876" s="1323" t="s">
        <v>5962</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5963</v>
      </c>
      <c r="C1877" s="1323" t="s">
        <v>5964</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5965</v>
      </c>
      <c r="C1878" s="1323" t="s">
        <v>4642</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5966</v>
      </c>
      <c r="C1879" s="1323" t="s">
        <v>5967</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5968</v>
      </c>
      <c r="C1880" s="1323" t="s">
        <v>5969</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5970</v>
      </c>
      <c r="C1881" s="1323" t="s">
        <v>5971</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5972</v>
      </c>
      <c r="C1882" s="1323" t="s">
        <v>5973</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5974</v>
      </c>
      <c r="C1883" s="1323" t="s">
        <v>5975</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5976</v>
      </c>
      <c r="C1884" s="1323" t="s">
        <v>5977</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5978</v>
      </c>
      <c r="C1885" s="1323" t="s">
        <v>5979</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5980</v>
      </c>
      <c r="C1886" s="1323" t="s">
        <v>5981</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5982</v>
      </c>
      <c r="C1887" s="1323" t="s">
        <v>5983</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5984</v>
      </c>
      <c r="C1888" s="1323" t="s">
        <v>5985</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5986</v>
      </c>
      <c r="C1889" s="1323" t="s">
        <v>5987</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5988</v>
      </c>
      <c r="C1890" s="1323" t="s">
        <v>5989</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5990</v>
      </c>
      <c r="C1891" s="1323" t="s">
        <v>5817</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5991</v>
      </c>
      <c r="C1892" s="1323" t="s">
        <v>5773</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5992</v>
      </c>
      <c r="C1893" s="1323" t="s">
        <v>5993</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5994</v>
      </c>
      <c r="C1894" s="1323" t="s">
        <v>5995</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5996</v>
      </c>
      <c r="C1895" s="1323" t="s">
        <v>5997</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5998</v>
      </c>
      <c r="C1896" s="1323" t="s">
        <v>5999</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6000</v>
      </c>
      <c r="C1897" s="1323" t="s">
        <v>6001</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6002</v>
      </c>
      <c r="C1898" s="1323" t="s">
        <v>6003</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6004</v>
      </c>
      <c r="C1899" s="1323" t="s">
        <v>6005</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6006</v>
      </c>
      <c r="C1900" s="1323" t="s">
        <v>6007</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6008</v>
      </c>
      <c r="C1901" s="1323" t="s">
        <v>6009</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6010</v>
      </c>
      <c r="C1902" s="1323" t="s">
        <v>5719</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6011</v>
      </c>
      <c r="C1903" s="1323" t="s">
        <v>6012</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6013</v>
      </c>
      <c r="C1904" s="1323" t="s">
        <v>6014</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6015</v>
      </c>
      <c r="C1905" s="1323" t="s">
        <v>6016</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6017</v>
      </c>
      <c r="C1906" s="1323" t="s">
        <v>6018</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6019</v>
      </c>
      <c r="C1907" s="1323" t="s">
        <v>6020</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6021</v>
      </c>
      <c r="C1908" s="1323" t="s">
        <v>6022</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6023</v>
      </c>
      <c r="C1909" s="1323" t="s">
        <v>5866</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6024</v>
      </c>
      <c r="C1910" s="1323" t="s">
        <v>6025</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6026</v>
      </c>
      <c r="C1911" s="1323" t="s">
        <v>6027</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6028</v>
      </c>
      <c r="C1912" s="1323" t="s">
        <v>6029</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6030</v>
      </c>
      <c r="C1913" s="1323" t="s">
        <v>6031</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6032</v>
      </c>
      <c r="C1914" s="1323" t="s">
        <v>6033</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6034</v>
      </c>
      <c r="C1915" s="1323" t="s">
        <v>6035</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6036</v>
      </c>
      <c r="C1916" s="1323" t="s">
        <v>6037</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6038</v>
      </c>
      <c r="C1917" s="1323" t="s">
        <v>6039</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6040</v>
      </c>
      <c r="C1918" s="1323" t="s">
        <v>6041</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6042</v>
      </c>
      <c r="C1919" s="1323" t="s">
        <v>6043</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6044</v>
      </c>
      <c r="C1920" s="1323" t="s">
        <v>6045</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6046</v>
      </c>
      <c r="C1921" s="1323" t="s">
        <v>6047</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6048</v>
      </c>
      <c r="C1922" s="1323" t="s">
        <v>5975</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6049</v>
      </c>
      <c r="C1923" s="1323" t="s">
        <v>6050</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6051</v>
      </c>
      <c r="C1924" s="1323" t="s">
        <v>6052</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6053</v>
      </c>
      <c r="C1925" s="1323" t="s">
        <v>4134</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6054</v>
      </c>
      <c r="C1926" s="1323" t="s">
        <v>6055</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6056</v>
      </c>
      <c r="C1927" s="1323" t="s">
        <v>6057</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6058</v>
      </c>
      <c r="C1928" s="1323" t="s">
        <v>6059</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6060</v>
      </c>
      <c r="C1929" s="1323" t="s">
        <v>6061</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6062</v>
      </c>
      <c r="C1930" s="1323" t="s">
        <v>4164</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6063</v>
      </c>
      <c r="C1931" s="1323" t="s">
        <v>6064</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6065</v>
      </c>
      <c r="C1932" s="1323" t="s">
        <v>6066</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6067</v>
      </c>
      <c r="C1933" s="1323" t="s">
        <v>4237</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6068</v>
      </c>
      <c r="C1934" s="1323" t="s">
        <v>6069</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6070</v>
      </c>
      <c r="C1935" s="1323" t="s">
        <v>6071</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6072</v>
      </c>
      <c r="C1936" s="1323" t="s">
        <v>6073</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6074</v>
      </c>
      <c r="C1937" s="1323" t="s">
        <v>6075</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6076</v>
      </c>
      <c r="C1938" s="1323" t="s">
        <v>6059</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6077</v>
      </c>
      <c r="C1939" s="1323" t="s">
        <v>6078</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6079</v>
      </c>
      <c r="C1940" s="1323" t="s">
        <v>6080</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6081</v>
      </c>
      <c r="C1941" s="1323" t="s">
        <v>6082</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6083</v>
      </c>
      <c r="C1942" s="1323" t="s">
        <v>6084</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6085</v>
      </c>
      <c r="C1943" s="1323" t="s">
        <v>6086</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6087</v>
      </c>
      <c r="C1944" s="1323" t="s">
        <v>6088</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6089</v>
      </c>
      <c r="C1945" s="1323" t="s">
        <v>6090</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6091</v>
      </c>
      <c r="C1946" s="1323" t="s">
        <v>5916</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6092</v>
      </c>
      <c r="C1947" s="1323" t="s">
        <v>6093</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6094</v>
      </c>
      <c r="C1948" s="1323" t="s">
        <v>6095</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6096</v>
      </c>
      <c r="C1949" s="1323" t="s">
        <v>6097</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6098</v>
      </c>
      <c r="C1950" s="1323" t="s">
        <v>6099</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6100</v>
      </c>
      <c r="C1951" s="1323" t="s">
        <v>6101</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6102</v>
      </c>
      <c r="C1952" s="1323" t="s">
        <v>6103</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6104</v>
      </c>
      <c r="C1953" s="1323" t="s">
        <v>6105</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6106</v>
      </c>
      <c r="C1954" s="1323" t="s">
        <v>6022</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6107</v>
      </c>
      <c r="C1955" s="1323" t="s">
        <v>6108</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6109</v>
      </c>
      <c r="C1956" s="1323" t="s">
        <v>5711</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6110</v>
      </c>
      <c r="C1957" s="1323" t="s">
        <v>6111</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6112</v>
      </c>
      <c r="C1958" s="1323" t="s">
        <v>6113</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6114</v>
      </c>
      <c r="C1959" s="1323" t="s">
        <v>6115</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6116</v>
      </c>
      <c r="C1960" s="1323" t="s">
        <v>6117</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6118</v>
      </c>
      <c r="C1961" s="1323" t="s">
        <v>6119</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6120</v>
      </c>
      <c r="C1962" s="1323" t="s">
        <v>6121</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6122</v>
      </c>
      <c r="C1963" s="1323" t="s">
        <v>6123</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6124</v>
      </c>
      <c r="C1964" s="1323" t="s">
        <v>6125</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6126</v>
      </c>
      <c r="C1965" s="1323" t="s">
        <v>6127</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6128</v>
      </c>
      <c r="C1966" s="1323" t="s">
        <v>4636</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6129</v>
      </c>
      <c r="C1967" s="1323" t="s">
        <v>6130</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6131</v>
      </c>
      <c r="C1968" s="1323" t="s">
        <v>6132</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6133</v>
      </c>
      <c r="C1969" s="1323" t="s">
        <v>6134</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6135</v>
      </c>
      <c r="C1970" s="1323" t="s">
        <v>6136</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6137</v>
      </c>
      <c r="C1971" s="1323" t="s">
        <v>6138</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6139</v>
      </c>
      <c r="C1972" s="1323" t="s">
        <v>6140</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6141</v>
      </c>
      <c r="C1973" s="1323" t="s">
        <v>6142</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6143</v>
      </c>
      <c r="C1974" s="1323" t="s">
        <v>6144</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6145</v>
      </c>
      <c r="C1975" s="1323" t="s">
        <v>6146</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6147</v>
      </c>
      <c r="C1976" s="1323" t="s">
        <v>6148</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6149</v>
      </c>
      <c r="C1977" s="1323" t="s">
        <v>6150</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6151</v>
      </c>
      <c r="C1978" s="1323" t="s">
        <v>6152</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6153</v>
      </c>
      <c r="C1979" s="1323" t="s">
        <v>6154</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6155</v>
      </c>
      <c r="C1980" s="1323" t="s">
        <v>6156</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6157</v>
      </c>
      <c r="C1981" s="1323" t="s">
        <v>6158</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6159</v>
      </c>
      <c r="C1982" s="1323" t="s">
        <v>6160</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6161</v>
      </c>
      <c r="C1983" s="1323" t="s">
        <v>6162</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6163</v>
      </c>
      <c r="C1984" s="1323" t="s">
        <v>6164</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6165</v>
      </c>
      <c r="C1985" s="1323" t="s">
        <v>6166</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6167</v>
      </c>
      <c r="C1986" s="1323" t="s">
        <v>6168</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6169</v>
      </c>
      <c r="C1987" s="1323" t="s">
        <v>6170</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6171</v>
      </c>
      <c r="C1988" s="1323" t="s">
        <v>6172</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6173</v>
      </c>
      <c r="C1989" s="1323" t="s">
        <v>6174</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6175</v>
      </c>
      <c r="C1990" s="1323" t="s">
        <v>4810</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6176</v>
      </c>
      <c r="C1991" s="1323" t="s">
        <v>6177</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6178</v>
      </c>
      <c r="C1992" s="1323" t="s">
        <v>6179</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6180</v>
      </c>
      <c r="C1993" s="1323" t="s">
        <v>6181</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6182</v>
      </c>
      <c r="C1994" s="1323" t="s">
        <v>6183</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6184</v>
      </c>
      <c r="C1995" s="1323" t="s">
        <v>6185</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6186</v>
      </c>
      <c r="C1996" s="1323" t="s">
        <v>6187</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6188</v>
      </c>
      <c r="C1997" s="1323" t="s">
        <v>6189</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6190</v>
      </c>
      <c r="C1998" s="1323" t="s">
        <v>6191</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6192</v>
      </c>
      <c r="C1999" s="1323" t="s">
        <v>6193</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6194</v>
      </c>
      <c r="C2000" s="1323" t="s">
        <v>6195</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6196</v>
      </c>
      <c r="C2001" s="1323" t="s">
        <v>6197</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6198</v>
      </c>
      <c r="C2002" s="1323" t="s">
        <v>6199</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6200</v>
      </c>
      <c r="C2003" s="1323" t="s">
        <v>6201</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6202</v>
      </c>
      <c r="C2004" s="1323" t="s">
        <v>6203</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6204</v>
      </c>
      <c r="C2005" s="1323" t="s">
        <v>6205</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6206</v>
      </c>
      <c r="C2006" s="1323" t="s">
        <v>6207</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6208</v>
      </c>
      <c r="C2007" s="1323" t="s">
        <v>6209</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6210</v>
      </c>
      <c r="C2008" s="1323" t="s">
        <v>6211</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6212</v>
      </c>
      <c r="C2009" s="1323" t="s">
        <v>6213</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6214</v>
      </c>
      <c r="C2010" s="1323" t="s">
        <v>6215</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6216</v>
      </c>
      <c r="C2011" s="1323" t="s">
        <v>6217</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6218</v>
      </c>
      <c r="C2012" s="1323" t="s">
        <v>6219</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6220</v>
      </c>
      <c r="C2013" s="1323" t="s">
        <v>6221</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6222</v>
      </c>
      <c r="C2014" s="1323" t="s">
        <v>6223</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6224</v>
      </c>
      <c r="C2015" s="1323" t="s">
        <v>6225</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6226</v>
      </c>
      <c r="C2016" s="1323" t="s">
        <v>6227</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6228</v>
      </c>
      <c r="C2017" s="1323" t="s">
        <v>6229</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6230</v>
      </c>
      <c r="C2018" s="1323" t="s">
        <v>6231</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6232</v>
      </c>
      <c r="C2019" s="1323" t="s">
        <v>5784</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6233</v>
      </c>
      <c r="C2020" s="1323" t="s">
        <v>6234</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6235</v>
      </c>
      <c r="C2021" s="1323" t="s">
        <v>6236</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6237</v>
      </c>
      <c r="C2022" s="1323" t="s">
        <v>6238</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6239</v>
      </c>
      <c r="C2023" s="1323" t="s">
        <v>6240</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6241</v>
      </c>
      <c r="C2024" s="1323" t="s">
        <v>6242</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6243</v>
      </c>
      <c r="C2025" s="1323" t="s">
        <v>6244</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6245</v>
      </c>
      <c r="C2026" s="1323" t="s">
        <v>6246</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6247</v>
      </c>
      <c r="C2027" s="1323" t="s">
        <v>6248</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6249</v>
      </c>
      <c r="C2028" s="1323" t="s">
        <v>6250</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6251</v>
      </c>
      <c r="C2029" s="1323" t="s">
        <v>3905</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6252</v>
      </c>
      <c r="C2030" s="1323" t="s">
        <v>6253</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6254</v>
      </c>
      <c r="C2031" s="1323" t="s">
        <v>6255</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6256</v>
      </c>
      <c r="C2032" s="1323" t="s">
        <v>6257</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6258</v>
      </c>
      <c r="C2033" s="1323" t="s">
        <v>6259</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6260</v>
      </c>
      <c r="C2034" s="1323" t="s">
        <v>6261</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6262</v>
      </c>
      <c r="C2035" s="1323" t="s">
        <v>6263</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6264</v>
      </c>
      <c r="C2036" s="1323" t="s">
        <v>6265</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6266</v>
      </c>
      <c r="C2037" s="1323" t="s">
        <v>6267</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6268</v>
      </c>
      <c r="C2038" s="1323" t="s">
        <v>6269</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6270</v>
      </c>
      <c r="C2039" s="1323" t="s">
        <v>6271</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6272</v>
      </c>
      <c r="C2040" s="1323" t="s">
        <v>6007</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6273</v>
      </c>
      <c r="C2041" s="1323" t="s">
        <v>6274</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6275</v>
      </c>
      <c r="C2042" s="1323" t="s">
        <v>6276</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6277</v>
      </c>
      <c r="C2043" s="1323" t="s">
        <v>6278</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6279</v>
      </c>
      <c r="C2044" s="1323" t="s">
        <v>6280</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6281</v>
      </c>
      <c r="C2045" s="1323" t="s">
        <v>6282</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6283</v>
      </c>
      <c r="C2046" s="1323" t="s">
        <v>6284</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6285</v>
      </c>
      <c r="C2047" s="1323" t="s">
        <v>6286</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6287</v>
      </c>
      <c r="C2048" s="1323" t="s">
        <v>6288</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6289</v>
      </c>
      <c r="C2049" s="1323" t="s">
        <v>6290</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6291</v>
      </c>
      <c r="C2050" s="1323" t="s">
        <v>6225</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6292</v>
      </c>
      <c r="C2051" s="1323" t="s">
        <v>6293</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6294</v>
      </c>
      <c r="C2052" s="1323" t="s">
        <v>6295</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6296</v>
      </c>
      <c r="C2053" s="1323" t="s">
        <v>6297</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6298</v>
      </c>
      <c r="C2054" s="1323" t="s">
        <v>6299</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6300</v>
      </c>
      <c r="C2055" s="1323" t="s">
        <v>6301</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6302</v>
      </c>
      <c r="C2056" s="1323" t="s">
        <v>6035</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6303</v>
      </c>
      <c r="C2057" s="1323" t="s">
        <v>6304</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6305</v>
      </c>
      <c r="C2058" s="1323" t="s">
        <v>4369</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6306</v>
      </c>
      <c r="C2059" s="1323" t="s">
        <v>6307</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6308</v>
      </c>
      <c r="C2060" s="1323" t="s">
        <v>3793</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6309</v>
      </c>
      <c r="C2061" s="1323" t="s">
        <v>6310</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6311</v>
      </c>
      <c r="C2062" s="1323" t="s">
        <v>6312</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6313</v>
      </c>
      <c r="C2063" s="1323" t="s">
        <v>6314</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6315</v>
      </c>
      <c r="C2064" s="1323" t="s">
        <v>6316</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6317</v>
      </c>
      <c r="C2065" s="1323" t="s">
        <v>4090</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6318</v>
      </c>
      <c r="C2066" s="1323" t="s">
        <v>6319</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6320</v>
      </c>
      <c r="C2067" s="1323" t="s">
        <v>6321</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6322</v>
      </c>
      <c r="C2068" s="1323" t="s">
        <v>6323</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6324</v>
      </c>
      <c r="C2069" s="1323" t="s">
        <v>3976</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6325</v>
      </c>
      <c r="C2070" s="1323" t="s">
        <v>6326</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6327</v>
      </c>
      <c r="C2071" s="1323" t="s">
        <v>6328</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6329</v>
      </c>
      <c r="C2072" s="1323" t="s">
        <v>6330</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6331</v>
      </c>
      <c r="C2073" s="1323" t="s">
        <v>6332</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6333</v>
      </c>
      <c r="C2074" s="1323" t="s">
        <v>6334</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6335</v>
      </c>
      <c r="C2075" s="1323" t="s">
        <v>6336</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6337</v>
      </c>
      <c r="C2076" s="1323" t="s">
        <v>6338</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6339</v>
      </c>
      <c r="C2077" s="1323" t="s">
        <v>6340</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6341</v>
      </c>
      <c r="C2078" s="1323" t="s">
        <v>6342</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6343</v>
      </c>
      <c r="C2079" s="1323" t="s">
        <v>6344</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6345</v>
      </c>
      <c r="C2080" s="1323" t="s">
        <v>5642</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6346</v>
      </c>
      <c r="C2081" s="1323" t="s">
        <v>6347</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6348</v>
      </c>
      <c r="C2082" s="1323" t="s">
        <v>6349</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6350</v>
      </c>
      <c r="C2083" s="1323" t="s">
        <v>6351</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6352</v>
      </c>
      <c r="C2084" s="1323" t="s">
        <v>6353</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6354</v>
      </c>
      <c r="C2085" s="1323" t="s">
        <v>6355</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6356</v>
      </c>
      <c r="C2086" s="1323" t="s">
        <v>6357</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6358</v>
      </c>
      <c r="C2087" s="1323" t="s">
        <v>6359</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6360</v>
      </c>
      <c r="C2088" s="1323" t="s">
        <v>6361</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6362</v>
      </c>
      <c r="C2089" s="1323" t="s">
        <v>6363</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6364</v>
      </c>
      <c r="C2090" s="1323" t="s">
        <v>6365</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6366</v>
      </c>
      <c r="C2091" s="1323" t="s">
        <v>6367</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6368</v>
      </c>
      <c r="C2092" s="1323" t="s">
        <v>6369</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6370</v>
      </c>
      <c r="C2093" s="1323" t="s">
        <v>6371</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6372</v>
      </c>
      <c r="C2094" s="1323" t="s">
        <v>6373</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6374</v>
      </c>
      <c r="C2095" s="1323" t="s">
        <v>6375</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6376</v>
      </c>
      <c r="C2096" s="1323" t="s">
        <v>6377</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6378</v>
      </c>
      <c r="C2097" s="1323" t="s">
        <v>6379</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6380</v>
      </c>
      <c r="C2098" s="1323" t="s">
        <v>6381</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6382</v>
      </c>
      <c r="C2099" s="1323" t="s">
        <v>6383</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6384</v>
      </c>
      <c r="C2100" s="1323" t="s">
        <v>6385</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6386</v>
      </c>
      <c r="C2101" s="1323" t="s">
        <v>6387</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6388</v>
      </c>
      <c r="C2102" s="1323" t="s">
        <v>6389</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6390</v>
      </c>
      <c r="C2103" s="1323" t="s">
        <v>6391</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6392</v>
      </c>
      <c r="C2104" s="1323" t="s">
        <v>6393</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6394</v>
      </c>
      <c r="C2105" s="1323" t="s">
        <v>6395</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6396</v>
      </c>
      <c r="C2106" s="1323" t="s">
        <v>6397</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6398</v>
      </c>
      <c r="C2107" s="1323" t="s">
        <v>6399</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6400</v>
      </c>
      <c r="C2108" s="1323" t="s">
        <v>6401</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6402</v>
      </c>
      <c r="C2109" s="1323" t="s">
        <v>6403</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6404</v>
      </c>
      <c r="C2110" s="1323" t="s">
        <v>6405</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6406</v>
      </c>
      <c r="C2111" s="1323" t="s">
        <v>6407</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6408</v>
      </c>
      <c r="C2112" s="1323" t="s">
        <v>6409</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6410</v>
      </c>
      <c r="C2113" s="1323" t="s">
        <v>6411</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6412</v>
      </c>
      <c r="C2114" s="1323" t="s">
        <v>6413</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6414</v>
      </c>
      <c r="C2115" s="1323" t="s">
        <v>6415</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6416</v>
      </c>
      <c r="C2116" s="1323" t="s">
        <v>6417</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6418</v>
      </c>
      <c r="C2117" s="1323" t="s">
        <v>6419</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6420</v>
      </c>
      <c r="C2118" s="1323" t="s">
        <v>6421</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6422</v>
      </c>
      <c r="C2119" s="1323" t="s">
        <v>6423</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6424</v>
      </c>
      <c r="C2120" s="1323" t="s">
        <v>6425</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6426</v>
      </c>
      <c r="C2121" s="1323" t="s">
        <v>6427</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6428</v>
      </c>
      <c r="C2122" s="1323" t="s">
        <v>6429</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6430</v>
      </c>
      <c r="C2123" s="1323" t="s">
        <v>6431</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6432</v>
      </c>
      <c r="C2124" s="1323" t="s">
        <v>6433</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6434</v>
      </c>
      <c r="C2125" s="1323" t="s">
        <v>6435</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6436</v>
      </c>
      <c r="C2126" s="1323" t="s">
        <v>6437</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6438</v>
      </c>
      <c r="C2127" s="1323" t="s">
        <v>6439</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6440</v>
      </c>
      <c r="C2128" s="1323" t="s">
        <v>6417</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6441</v>
      </c>
      <c r="C2129" s="1323" t="s">
        <v>6442</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6443</v>
      </c>
      <c r="C2130" s="1323" t="s">
        <v>6444</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6445</v>
      </c>
      <c r="C2131" s="1323" t="s">
        <v>6446</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6447</v>
      </c>
      <c r="C2132" s="1323" t="s">
        <v>6448</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6449</v>
      </c>
      <c r="C2133" s="1323" t="s">
        <v>6450</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6451</v>
      </c>
      <c r="C2134" s="1323" t="s">
        <v>6452</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6453</v>
      </c>
      <c r="C2135" s="1323" t="s">
        <v>6454</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6455</v>
      </c>
      <c r="C2136" s="1323" t="s">
        <v>6456</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6457</v>
      </c>
      <c r="C2137" s="1323" t="s">
        <v>6458</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6459</v>
      </c>
      <c r="C2138" s="1323" t="s">
        <v>6460</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6461</v>
      </c>
      <c r="C2139" s="1323" t="s">
        <v>6462</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6463</v>
      </c>
      <c r="C2140" s="1323" t="s">
        <v>6464</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6465</v>
      </c>
      <c r="C2141" s="1323" t="s">
        <v>6466</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6467</v>
      </c>
      <c r="C2142" s="1323" t="s">
        <v>6468</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6469</v>
      </c>
      <c r="C2143" s="1323" t="s">
        <v>6470</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6471</v>
      </c>
      <c r="C2144" s="1323" t="s">
        <v>6472</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6473</v>
      </c>
      <c r="C2145" s="1323" t="s">
        <v>6474</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6475</v>
      </c>
      <c r="C2146" s="1323" t="s">
        <v>6476</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6477</v>
      </c>
      <c r="C2147" s="1323" t="s">
        <v>6478</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6479</v>
      </c>
      <c r="C2148" s="1323" t="s">
        <v>6480</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6481</v>
      </c>
      <c r="C2149" s="1323" t="s">
        <v>6482</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6483</v>
      </c>
      <c r="C2150" s="1323" t="s">
        <v>6484</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6485</v>
      </c>
      <c r="C2151" s="1323" t="s">
        <v>6486</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6487</v>
      </c>
      <c r="C2152" s="1323" t="s">
        <v>6488</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6489</v>
      </c>
      <c r="C2153" s="1323" t="s">
        <v>6490</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6491</v>
      </c>
      <c r="C2154" s="1323" t="s">
        <v>6492</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6493</v>
      </c>
      <c r="C2155" s="1323" t="s">
        <v>6494</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6495</v>
      </c>
      <c r="C2156" s="1323" t="s">
        <v>6496</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6497</v>
      </c>
      <c r="C2157" s="1323" t="s">
        <v>6498</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6499</v>
      </c>
      <c r="C2158" s="1323" t="s">
        <v>6500</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6501</v>
      </c>
      <c r="C2159" s="1323" t="s">
        <v>6502</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6503</v>
      </c>
      <c r="C2160" s="1323" t="s">
        <v>6504</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6505</v>
      </c>
      <c r="C2161" s="1323" t="s">
        <v>6506</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6507</v>
      </c>
      <c r="C2162" s="1323" t="s">
        <v>6508</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6509</v>
      </c>
      <c r="C2163" s="1323" t="s">
        <v>6510</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6511</v>
      </c>
      <c r="C2164" s="1323" t="s">
        <v>6512</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6513</v>
      </c>
      <c r="C2165" s="1323" t="s">
        <v>6514</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6515</v>
      </c>
      <c r="C2166" s="1323" t="s">
        <v>6516</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6517</v>
      </c>
      <c r="C2167" s="1323" t="s">
        <v>6518</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6519</v>
      </c>
      <c r="C2168" s="1323" t="s">
        <v>6520</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6521</v>
      </c>
      <c r="C2169" s="1323" t="s">
        <v>6522</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6523</v>
      </c>
      <c r="C2170" s="1323" t="s">
        <v>6524</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6525</v>
      </c>
      <c r="C2171" s="1323" t="s">
        <v>6526</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6527</v>
      </c>
      <c r="C2172" s="1323" t="s">
        <v>6528</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6529</v>
      </c>
      <c r="C2173" s="1323" t="s">
        <v>6530</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6531</v>
      </c>
      <c r="C2174" s="1323" t="s">
        <v>6532</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6533</v>
      </c>
      <c r="C2175" s="1323" t="s">
        <v>6534</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6535</v>
      </c>
      <c r="C2176" s="1323" t="s">
        <v>6536</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6537</v>
      </c>
      <c r="C2177" s="1323" t="s">
        <v>6538</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6539</v>
      </c>
      <c r="C2178" s="1323" t="s">
        <v>6540</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6541</v>
      </c>
      <c r="C2179" s="1323" t="s">
        <v>6542</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6543</v>
      </c>
      <c r="C2180" s="1323" t="s">
        <v>6544</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6545</v>
      </c>
      <c r="C2181" s="1323" t="s">
        <v>6546</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6547</v>
      </c>
      <c r="C2182" s="1323" t="s">
        <v>6548</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6549</v>
      </c>
      <c r="C2183" s="1323" t="s">
        <v>6550</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6551</v>
      </c>
      <c r="C2184" s="1323" t="s">
        <v>6552</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6553</v>
      </c>
      <c r="C2185" s="1323" t="s">
        <v>6554</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6555</v>
      </c>
      <c r="C2186" s="1323" t="s">
        <v>6556</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6557</v>
      </c>
      <c r="C2187" s="1323" t="s">
        <v>6558</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6559</v>
      </c>
      <c r="C2188" s="1323" t="s">
        <v>6560</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6561</v>
      </c>
      <c r="C2189" s="1323" t="s">
        <v>6562</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6563</v>
      </c>
      <c r="C2190" s="1323" t="s">
        <v>6564</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6565</v>
      </c>
      <c r="C2191" s="1323" t="s">
        <v>6566</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6567</v>
      </c>
      <c r="C2192" s="1323" t="s">
        <v>6568</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6569</v>
      </c>
      <c r="C2193" s="1323" t="s">
        <v>6570</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6571</v>
      </c>
      <c r="C2194" s="1323" t="s">
        <v>6572</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6573</v>
      </c>
      <c r="C2195" s="1323" t="s">
        <v>6574</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6575</v>
      </c>
      <c r="C2196" s="1323" t="s">
        <v>6576</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6577</v>
      </c>
      <c r="C2197" s="1323" t="s">
        <v>6578</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6579</v>
      </c>
      <c r="C2198" s="1323" t="s">
        <v>6580</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6581</v>
      </c>
      <c r="C2199" s="1323" t="s">
        <v>6582</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6583</v>
      </c>
      <c r="C2200" s="1323" t="s">
        <v>6584</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6585</v>
      </c>
      <c r="C2201" s="1323" t="s">
        <v>6586</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6587</v>
      </c>
      <c r="C2202" s="1323" t="s">
        <v>6588</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6589</v>
      </c>
      <c r="C2203" s="1323" t="s">
        <v>6590</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6591</v>
      </c>
      <c r="C2204" s="1323" t="s">
        <v>6592</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6593</v>
      </c>
      <c r="C2205" s="1323" t="s">
        <v>6594</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6595</v>
      </c>
      <c r="C2206" s="1323" t="s">
        <v>6596</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6597</v>
      </c>
      <c r="C2207" s="1323" t="s">
        <v>6598</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6599</v>
      </c>
      <c r="C2208" s="1323" t="s">
        <v>6600</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6601</v>
      </c>
      <c r="C2209" s="1323" t="s">
        <v>6602</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6603</v>
      </c>
      <c r="C2210" s="1323" t="s">
        <v>6604</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6605</v>
      </c>
      <c r="C2211" s="1323" t="s">
        <v>6606</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6607</v>
      </c>
      <c r="C2212" s="1323" t="s">
        <v>6608</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6609</v>
      </c>
      <c r="C2213" s="1323" t="s">
        <v>6610</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6611</v>
      </c>
      <c r="C2214" s="1323" t="s">
        <v>6612</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6613</v>
      </c>
      <c r="C2215" s="1323" t="s">
        <v>6614</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6615</v>
      </c>
      <c r="C2216" s="1323" t="s">
        <v>6616</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6617</v>
      </c>
      <c r="C2217" s="1323" t="s">
        <v>6618</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6619</v>
      </c>
      <c r="C2218" s="1323" t="s">
        <v>6620</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6621</v>
      </c>
      <c r="C2219" s="1323" t="s">
        <v>6622</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6623</v>
      </c>
      <c r="C2220" s="1323" t="s">
        <v>6624</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6625</v>
      </c>
      <c r="C2221" s="1323" t="s">
        <v>6626</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6627</v>
      </c>
      <c r="C2222" s="1323" t="s">
        <v>6628</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6629</v>
      </c>
      <c r="C2223" s="1323" t="s">
        <v>6630</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6631</v>
      </c>
      <c r="C2224" s="1323" t="s">
        <v>6632</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6633</v>
      </c>
      <c r="C2225" s="1323" t="s">
        <v>6634</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6635</v>
      </c>
      <c r="C2226" s="1323" t="s">
        <v>6636</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6637</v>
      </c>
      <c r="C2227" s="1323" t="s">
        <v>6638</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6639</v>
      </c>
      <c r="C2228" s="1323" t="s">
        <v>6640</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6641</v>
      </c>
      <c r="C2229" s="1323" t="s">
        <v>6642</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6643</v>
      </c>
      <c r="C2230" s="1323" t="s">
        <v>6644</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6645</v>
      </c>
      <c r="C2231" s="1323" t="s">
        <v>6646</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6647</v>
      </c>
      <c r="C2232" s="1323" t="s">
        <v>6648</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6649</v>
      </c>
      <c r="C2233" s="1323" t="s">
        <v>6650</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6651</v>
      </c>
      <c r="C2234" s="1323" t="s">
        <v>6652</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6653</v>
      </c>
      <c r="C2235" s="1323" t="s">
        <v>6654</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6655</v>
      </c>
      <c r="C2236" s="1323" t="s">
        <v>6656</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6657</v>
      </c>
      <c r="C2237" s="1323" t="s">
        <v>6658</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6659</v>
      </c>
      <c r="C2238" s="1323" t="s">
        <v>6660</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6661</v>
      </c>
      <c r="C2239" s="1323" t="s">
        <v>6662</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6663</v>
      </c>
      <c r="C2240" s="1323" t="s">
        <v>6664</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6665</v>
      </c>
      <c r="C2241" s="1323" t="s">
        <v>6666</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6667</v>
      </c>
      <c r="C2242" s="1323" t="s">
        <v>6668</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6669</v>
      </c>
      <c r="C2243" s="1323" t="s">
        <v>6670</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6671</v>
      </c>
      <c r="C2244" s="1323" t="s">
        <v>6672</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6673</v>
      </c>
      <c r="C2245" s="1323" t="s">
        <v>6674</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6675</v>
      </c>
      <c r="C2246" s="1323" t="s">
        <v>6676</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6677</v>
      </c>
      <c r="C2247" s="1323" t="s">
        <v>6678</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6679</v>
      </c>
      <c r="C2248" s="1323" t="s">
        <v>6680</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6681</v>
      </c>
      <c r="C2249" s="1323" t="s">
        <v>6682</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6683</v>
      </c>
      <c r="C2250" s="1323" t="s">
        <v>6684</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6685</v>
      </c>
      <c r="C2251" s="1323" t="s">
        <v>6686</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6687</v>
      </c>
      <c r="C2252" s="1323" t="s">
        <v>6688</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6689</v>
      </c>
      <c r="C2253" s="1323" t="s">
        <v>6690</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6691</v>
      </c>
      <c r="C2254" s="1323" t="s">
        <v>6692</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6693</v>
      </c>
      <c r="C2255" s="1323" t="s">
        <v>6694</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6695</v>
      </c>
      <c r="C2256" s="1323" t="s">
        <v>6696</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6697</v>
      </c>
      <c r="C2257" s="1323" t="s">
        <v>6698</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6699</v>
      </c>
      <c r="C2258" s="1323" t="s">
        <v>6700</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6701</v>
      </c>
      <c r="C2259" s="1323" t="s">
        <v>6702</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6703</v>
      </c>
      <c r="C2260" s="1323" t="s">
        <v>6704</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6705</v>
      </c>
      <c r="C2261" s="1323" t="s">
        <v>6706</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6707</v>
      </c>
      <c r="C2262" s="1323" t="s">
        <v>6708</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6709</v>
      </c>
      <c r="C2263" s="1323" t="s">
        <v>6710</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6711</v>
      </c>
      <c r="C2264" s="1323" t="s">
        <v>6712</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6713</v>
      </c>
      <c r="C2265" s="1323" t="s">
        <v>6714</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6715</v>
      </c>
      <c r="C2266" s="1323" t="s">
        <v>6716</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6717</v>
      </c>
      <c r="C2267" s="1323" t="s">
        <v>6718</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6719</v>
      </c>
      <c r="C2268" s="1323" t="s">
        <v>6720</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6721</v>
      </c>
      <c r="C2269" s="1323" t="s">
        <v>6722</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6723</v>
      </c>
      <c r="C2270" s="1323" t="s">
        <v>6724</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6725</v>
      </c>
      <c r="C2271" s="1323" t="s">
        <v>6726</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6727</v>
      </c>
      <c r="C2272" s="1323" t="s">
        <v>6728</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6729</v>
      </c>
      <c r="C2273" s="1323" t="s">
        <v>6730</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6731</v>
      </c>
      <c r="C2274" s="1323" t="s">
        <v>6732</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6733</v>
      </c>
      <c r="C2275" s="1323" t="s">
        <v>6734</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6735</v>
      </c>
      <c r="C2276" s="1323" t="s">
        <v>6736</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6737</v>
      </c>
      <c r="C2277" s="1323" t="s">
        <v>6738</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6739</v>
      </c>
      <c r="C2278" s="1323" t="s">
        <v>6738</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6740</v>
      </c>
      <c r="C2279" s="1323" t="s">
        <v>6741</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6742</v>
      </c>
      <c r="C2280" s="1323" t="s">
        <v>6743</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6744</v>
      </c>
      <c r="C2281" s="1323" t="s">
        <v>6745</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6746</v>
      </c>
      <c r="C2282" s="1323" t="s">
        <v>6747</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6748</v>
      </c>
      <c r="C2283" s="1323" t="s">
        <v>6749</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6750</v>
      </c>
      <c r="C2284" s="1323" t="s">
        <v>6751</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6752</v>
      </c>
      <c r="C2285" s="1323" t="s">
        <v>6753</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6754</v>
      </c>
      <c r="C2286" s="1323" t="s">
        <v>6755</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6756</v>
      </c>
      <c r="C2287" s="1323" t="s">
        <v>6757</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6758</v>
      </c>
      <c r="C2288" s="1323" t="s">
        <v>6759</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6760</v>
      </c>
      <c r="C2289" s="1323" t="s">
        <v>6761</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6762</v>
      </c>
      <c r="C2290" s="1323" t="s">
        <v>6763</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6764</v>
      </c>
      <c r="C2291" s="1323" t="s">
        <v>6765</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6766</v>
      </c>
      <c r="C2292" s="1323" t="s">
        <v>6767</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6768</v>
      </c>
      <c r="C2293" s="1323" t="s">
        <v>6769</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6770</v>
      </c>
      <c r="C2294" s="1323" t="s">
        <v>6771</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6772</v>
      </c>
      <c r="C2295" s="1323" t="s">
        <v>6773</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6774</v>
      </c>
      <c r="C2296" s="1323" t="s">
        <v>6775</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6776</v>
      </c>
      <c r="C2297" s="1323" t="s">
        <v>6777</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6778</v>
      </c>
      <c r="C2298" s="1323" t="s">
        <v>6779</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6780</v>
      </c>
      <c r="C2299" s="1323" t="s">
        <v>6781</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6782</v>
      </c>
      <c r="C2300" s="1323" t="s">
        <v>6783</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6784</v>
      </c>
      <c r="C2301" s="1323" t="s">
        <v>6785</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6786</v>
      </c>
      <c r="C2302" s="1323" t="s">
        <v>6787</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6788</v>
      </c>
      <c r="C2303" s="1323" t="s">
        <v>6789</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6790</v>
      </c>
      <c r="C2304" s="1323" t="s">
        <v>6791</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6792</v>
      </c>
      <c r="C2305" s="1323" t="s">
        <v>6626</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6793</v>
      </c>
      <c r="C2306" s="1323" t="s">
        <v>6794</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6795</v>
      </c>
      <c r="C2307" s="1323" t="s">
        <v>6796</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6797</v>
      </c>
      <c r="C2308" s="1323" t="s">
        <v>6798</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6799</v>
      </c>
      <c r="C2309" s="1323" t="s">
        <v>6800</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6801</v>
      </c>
      <c r="C2310" s="1323" t="s">
        <v>6802</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6803</v>
      </c>
      <c r="C2311" s="1323" t="s">
        <v>6804</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6805</v>
      </c>
      <c r="C2312" s="1323" t="s">
        <v>6806</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6807</v>
      </c>
      <c r="C2313" s="1323" t="s">
        <v>6808</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6809</v>
      </c>
      <c r="C2314" s="1323" t="s">
        <v>6810</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6811</v>
      </c>
      <c r="C2315" s="1323" t="s">
        <v>6812</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6813</v>
      </c>
      <c r="C2316" s="1323" t="s">
        <v>5673</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6814</v>
      </c>
      <c r="C2317" s="1323" t="s">
        <v>6815</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6816</v>
      </c>
      <c r="C2318" s="1323" t="s">
        <v>6817</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6818</v>
      </c>
      <c r="C2319" s="1323" t="s">
        <v>6819</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6820</v>
      </c>
      <c r="C2320" s="1323" t="s">
        <v>6821</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6822</v>
      </c>
      <c r="C2321" s="1323" t="s">
        <v>6823</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6824</v>
      </c>
      <c r="C2322" s="1323" t="s">
        <v>6825</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6826</v>
      </c>
      <c r="C2323" s="1323" t="s">
        <v>5606</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6827</v>
      </c>
      <c r="C2324" s="1323" t="s">
        <v>6828</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6829</v>
      </c>
      <c r="C2325" s="1323" t="s">
        <v>6830</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6831</v>
      </c>
      <c r="C2326" s="1323" t="s">
        <v>6832</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6833</v>
      </c>
      <c r="C2327" s="1323" t="s">
        <v>6834</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6835</v>
      </c>
      <c r="C2328" s="1323" t="s">
        <v>6836</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6837</v>
      </c>
      <c r="C2329" s="1323" t="s">
        <v>6838</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6839</v>
      </c>
      <c r="C2330" s="1323" t="s">
        <v>6840</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6841</v>
      </c>
      <c r="C2331" s="1323" t="s">
        <v>6842</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6843</v>
      </c>
      <c r="C2332" s="1323" t="s">
        <v>6844</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6845</v>
      </c>
      <c r="C2333" s="1323" t="s">
        <v>6846</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6847</v>
      </c>
      <c r="C2334" s="1323" t="s">
        <v>6848</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6849</v>
      </c>
      <c r="C2335" s="1323" t="s">
        <v>6850</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6851</v>
      </c>
      <c r="C2336" s="1323" t="s">
        <v>6852</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6853</v>
      </c>
      <c r="C2337" s="1323" t="s">
        <v>6854</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6855</v>
      </c>
      <c r="C2338" s="1323" t="s">
        <v>6856</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6857</v>
      </c>
      <c r="C2339" s="1323" t="s">
        <v>6858</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6859</v>
      </c>
      <c r="C2340" s="1323" t="s">
        <v>6860</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6861</v>
      </c>
      <c r="C2341" s="1323" t="s">
        <v>6862</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6863</v>
      </c>
      <c r="C2342" s="1323" t="s">
        <v>6864</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6865</v>
      </c>
      <c r="C2343" s="1323" t="s">
        <v>6866</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6867</v>
      </c>
      <c r="C2344" s="1323" t="s">
        <v>6868</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6869</v>
      </c>
      <c r="C2345" s="1323" t="s">
        <v>6870</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6871</v>
      </c>
      <c r="C2346" s="1323" t="s">
        <v>6872</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6873</v>
      </c>
      <c r="C2347" s="1323" t="s">
        <v>6874</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6875</v>
      </c>
      <c r="C2348" s="1323" t="s">
        <v>6876</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6877</v>
      </c>
      <c r="C2349" s="1323" t="s">
        <v>6878</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6879</v>
      </c>
      <c r="C2350" s="1323" t="s">
        <v>6880</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6881</v>
      </c>
      <c r="C2351" s="1323" t="s">
        <v>6882</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6883</v>
      </c>
      <c r="C2352" s="1323" t="s">
        <v>6884</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6885</v>
      </c>
      <c r="C2353" s="1323" t="s">
        <v>6886</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6887</v>
      </c>
      <c r="C2354" s="1323" t="s">
        <v>6888</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6889</v>
      </c>
      <c r="C2355" s="1323" t="s">
        <v>6890</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6891</v>
      </c>
      <c r="C2356" s="1323" t="s">
        <v>6892</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6893</v>
      </c>
      <c r="C2357" s="1323" t="s">
        <v>6894</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6895</v>
      </c>
      <c r="C2358" s="1323" t="s">
        <v>6896</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6897</v>
      </c>
      <c r="C2359" s="1323" t="s">
        <v>6898</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6899</v>
      </c>
      <c r="C2360" s="1323" t="s">
        <v>6900</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6901</v>
      </c>
      <c r="C2361" s="1323" t="s">
        <v>6902</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6903</v>
      </c>
      <c r="C2362" s="1323" t="s">
        <v>6904</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6905</v>
      </c>
      <c r="C2363" s="1323" t="s">
        <v>6906</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6907</v>
      </c>
      <c r="C2364" s="1323" t="s">
        <v>6908</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6909</v>
      </c>
      <c r="C2365" s="1323" t="s">
        <v>6910</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6911</v>
      </c>
      <c r="C2366" s="1323" t="s">
        <v>6912</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6913</v>
      </c>
      <c r="C2367" s="1323" t="s">
        <v>6914</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6915</v>
      </c>
      <c r="C2368" s="1323" t="s">
        <v>6916</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6917</v>
      </c>
      <c r="C2369" s="1323" t="s">
        <v>6918</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6919</v>
      </c>
      <c r="C2370" s="1323" t="s">
        <v>6920</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6921</v>
      </c>
      <c r="C2371" s="1323" t="s">
        <v>6922</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6923</v>
      </c>
      <c r="C2372" s="1323" t="s">
        <v>6924</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6925</v>
      </c>
      <c r="C2373" s="1323" t="s">
        <v>6926</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6927</v>
      </c>
      <c r="C2374" s="1323" t="s">
        <v>6928</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6929</v>
      </c>
      <c r="C2375" s="1323" t="s">
        <v>6930</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6931</v>
      </c>
      <c r="C2376" s="1323" t="s">
        <v>6932</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6933</v>
      </c>
      <c r="C2377" s="1323" t="s">
        <v>6934</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6935</v>
      </c>
      <c r="C2378" s="1323" t="s">
        <v>6936</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6937</v>
      </c>
      <c r="C2379" s="1323" t="s">
        <v>6938</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6939</v>
      </c>
      <c r="C2380" s="1323" t="s">
        <v>6940</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6941</v>
      </c>
      <c r="C2381" s="1323" t="s">
        <v>6942</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6943</v>
      </c>
      <c r="C2382" s="1323" t="s">
        <v>6944</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6945</v>
      </c>
      <c r="C2383" s="1323" t="s">
        <v>6946</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6947</v>
      </c>
      <c r="C2384" s="1323" t="s">
        <v>6948</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6949</v>
      </c>
      <c r="C2385" s="1323" t="s">
        <v>6950</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6951</v>
      </c>
      <c r="C2386" s="1323" t="s">
        <v>6952</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6953</v>
      </c>
      <c r="C2387" s="1323" t="s">
        <v>6954</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6955</v>
      </c>
      <c r="C2388" s="1323" t="s">
        <v>6956</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6957</v>
      </c>
      <c r="C2389" s="1323" t="s">
        <v>6958</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6959</v>
      </c>
      <c r="C2390" s="1323" t="s">
        <v>6960</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6961</v>
      </c>
      <c r="C2391" s="1323" t="s">
        <v>6962</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6963</v>
      </c>
      <c r="C2392" s="1323" t="s">
        <v>6964</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6965</v>
      </c>
      <c r="C2393" s="1323" t="s">
        <v>6966</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6967</v>
      </c>
      <c r="C2394" s="1323" t="s">
        <v>6968</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6969</v>
      </c>
      <c r="C2395" s="1323" t="s">
        <v>6970</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6971</v>
      </c>
      <c r="C2396" s="1323" t="s">
        <v>6972</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6973</v>
      </c>
      <c r="C2397" s="1323" t="s">
        <v>6974</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6975</v>
      </c>
      <c r="C2398" s="1323" t="s">
        <v>6976</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6977</v>
      </c>
      <c r="C2399" s="1323" t="s">
        <v>6978</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6979</v>
      </c>
      <c r="C2400" s="1323" t="s">
        <v>6980</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6981</v>
      </c>
      <c r="C2401" s="1323" t="s">
        <v>6982</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6983</v>
      </c>
      <c r="C2402" s="1323" t="s">
        <v>6984</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6985</v>
      </c>
      <c r="C2403" s="1323" t="s">
        <v>6502</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6986</v>
      </c>
      <c r="C2404" s="1323" t="s">
        <v>6987</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6988</v>
      </c>
      <c r="C2405" s="1323" t="s">
        <v>6989</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6990</v>
      </c>
      <c r="C2406" s="1323" t="s">
        <v>6991</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6992</v>
      </c>
      <c r="C2407" s="1323" t="s">
        <v>6993</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6994</v>
      </c>
      <c r="C2408" s="1323" t="s">
        <v>6995</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6996</v>
      </c>
      <c r="C2409" s="1323" t="s">
        <v>6997</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6998</v>
      </c>
      <c r="C2410" s="1323" t="s">
        <v>6999</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7000</v>
      </c>
      <c r="C2411" s="1323" t="s">
        <v>7001</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7002</v>
      </c>
      <c r="C2412" s="1323" t="s">
        <v>7003</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7004</v>
      </c>
      <c r="C2413" s="1323" t="s">
        <v>7005</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7006</v>
      </c>
      <c r="C2414" s="1323" t="s">
        <v>7007</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7008</v>
      </c>
      <c r="C2415" s="1323" t="s">
        <v>7009</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7010</v>
      </c>
      <c r="C2416" s="1323" t="s">
        <v>7011</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7012</v>
      </c>
      <c r="C2417" s="1323" t="s">
        <v>6506</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7013</v>
      </c>
      <c r="C2418" s="1323" t="s">
        <v>7014</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7015</v>
      </c>
      <c r="C2419" s="1323" t="s">
        <v>7016</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7017</v>
      </c>
      <c r="C2420" s="1323" t="s">
        <v>7018</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7019</v>
      </c>
      <c r="C2421" s="1323" t="s">
        <v>7020</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7021</v>
      </c>
      <c r="C2422" s="1323" t="s">
        <v>7022</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7023</v>
      </c>
      <c r="C2423" s="1323" t="s">
        <v>7024</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7025</v>
      </c>
      <c r="C2424" s="1323" t="s">
        <v>7026</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7027</v>
      </c>
      <c r="C2425" s="1323" t="s">
        <v>7028</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7029</v>
      </c>
      <c r="C2426" s="1323" t="s">
        <v>7030</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7031</v>
      </c>
      <c r="C2427" s="1323" t="s">
        <v>7032</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7033</v>
      </c>
      <c r="C2428" s="1323" t="s">
        <v>7034</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7035</v>
      </c>
      <c r="C2429" s="1323" t="s">
        <v>7036</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7037</v>
      </c>
      <c r="C2430" s="1323" t="s">
        <v>7038</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7039</v>
      </c>
      <c r="C2431" s="1323" t="s">
        <v>7040</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7041</v>
      </c>
      <c r="C2432" s="1323" t="s">
        <v>7042</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7043</v>
      </c>
      <c r="C2433" s="1323" t="s">
        <v>7044</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7045</v>
      </c>
      <c r="C2434" s="1323" t="s">
        <v>7046</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7047</v>
      </c>
      <c r="C2435" s="1323" t="s">
        <v>7048</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7049</v>
      </c>
      <c r="C2436" s="1323" t="s">
        <v>7050</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7051</v>
      </c>
      <c r="C2437" s="1323" t="s">
        <v>7052</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7053</v>
      </c>
      <c r="C2438" s="1323" t="s">
        <v>7054</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7055</v>
      </c>
      <c r="C2439" s="1323" t="s">
        <v>7056</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7057</v>
      </c>
      <c r="C2440" s="1323" t="s">
        <v>7058</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7059</v>
      </c>
      <c r="C2441" s="1323" t="s">
        <v>7060</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7061</v>
      </c>
      <c r="C2442" s="1323" t="s">
        <v>7062</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7063</v>
      </c>
      <c r="C2443" s="1323" t="s">
        <v>7064</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7065</v>
      </c>
      <c r="C2444" s="1323" t="s">
        <v>7066</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7067</v>
      </c>
      <c r="C2445" s="1323" t="s">
        <v>7068</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7069</v>
      </c>
      <c r="C2446" s="1323" t="s">
        <v>7070</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7071</v>
      </c>
      <c r="C2447" s="1323" t="s">
        <v>7072</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7073</v>
      </c>
      <c r="C2448" s="1323" t="s">
        <v>7074</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7075</v>
      </c>
      <c r="C2449" s="1323" t="s">
        <v>7076</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7077</v>
      </c>
      <c r="C2450" s="1323" t="s">
        <v>7078</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7079</v>
      </c>
      <c r="C2451" s="1323" t="s">
        <v>7080</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7081</v>
      </c>
      <c r="C2452" s="1323" t="s">
        <v>7082</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7083</v>
      </c>
      <c r="C2453" s="1323" t="s">
        <v>7084</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7085</v>
      </c>
      <c r="C2454" s="1323" t="s">
        <v>7086</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7087</v>
      </c>
      <c r="C2455" s="1323" t="s">
        <v>7088</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7089</v>
      </c>
      <c r="C2456" s="1323" t="s">
        <v>7090</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7091</v>
      </c>
      <c r="C2457" s="1323" t="s">
        <v>7092</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7093</v>
      </c>
      <c r="C2458" s="1323" t="s">
        <v>7094</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7095</v>
      </c>
      <c r="C2459" s="1323" t="s">
        <v>7096</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7097</v>
      </c>
      <c r="C2460" s="1323" t="s">
        <v>7098</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7099</v>
      </c>
      <c r="C2461" s="1323" t="s">
        <v>7100</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7101</v>
      </c>
      <c r="C2462" s="1323" t="s">
        <v>7102</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7103</v>
      </c>
      <c r="C2463" s="1323" t="s">
        <v>7104</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7105</v>
      </c>
      <c r="C2464" s="1323" t="s">
        <v>7106</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7107</v>
      </c>
      <c r="C2465" s="1323" t="s">
        <v>7108</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7109</v>
      </c>
      <c r="C2466" s="1323" t="s">
        <v>7110</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7111</v>
      </c>
      <c r="C2467" s="1323" t="s">
        <v>7112</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7113</v>
      </c>
      <c r="C2468" s="1323" t="s">
        <v>7114</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7115</v>
      </c>
      <c r="C2469" s="1323" t="s">
        <v>7116</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7117</v>
      </c>
      <c r="C2470" s="1323" t="s">
        <v>7118</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7119</v>
      </c>
      <c r="C2471" s="1323" t="s">
        <v>7120</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7121</v>
      </c>
      <c r="C2472" s="1323" t="s">
        <v>7122</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7123</v>
      </c>
      <c r="C2473" s="1323" t="s">
        <v>7124</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7125</v>
      </c>
      <c r="C2474" s="1323" t="s">
        <v>7126</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7127</v>
      </c>
      <c r="C2475" s="1323" t="s">
        <v>7128</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7129</v>
      </c>
      <c r="C2476" s="1323" t="s">
        <v>7130</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7131</v>
      </c>
      <c r="C2477" s="1323" t="s">
        <v>7132</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7133</v>
      </c>
      <c r="C2478" s="1323" t="s">
        <v>7134</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7135</v>
      </c>
      <c r="C2479" s="1323" t="s">
        <v>7136</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7137</v>
      </c>
      <c r="C2480" s="1323" t="s">
        <v>7138</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7139</v>
      </c>
      <c r="C2481" s="1323" t="s">
        <v>7140</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7141</v>
      </c>
      <c r="C2482" s="1323" t="s">
        <v>6340</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7142</v>
      </c>
      <c r="C2483" s="1323" t="s">
        <v>7143</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7144</v>
      </c>
      <c r="C2484" s="1323" t="s">
        <v>7145</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7146</v>
      </c>
      <c r="C2485" s="1323" t="s">
        <v>7147</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7148</v>
      </c>
      <c r="C2486" s="1323" t="s">
        <v>7149</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7150</v>
      </c>
      <c r="C2487" s="1323" t="s">
        <v>7151</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7152</v>
      </c>
      <c r="C2488" s="1323" t="s">
        <v>7153</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7154</v>
      </c>
      <c r="C2489" s="1323" t="s">
        <v>7155</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7156</v>
      </c>
      <c r="C2490" s="1323" t="s">
        <v>7157</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7158</v>
      </c>
      <c r="C2491" s="1323" t="s">
        <v>7159</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7160</v>
      </c>
      <c r="C2492" s="1323" t="s">
        <v>7161</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7162</v>
      </c>
      <c r="C2493" s="1323" t="s">
        <v>7163</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7164</v>
      </c>
      <c r="C2494" s="1323" t="s">
        <v>7165</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7166</v>
      </c>
      <c r="C2495" s="1323" t="s">
        <v>7167</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7168</v>
      </c>
      <c r="C2496" s="1323" t="s">
        <v>7169</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7170</v>
      </c>
      <c r="C2497" s="1323" t="s">
        <v>7171</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7172</v>
      </c>
      <c r="C2498" s="1323" t="s">
        <v>7173</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7174</v>
      </c>
      <c r="C2499" s="1323" t="s">
        <v>7175</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7176</v>
      </c>
      <c r="C2500" s="1323" t="s">
        <v>7177</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7178</v>
      </c>
      <c r="C2501" s="1323" t="s">
        <v>7179</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7180</v>
      </c>
      <c r="C2502" s="1323" t="s">
        <v>7181</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7182</v>
      </c>
      <c r="C2503" s="1323" t="s">
        <v>6755</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7183</v>
      </c>
      <c r="C2504" s="1323" t="s">
        <v>7184</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7185</v>
      </c>
      <c r="C2505" s="1323" t="s">
        <v>7186</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7187</v>
      </c>
      <c r="C2506" s="1323" t="s">
        <v>7184</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7188</v>
      </c>
      <c r="C2507" s="1323" t="s">
        <v>7189</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7190</v>
      </c>
      <c r="C2508" s="1323" t="s">
        <v>7191</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7192</v>
      </c>
      <c r="C2509" s="1323" t="s">
        <v>4102</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7193</v>
      </c>
      <c r="C2510" s="1323" t="s">
        <v>7194</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7195</v>
      </c>
      <c r="C2511" s="1323" t="s">
        <v>7196</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7197</v>
      </c>
      <c r="C2512" s="1323" t="s">
        <v>7198</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7199</v>
      </c>
      <c r="C2513" s="1323" t="s">
        <v>6749</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7200</v>
      </c>
      <c r="C2514" s="1323" t="s">
        <v>7201</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7202</v>
      </c>
      <c r="C2515" s="1323" t="s">
        <v>7203</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7204</v>
      </c>
      <c r="C2516" s="1323" t="s">
        <v>7205</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7206</v>
      </c>
      <c r="C2517" s="1323" t="s">
        <v>7207</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7208</v>
      </c>
      <c r="C2518" s="1323" t="s">
        <v>7209</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7210</v>
      </c>
      <c r="C2519" s="1323" t="s">
        <v>7211</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7212</v>
      </c>
      <c r="C2520" s="1323" t="s">
        <v>7213</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7214</v>
      </c>
      <c r="C2521" s="1323" t="s">
        <v>7215</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7216</v>
      </c>
      <c r="C2522" s="1323" t="s">
        <v>7217</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7218</v>
      </c>
      <c r="C2523" s="1323" t="s">
        <v>7219</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7220</v>
      </c>
      <c r="C2524" s="1323" t="s">
        <v>7221</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7222</v>
      </c>
      <c r="C2525" s="1323" t="s">
        <v>7223</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7224</v>
      </c>
      <c r="C2526" s="1323" t="s">
        <v>7225</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7226</v>
      </c>
      <c r="C2527" s="1323" t="s">
        <v>7227</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7228</v>
      </c>
      <c r="C2528" s="1323" t="s">
        <v>7229</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7230</v>
      </c>
      <c r="C2529" s="1323" t="s">
        <v>7231</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7232</v>
      </c>
      <c r="C2530" s="1323" t="s">
        <v>7233</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7234</v>
      </c>
      <c r="C2531" s="1323" t="s">
        <v>7235</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7236</v>
      </c>
      <c r="C2532" s="1323" t="s">
        <v>7237</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7238</v>
      </c>
      <c r="C2533" s="1323" t="s">
        <v>7239</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7240</v>
      </c>
      <c r="C2534" s="1323" t="s">
        <v>7241</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7242</v>
      </c>
      <c r="C2535" s="1323" t="s">
        <v>7243</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7244</v>
      </c>
      <c r="C2536" s="1323" t="s">
        <v>7245</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7246</v>
      </c>
      <c r="C2537" s="1323" t="s">
        <v>7247</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7248</v>
      </c>
      <c r="C2538" s="1323" t="s">
        <v>6522</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7249</v>
      </c>
      <c r="C2539" s="1323" t="s">
        <v>7250</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7251</v>
      </c>
      <c r="C2540" s="1323" t="s">
        <v>7252</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7253</v>
      </c>
      <c r="C2541" s="1323" t="s">
        <v>7254</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7255</v>
      </c>
      <c r="C2542" s="1323" t="s">
        <v>7256</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7257</v>
      </c>
      <c r="C2543" s="1323" t="s">
        <v>7258</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7259</v>
      </c>
      <c r="C2544" s="1323" t="s">
        <v>7260</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7261</v>
      </c>
      <c r="C2545" s="1323" t="s">
        <v>7262</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7263</v>
      </c>
      <c r="C2546" s="1323" t="s">
        <v>7264</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7265</v>
      </c>
      <c r="C2547" s="1323" t="s">
        <v>7266</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7267</v>
      </c>
      <c r="C2548" s="1323" t="s">
        <v>7268</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7269</v>
      </c>
      <c r="C2549" s="1323" t="s">
        <v>7270</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7271</v>
      </c>
      <c r="C2550" s="1323" t="s">
        <v>7272</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7273</v>
      </c>
      <c r="C2551" s="1323" t="s">
        <v>7274</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7275</v>
      </c>
      <c r="C2552" s="1323" t="s">
        <v>7276</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7277</v>
      </c>
      <c r="C2553" s="1323" t="s">
        <v>7278</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7279</v>
      </c>
      <c r="C2554" s="1323" t="s">
        <v>6413</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7280</v>
      </c>
      <c r="C2555" s="1323" t="s">
        <v>7281</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7282</v>
      </c>
      <c r="C2556" s="1323" t="s">
        <v>7283</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7284</v>
      </c>
      <c r="C2557" s="1323" t="s">
        <v>7285</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7286</v>
      </c>
      <c r="C2558" s="1323" t="s">
        <v>7287</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7288</v>
      </c>
      <c r="C2559" s="1323" t="s">
        <v>7289</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7290</v>
      </c>
      <c r="C2560" s="1323" t="s">
        <v>7291</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7292</v>
      </c>
      <c r="C2561" s="1323" t="s">
        <v>7293</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7294</v>
      </c>
      <c r="C2562" s="1323" t="s">
        <v>7295</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7296</v>
      </c>
      <c r="C2563" s="1323" t="s">
        <v>7297</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7298</v>
      </c>
      <c r="C2564" s="1323" t="s">
        <v>7299</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7300</v>
      </c>
      <c r="C2565" s="1323" t="s">
        <v>7301</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7302</v>
      </c>
      <c r="C2566" s="1323" t="s">
        <v>7303</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7304</v>
      </c>
      <c r="C2567" s="1323" t="s">
        <v>7305</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7306</v>
      </c>
      <c r="C2568" s="1323" t="s">
        <v>7307</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7308</v>
      </c>
      <c r="C2569" s="1323" t="s">
        <v>7309</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7310</v>
      </c>
      <c r="C2570" s="1323" t="s">
        <v>7311</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7312</v>
      </c>
      <c r="C2571" s="1323" t="s">
        <v>7313</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7314</v>
      </c>
      <c r="C2572" s="1323" t="s">
        <v>7315</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7316</v>
      </c>
      <c r="C2573" s="1323" t="s">
        <v>7317</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7318</v>
      </c>
      <c r="C2574" s="1323" t="s">
        <v>7319</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7320</v>
      </c>
      <c r="C2575" s="1323" t="s">
        <v>7321</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7322</v>
      </c>
      <c r="C2576" s="1323" t="s">
        <v>7323</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7324</v>
      </c>
      <c r="C2577" s="1323" t="s">
        <v>7325</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7326</v>
      </c>
      <c r="C2578" s="1323" t="s">
        <v>7327</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7328</v>
      </c>
      <c r="C2579" s="1323" t="s">
        <v>7329</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7330</v>
      </c>
      <c r="C2580" s="1323" t="s">
        <v>5588</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7331</v>
      </c>
      <c r="C2581" s="1323" t="s">
        <v>7332</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7333</v>
      </c>
      <c r="C2582" s="1323" t="s">
        <v>3887</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7334</v>
      </c>
      <c r="C2583" s="1323" t="s">
        <v>7335</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7336</v>
      </c>
      <c r="C2584" s="1323" t="s">
        <v>7337</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7338</v>
      </c>
      <c r="C2585" s="1323" t="s">
        <v>7339</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7340</v>
      </c>
      <c r="C2586" s="1323" t="s">
        <v>3918</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7341</v>
      </c>
      <c r="C2587" s="1323" t="s">
        <v>7342</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7343</v>
      </c>
      <c r="C2588" s="1323" t="s">
        <v>7344</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7345</v>
      </c>
      <c r="C2589" s="1323" t="s">
        <v>7346</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7347</v>
      </c>
      <c r="C2590" s="1323" t="s">
        <v>7348</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7349</v>
      </c>
      <c r="C2591" s="1323" t="s">
        <v>7350</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7351</v>
      </c>
      <c r="C2592" s="1323" t="s">
        <v>7352</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7353</v>
      </c>
      <c r="C2593" s="1323" t="s">
        <v>7354</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7355</v>
      </c>
      <c r="C2594" s="1323" t="s">
        <v>7356</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7357</v>
      </c>
      <c r="C2595" s="1323" t="s">
        <v>7358</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7359</v>
      </c>
      <c r="C2596" s="1323" t="s">
        <v>4124</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7360</v>
      </c>
      <c r="C2597" s="1323" t="s">
        <v>7361</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7362</v>
      </c>
      <c r="C2598" s="1323" t="s">
        <v>6618</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7363</v>
      </c>
      <c r="C2599" s="1323" t="s">
        <v>7364</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7365</v>
      </c>
      <c r="C2600" s="1323" t="s">
        <v>7366</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7367</v>
      </c>
      <c r="C2601" s="1323" t="s">
        <v>7368</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7369</v>
      </c>
      <c r="C2602" s="1323" t="s">
        <v>6330</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7370</v>
      </c>
      <c r="C2603" s="1323" t="s">
        <v>7371</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7372</v>
      </c>
      <c r="C2604" s="1323" t="s">
        <v>7373</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7374</v>
      </c>
      <c r="C2605" s="1323" t="s">
        <v>7375</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7376</v>
      </c>
      <c r="C2606" s="1323" t="s">
        <v>7377</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7378</v>
      </c>
      <c r="C2607" s="1323" t="s">
        <v>7379</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7380</v>
      </c>
      <c r="C2608" s="1323" t="s">
        <v>7381</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7382</v>
      </c>
      <c r="C2609" s="1323" t="s">
        <v>7383</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7384</v>
      </c>
      <c r="C2610" s="1323" t="s">
        <v>7385</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7386</v>
      </c>
      <c r="C2611" s="1323" t="s">
        <v>7387</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7388</v>
      </c>
      <c r="C2612" s="1323" t="s">
        <v>7389</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7390</v>
      </c>
      <c r="C2613" s="1323" t="s">
        <v>7391</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7392</v>
      </c>
      <c r="C2614" s="1323" t="s">
        <v>7393</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7394</v>
      </c>
      <c r="C2615" s="1323" t="s">
        <v>7395</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7396</v>
      </c>
      <c r="C2616" s="1323" t="s">
        <v>7397</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7398</v>
      </c>
      <c r="C2617" s="1323" t="s">
        <v>7399</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7400</v>
      </c>
      <c r="C2618" s="1323" t="s">
        <v>7401</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7402</v>
      </c>
      <c r="C2619" s="1323" t="s">
        <v>7403</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7404</v>
      </c>
      <c r="C2620" s="1323" t="s">
        <v>7405</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7406</v>
      </c>
      <c r="C2621" s="1323" t="s">
        <v>7407</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7408</v>
      </c>
      <c r="C2622" s="1323" t="s">
        <v>7409</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7410</v>
      </c>
      <c r="C2623" s="1323" t="s">
        <v>7411</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7412</v>
      </c>
      <c r="C2624" s="1323" t="s">
        <v>7413</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7414</v>
      </c>
      <c r="C2625" s="1323" t="s">
        <v>7415</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7416</v>
      </c>
      <c r="C2626" s="1323" t="s">
        <v>7417</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7418</v>
      </c>
      <c r="C2627" s="1323" t="s">
        <v>7419</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7420</v>
      </c>
      <c r="C2628" s="1323" t="s">
        <v>7421</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7422</v>
      </c>
      <c r="C2629" s="1323" t="s">
        <v>7423</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7424</v>
      </c>
      <c r="C2630" s="1323" t="s">
        <v>7425</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7426</v>
      </c>
      <c r="C2631" s="1323" t="s">
        <v>7427</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7428</v>
      </c>
      <c r="C2632" s="1323" t="s">
        <v>7429</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7430</v>
      </c>
      <c r="C2633" s="1323" t="s">
        <v>7431</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7432</v>
      </c>
      <c r="C2634" s="1323" t="s">
        <v>7433</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7434</v>
      </c>
      <c r="C2635" s="1323" t="s">
        <v>7435</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7436</v>
      </c>
      <c r="C2636" s="1323" t="s">
        <v>7437</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7438</v>
      </c>
      <c r="C2637" s="1323" t="s">
        <v>7439</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7440</v>
      </c>
      <c r="C2638" s="1323" t="s">
        <v>7441</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7442</v>
      </c>
      <c r="C2639" s="1323" t="s">
        <v>7443</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7444</v>
      </c>
      <c r="C2640" s="1323" t="s">
        <v>7445</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7446</v>
      </c>
      <c r="C2641" s="1323" t="s">
        <v>7447</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7448</v>
      </c>
      <c r="C2642" s="1323" t="s">
        <v>7449</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7450</v>
      </c>
      <c r="C2643" s="1323" t="s">
        <v>7451</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7452</v>
      </c>
      <c r="C2644" s="1323" t="s">
        <v>7453</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7454</v>
      </c>
      <c r="C2645" s="1323" t="s">
        <v>7455</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7456</v>
      </c>
      <c r="C2646" s="1323" t="s">
        <v>7457</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7458</v>
      </c>
      <c r="C2647" s="1323" t="s">
        <v>7459</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7460</v>
      </c>
      <c r="C2648" s="1323" t="s">
        <v>7461</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7462</v>
      </c>
      <c r="C2649" s="1323" t="s">
        <v>7463</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7464</v>
      </c>
      <c r="C2650" s="1323" t="s">
        <v>7465</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7466</v>
      </c>
      <c r="C2651" s="1323" t="s">
        <v>7467</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7468</v>
      </c>
      <c r="C2652" s="1323" t="s">
        <v>7469</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7470</v>
      </c>
      <c r="C2653" s="1323" t="s">
        <v>7471</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7472</v>
      </c>
      <c r="C2654" s="1323" t="s">
        <v>7473</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7474</v>
      </c>
      <c r="C2655" s="1323" t="s">
        <v>7475</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7476</v>
      </c>
      <c r="C2656" s="1323" t="s">
        <v>7477</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7478</v>
      </c>
      <c r="C2657" s="1323" t="s">
        <v>7479</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7480</v>
      </c>
      <c r="C2658" s="1323" t="s">
        <v>7481</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7482</v>
      </c>
      <c r="C2659" s="1323" t="s">
        <v>7483</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7484</v>
      </c>
      <c r="C2660" s="1323" t="s">
        <v>7485</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7486</v>
      </c>
      <c r="C2661" s="1323" t="s">
        <v>7487</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7488</v>
      </c>
      <c r="C2662" s="1323" t="s">
        <v>7489</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7490</v>
      </c>
      <c r="C2663" s="1323" t="s">
        <v>7491</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7492</v>
      </c>
      <c r="C2664" s="1323" t="s">
        <v>7493</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7494</v>
      </c>
      <c r="C2665" s="1323" t="s">
        <v>7495</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7496</v>
      </c>
      <c r="C2666" s="1323" t="s">
        <v>7497</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7498</v>
      </c>
      <c r="C2667" s="1323" t="s">
        <v>7499</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7500</v>
      </c>
      <c r="C2668" s="1323" t="s">
        <v>7501</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7502</v>
      </c>
      <c r="C2669" s="1323" t="s">
        <v>7503</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7504</v>
      </c>
      <c r="C2670" s="1323" t="s">
        <v>7505</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7506</v>
      </c>
      <c r="C2671" s="1323" t="s">
        <v>7507</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7508</v>
      </c>
      <c r="C2672" s="1323" t="s">
        <v>7509</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7510</v>
      </c>
      <c r="C2673" s="1323" t="s">
        <v>7321</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7511</v>
      </c>
      <c r="C2674" s="1323" t="s">
        <v>7512</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7513</v>
      </c>
      <c r="C2675" s="1323" t="s">
        <v>7514</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7515</v>
      </c>
      <c r="C2676" s="1323" t="s">
        <v>7516</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7517</v>
      </c>
      <c r="C2677" s="1323" t="s">
        <v>4098</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7518</v>
      </c>
      <c r="C2678" s="1323" t="s">
        <v>7519</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7520</v>
      </c>
      <c r="C2679" s="1323" t="s">
        <v>7521</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7522</v>
      </c>
      <c r="C2680" s="1323" t="s">
        <v>7523</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7524</v>
      </c>
      <c r="C2681" s="1323" t="s">
        <v>7525</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7526</v>
      </c>
      <c r="C2682" s="1323" t="s">
        <v>7527</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7528</v>
      </c>
      <c r="C2683" s="1323" t="s">
        <v>7529</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7530</v>
      </c>
      <c r="C2684" s="1323" t="s">
        <v>7531</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7532</v>
      </c>
      <c r="C2685" s="1323" t="s">
        <v>7533</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7534</v>
      </c>
      <c r="C2686" s="1323" t="s">
        <v>7535</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7536</v>
      </c>
      <c r="C2687" s="1323" t="s">
        <v>7537</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7538</v>
      </c>
      <c r="C2688" s="1323" t="s">
        <v>7539</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7540</v>
      </c>
      <c r="C2689" s="1323" t="s">
        <v>7541</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7542</v>
      </c>
      <c r="C2690" s="1323" t="s">
        <v>7543</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7544</v>
      </c>
      <c r="C2691" s="1323" t="s">
        <v>7545</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7546</v>
      </c>
      <c r="C2692" s="1323" t="s">
        <v>7547</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7548</v>
      </c>
      <c r="C2693" s="1323" t="s">
        <v>7549</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7550</v>
      </c>
      <c r="C2694" s="1323" t="s">
        <v>7551</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7552</v>
      </c>
      <c r="C2695" s="1323" t="s">
        <v>7553</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7554</v>
      </c>
      <c r="C2696" s="1323" t="s">
        <v>7555</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7556</v>
      </c>
      <c r="C2697" s="1323" t="s">
        <v>7557</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7558</v>
      </c>
      <c r="C2698" s="1323" t="s">
        <v>7559</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7560</v>
      </c>
      <c r="C2699" s="1323" t="s">
        <v>7561</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7562</v>
      </c>
      <c r="C2700" s="1323" t="s">
        <v>7563</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7564</v>
      </c>
      <c r="C2701" s="1323" t="s">
        <v>7565</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7566</v>
      </c>
      <c r="C2702" s="1323" t="s">
        <v>7567</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7568</v>
      </c>
      <c r="C2703" s="1323" t="s">
        <v>7569</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7570</v>
      </c>
      <c r="C2704" s="1323" t="s">
        <v>7215</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7571</v>
      </c>
      <c r="C2705" s="1323" t="s">
        <v>7572</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7573</v>
      </c>
      <c r="C2706" s="1323" t="s">
        <v>7574</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7575</v>
      </c>
      <c r="C2707" s="1323" t="s">
        <v>7576</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7577</v>
      </c>
      <c r="C2708" s="1323" t="s">
        <v>7578</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7579</v>
      </c>
      <c r="C2709" s="1323" t="s">
        <v>7580</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7581</v>
      </c>
      <c r="C2710" s="1323" t="s">
        <v>7582</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7583</v>
      </c>
      <c r="C2711" s="1323" t="s">
        <v>7584</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7585</v>
      </c>
      <c r="C2712" s="1323" t="s">
        <v>7586</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7587</v>
      </c>
      <c r="C2713" s="1323" t="s">
        <v>7588</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7589</v>
      </c>
      <c r="C2714" s="1323" t="s">
        <v>7590</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7591</v>
      </c>
      <c r="C2715" s="1323" t="s">
        <v>7592</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7593</v>
      </c>
      <c r="C2716" s="1323" t="s">
        <v>7523</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7594</v>
      </c>
      <c r="C2717" s="1323" t="s">
        <v>7595</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7596</v>
      </c>
      <c r="C2718" s="1323" t="s">
        <v>7597</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7598</v>
      </c>
      <c r="C2719" s="1323" t="s">
        <v>7599</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7600</v>
      </c>
      <c r="C2720" s="1323" t="s">
        <v>7601</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7602</v>
      </c>
      <c r="C2721" s="1323" t="s">
        <v>4197</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7603</v>
      </c>
      <c r="C2722" s="1323" t="s">
        <v>7604</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7605</v>
      </c>
      <c r="C2723" s="1323" t="s">
        <v>4021</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7606</v>
      </c>
      <c r="C2724" s="1323" t="s">
        <v>7607</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7608</v>
      </c>
      <c r="C2725" s="1323" t="s">
        <v>7609</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7610</v>
      </c>
      <c r="C2726" s="1323" t="s">
        <v>7611</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7612</v>
      </c>
      <c r="C2727" s="1323" t="s">
        <v>7613</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7614</v>
      </c>
      <c r="C2728" s="1323" t="s">
        <v>7615</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7616</v>
      </c>
      <c r="C2729" s="1323" t="s">
        <v>7617</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7618</v>
      </c>
      <c r="C2730" s="1323" t="s">
        <v>7619</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7620</v>
      </c>
      <c r="C2731" s="1323" t="s">
        <v>7621</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7622</v>
      </c>
      <c r="C2732" s="1323" t="s">
        <v>7623</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7624</v>
      </c>
      <c r="C2733" s="1323" t="s">
        <v>7625</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7626</v>
      </c>
      <c r="C2734" s="1323" t="s">
        <v>7627</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7628</v>
      </c>
      <c r="C2735" s="1323" t="s">
        <v>7629</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7630</v>
      </c>
      <c r="C2736" s="1323" t="s">
        <v>7631</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7632</v>
      </c>
      <c r="C2737" s="1323" t="s">
        <v>7633</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7634</v>
      </c>
      <c r="C2738" s="1323" t="s">
        <v>7635</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7636</v>
      </c>
      <c r="C2739" s="1323" t="s">
        <v>7637</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7638</v>
      </c>
      <c r="C2740" s="1323" t="s">
        <v>7639</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7640</v>
      </c>
      <c r="C2741" s="1323" t="s">
        <v>7641</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7642</v>
      </c>
      <c r="C2742" s="1323" t="s">
        <v>7643</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7644</v>
      </c>
      <c r="C2743" s="1323" t="s">
        <v>7645</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7646</v>
      </c>
      <c r="C2744" s="1323" t="s">
        <v>7647</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7648</v>
      </c>
      <c r="C2745" s="1323" t="s">
        <v>7649</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7650</v>
      </c>
      <c r="C2746" s="1323" t="s">
        <v>7651</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7652</v>
      </c>
      <c r="C2747" s="1323" t="s">
        <v>7653</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7654</v>
      </c>
      <c r="C2748" s="1323" t="s">
        <v>7655</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7656</v>
      </c>
      <c r="C2749" s="1323" t="s">
        <v>7657</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7658</v>
      </c>
      <c r="C2750" s="1323" t="s">
        <v>7659</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7660</v>
      </c>
      <c r="C2751" s="1323" t="s">
        <v>7661</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7662</v>
      </c>
      <c r="C2752" s="1323" t="s">
        <v>7663</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7664</v>
      </c>
      <c r="C2753" s="1323" t="s">
        <v>7665</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7666</v>
      </c>
      <c r="C2754" s="1323" t="s">
        <v>7667</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7668</v>
      </c>
      <c r="C2755" s="1323" t="s">
        <v>7669</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7670</v>
      </c>
      <c r="C2756" s="1323" t="s">
        <v>7671</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7672</v>
      </c>
      <c r="C2757" s="1323" t="s">
        <v>7673</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7674</v>
      </c>
      <c r="C2758" s="1323" t="s">
        <v>5543</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7675</v>
      </c>
      <c r="C2759" s="1323" t="s">
        <v>7676</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7677</v>
      </c>
      <c r="C2760" s="1323" t="s">
        <v>7678</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7679</v>
      </c>
      <c r="C2761" s="1323" t="s">
        <v>7680</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7681</v>
      </c>
      <c r="C2762" s="1323" t="s">
        <v>7682</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7683</v>
      </c>
      <c r="C2763" s="1323" t="s">
        <v>7684</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7685</v>
      </c>
      <c r="C2764" s="1323" t="s">
        <v>7686</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7687</v>
      </c>
      <c r="C2765" s="1323" t="s">
        <v>7688</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7689</v>
      </c>
      <c r="C2766" s="1323" t="s">
        <v>7690</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7691</v>
      </c>
      <c r="C2767" s="1323" t="s">
        <v>7692</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7693</v>
      </c>
      <c r="C2768" s="1323" t="s">
        <v>7694</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7695</v>
      </c>
      <c r="C2769" s="1323" t="s">
        <v>7696</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7697</v>
      </c>
      <c r="C2770" s="1323" t="s">
        <v>7698</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7699</v>
      </c>
      <c r="C2771" s="1323" t="s">
        <v>7700</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7701</v>
      </c>
      <c r="C2772" s="1323" t="s">
        <v>7702</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7703</v>
      </c>
      <c r="C2773" s="1323" t="s">
        <v>7704</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7705</v>
      </c>
      <c r="C2774" s="1323" t="s">
        <v>7706</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7707</v>
      </c>
      <c r="C2775" s="1323" t="s">
        <v>7708</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7709</v>
      </c>
      <c r="C2776" s="1323" t="s">
        <v>7485</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7710</v>
      </c>
      <c r="C2777" s="1323" t="s">
        <v>7711</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7712</v>
      </c>
      <c r="C2778" s="1323" t="s">
        <v>7713</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7714</v>
      </c>
      <c r="C2779" s="1323" t="s">
        <v>7715</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7716</v>
      </c>
      <c r="C2780" s="1323" t="s">
        <v>7717</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7718</v>
      </c>
      <c r="C2781" s="1323" t="s">
        <v>5958</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7719</v>
      </c>
      <c r="C2782" s="1323" t="s">
        <v>7720</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7721</v>
      </c>
      <c r="C2783" s="1323" t="s">
        <v>7722</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7723</v>
      </c>
      <c r="C2784" s="1323" t="s">
        <v>7724</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7725</v>
      </c>
      <c r="C2785" s="1323" t="s">
        <v>7726</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7727</v>
      </c>
      <c r="C2786" s="1323" t="s">
        <v>7728</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7729</v>
      </c>
      <c r="C2787" s="1323" t="s">
        <v>7730</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7731</v>
      </c>
      <c r="C2788" s="1323" t="s">
        <v>7732</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7733</v>
      </c>
      <c r="C2789" s="1323" t="s">
        <v>7734</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7735</v>
      </c>
      <c r="C2790" s="1323" t="s">
        <v>7736</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7737</v>
      </c>
      <c r="C2791" s="1323" t="s">
        <v>7738</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7739</v>
      </c>
      <c r="C2792" s="1323" t="s">
        <v>4393</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7740</v>
      </c>
      <c r="C2793" s="1323" t="s">
        <v>7741</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7742</v>
      </c>
      <c r="C2794" s="1323" t="s">
        <v>7743</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7744</v>
      </c>
      <c r="C2795" s="1323" t="s">
        <v>7745</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7746</v>
      </c>
      <c r="C2796" s="1323" t="s">
        <v>5312</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7747</v>
      </c>
      <c r="C2797" s="1323" t="s">
        <v>7748</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7749</v>
      </c>
      <c r="C2798" s="1323" t="s">
        <v>7750</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7751</v>
      </c>
      <c r="C2799" s="1323" t="s">
        <v>7752</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7753</v>
      </c>
      <c r="C2800" s="1323" t="s">
        <v>7754</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7755</v>
      </c>
      <c r="C2801" s="1323" t="s">
        <v>7756</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7757</v>
      </c>
      <c r="C2802" s="1323" t="s">
        <v>5753</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7758</v>
      </c>
      <c r="C2803" s="1323" t="s">
        <v>7759</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7760</v>
      </c>
      <c r="C2804" s="1323" t="s">
        <v>7761</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7762</v>
      </c>
      <c r="C2805" s="1323" t="s">
        <v>7702</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7763</v>
      </c>
      <c r="C2806" s="1323" t="s">
        <v>7764</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7765</v>
      </c>
      <c r="C2807" s="1323" t="s">
        <v>7766</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7767</v>
      </c>
      <c r="C2808" s="1323" t="s">
        <v>7768</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7769</v>
      </c>
      <c r="C2809" s="1323" t="s">
        <v>7770</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7771</v>
      </c>
      <c r="C2810" s="1323" t="s">
        <v>7772</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7773</v>
      </c>
      <c r="C2811" s="1323" t="s">
        <v>7774</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7775</v>
      </c>
      <c r="C2812" s="1323" t="s">
        <v>7776</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7777</v>
      </c>
      <c r="C2813" s="1323" t="s">
        <v>7778</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7779</v>
      </c>
      <c r="C2814" s="1323" t="s">
        <v>7780</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7781</v>
      </c>
      <c r="C2815" s="1323" t="s">
        <v>7782</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7783</v>
      </c>
      <c r="C2816" s="1323" t="s">
        <v>7784</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7785</v>
      </c>
      <c r="C2817" s="1323" t="s">
        <v>7786</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7787</v>
      </c>
      <c r="C2818" s="1323" t="s">
        <v>3641</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7788</v>
      </c>
      <c r="C2819" s="1323" t="s">
        <v>7789</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7790</v>
      </c>
      <c r="C2820" s="1323" t="s">
        <v>4885</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7791</v>
      </c>
      <c r="C2821" s="1323" t="s">
        <v>7792</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7793</v>
      </c>
      <c r="C2822" s="1323" t="s">
        <v>7794</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7795</v>
      </c>
      <c r="C2823" s="1323" t="s">
        <v>7796</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7797</v>
      </c>
      <c r="C2824" s="1323" t="s">
        <v>7798</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7799</v>
      </c>
      <c r="C2825" s="1323" t="s">
        <v>5467</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7800</v>
      </c>
      <c r="C2826" s="1323" t="s">
        <v>7801</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7802</v>
      </c>
      <c r="C2827" s="1323" t="s">
        <v>7803</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7804</v>
      </c>
      <c r="C2828" s="1323" t="s">
        <v>7805</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7806</v>
      </c>
      <c r="C2829" s="1323" t="s">
        <v>7807</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7808</v>
      </c>
      <c r="C2830" s="1323" t="s">
        <v>7809</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7810</v>
      </c>
      <c r="C2831" s="1323" t="s">
        <v>7811</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7812</v>
      </c>
      <c r="C2832" s="1323" t="s">
        <v>7813</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7814</v>
      </c>
      <c r="C2833" s="1323" t="s">
        <v>5245</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7815</v>
      </c>
      <c r="C2834" s="1323" t="s">
        <v>7816</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7817</v>
      </c>
      <c r="C2835" s="1323" t="s">
        <v>7818</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7819</v>
      </c>
      <c r="C2836" s="1323" t="s">
        <v>3533</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7820</v>
      </c>
      <c r="C2837" s="1323" t="s">
        <v>7821</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7822</v>
      </c>
      <c r="C2838" s="1323" t="s">
        <v>7823</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7824</v>
      </c>
      <c r="C2839" s="1323" t="s">
        <v>7825</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7826</v>
      </c>
      <c r="C2840" s="1323" t="s">
        <v>7827</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7828</v>
      </c>
      <c r="C2841" s="1323" t="s">
        <v>7829</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7830</v>
      </c>
      <c r="C2842" s="1323" t="s">
        <v>7726</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7831</v>
      </c>
      <c r="C2843" s="1323" t="s">
        <v>4475</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7832</v>
      </c>
      <c r="C2844" s="1323" t="s">
        <v>7833</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7834</v>
      </c>
      <c r="C2845" s="1323" t="s">
        <v>7835</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7836</v>
      </c>
      <c r="C2846" s="1323" t="s">
        <v>7837</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7838</v>
      </c>
      <c r="C2847" s="1323" t="s">
        <v>7839</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7840</v>
      </c>
      <c r="C2848" s="1323" t="s">
        <v>7841</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7842</v>
      </c>
      <c r="C2849" s="1323" t="s">
        <v>7843</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7844</v>
      </c>
      <c r="C2850" s="1323" t="s">
        <v>7845</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7846</v>
      </c>
      <c r="C2851" s="1323" t="s">
        <v>4329</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7847</v>
      </c>
      <c r="C2852" s="1323" t="s">
        <v>7848</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7849</v>
      </c>
      <c r="C2853" s="1323" t="s">
        <v>7850</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7851</v>
      </c>
      <c r="C2854" s="1323" t="s">
        <v>7852</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7853</v>
      </c>
      <c r="C2855" s="1323" t="s">
        <v>7854</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7855</v>
      </c>
      <c r="C2856" s="1323" t="s">
        <v>3541</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7856</v>
      </c>
      <c r="C2857" s="1323" t="s">
        <v>7857</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7858</v>
      </c>
      <c r="C2858" s="1323" t="s">
        <v>7859</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7860</v>
      </c>
      <c r="C2859" s="1323" t="s">
        <v>7861</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7862</v>
      </c>
      <c r="C2860" s="1323" t="s">
        <v>7863</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7864</v>
      </c>
      <c r="C2861" s="1323" t="s">
        <v>7865</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7866</v>
      </c>
      <c r="C2862" s="1323" t="s">
        <v>7867</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7868</v>
      </c>
      <c r="C2863" s="1323" t="s">
        <v>7869</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7870</v>
      </c>
      <c r="C2864" s="1323" t="s">
        <v>7871</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7872</v>
      </c>
      <c r="C2865" s="1323" t="s">
        <v>7784</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7873</v>
      </c>
      <c r="C2866" s="1323" t="s">
        <v>7874</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7875</v>
      </c>
      <c r="C2867" s="1323" t="s">
        <v>7876</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7877</v>
      </c>
      <c r="C2868" s="1323" t="s">
        <v>7878</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7879</v>
      </c>
      <c r="C2869" s="1323" t="s">
        <v>7880</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7881</v>
      </c>
      <c r="C2870" s="1323" t="s">
        <v>7882</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7883</v>
      </c>
      <c r="C2871" s="1323" t="s">
        <v>7884</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7885</v>
      </c>
      <c r="C2872" s="1323" t="s">
        <v>7886</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7887</v>
      </c>
      <c r="C2873" s="1323" t="s">
        <v>7888</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7889</v>
      </c>
      <c r="C2874" s="1323" t="s">
        <v>5223</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7890</v>
      </c>
      <c r="C2875" s="1323" t="s">
        <v>7891</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7892</v>
      </c>
      <c r="C2876" s="1323" t="s">
        <v>7893</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7894</v>
      </c>
      <c r="C2877" s="1323" t="s">
        <v>7895</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7896</v>
      </c>
      <c r="C2878" s="1323" t="s">
        <v>7897</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7898</v>
      </c>
      <c r="C2879" s="1323" t="s">
        <v>7899</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7900</v>
      </c>
      <c r="C2880" s="1323" t="s">
        <v>7901</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7902</v>
      </c>
      <c r="C2881" s="1323" t="s">
        <v>7903</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7904</v>
      </c>
      <c r="C2882" s="1323" t="s">
        <v>7905</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7906</v>
      </c>
      <c r="C2883" s="1323" t="s">
        <v>7907</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7908</v>
      </c>
      <c r="C2884" s="1323" t="s">
        <v>7909</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7910</v>
      </c>
      <c r="C2885" s="1323" t="s">
        <v>7911</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7912</v>
      </c>
      <c r="C2886" s="1323" t="s">
        <v>7913</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7914</v>
      </c>
      <c r="C2887" s="1323" t="s">
        <v>7915</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7916</v>
      </c>
      <c r="C2888" s="1323" t="s">
        <v>7917</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7918</v>
      </c>
      <c r="C2889" s="1323" t="s">
        <v>7919</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7920</v>
      </c>
      <c r="C2890" s="1323" t="s">
        <v>7921</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7922</v>
      </c>
      <c r="C2891" s="1323" t="s">
        <v>7923</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7924</v>
      </c>
      <c r="C2892" s="1323" t="s">
        <v>7925</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7926</v>
      </c>
      <c r="C2893" s="1323" t="s">
        <v>7927</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7928</v>
      </c>
      <c r="C2894" s="1323" t="s">
        <v>7929</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7930</v>
      </c>
      <c r="C2895" s="1323" t="s">
        <v>7931</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7932</v>
      </c>
      <c r="C2896" s="1323" t="s">
        <v>7933</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7934</v>
      </c>
      <c r="C2897" s="1323" t="s">
        <v>7935</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7936</v>
      </c>
      <c r="C2898" s="1323" t="s">
        <v>7937</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7938</v>
      </c>
      <c r="C2899" s="1323" t="s">
        <v>7939</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7940</v>
      </c>
      <c r="C2900" s="1323" t="s">
        <v>7941</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7942</v>
      </c>
      <c r="C2901" s="1323" t="s">
        <v>7943</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7944</v>
      </c>
      <c r="C2902" s="1323" t="s">
        <v>7945</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7946</v>
      </c>
      <c r="C2903" s="1323" t="s">
        <v>7947</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7948</v>
      </c>
      <c r="C2904" s="1323" t="s">
        <v>7949</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7950</v>
      </c>
      <c r="C2905" s="1323" t="s">
        <v>7951</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7952</v>
      </c>
      <c r="C2906" s="1323" t="s">
        <v>7953</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7954</v>
      </c>
      <c r="C2907" s="1323" t="s">
        <v>7955</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7956</v>
      </c>
      <c r="C2908" s="1323" t="s">
        <v>7957</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7958</v>
      </c>
      <c r="C2909" s="1323" t="s">
        <v>7959</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7960</v>
      </c>
      <c r="C2910" s="1323" t="s">
        <v>7961</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7962</v>
      </c>
      <c r="C2911" s="1323" t="s">
        <v>7963</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7964</v>
      </c>
      <c r="C2912" s="1323" t="s">
        <v>7965</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7966</v>
      </c>
      <c r="C2913" s="1323" t="s">
        <v>7967</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7968</v>
      </c>
      <c r="C2914" s="1323" t="s">
        <v>7969</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7970</v>
      </c>
      <c r="C2915" s="1323" t="s">
        <v>7971</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7972</v>
      </c>
      <c r="C2916" s="1323" t="s">
        <v>7973</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7974</v>
      </c>
      <c r="C2917" s="1323" t="s">
        <v>7975</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7976</v>
      </c>
      <c r="C2918" s="1323" t="s">
        <v>7977</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7978</v>
      </c>
      <c r="C2919" s="1323" t="s">
        <v>7979</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7980</v>
      </c>
      <c r="C2920" s="1323" t="s">
        <v>7981</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7982</v>
      </c>
      <c r="C2921" s="1323" t="s">
        <v>7983</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7984</v>
      </c>
      <c r="C2922" s="1323" t="s">
        <v>7985</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7986</v>
      </c>
      <c r="C2923" s="1323" t="s">
        <v>7987</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7988</v>
      </c>
      <c r="C2924" s="1323" t="s">
        <v>5203</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7989</v>
      </c>
      <c r="C2925" s="1323" t="s">
        <v>7990</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7991</v>
      </c>
      <c r="C2926" s="1323" t="s">
        <v>7992</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7993</v>
      </c>
      <c r="C2927" s="1323" t="s">
        <v>7994</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7995</v>
      </c>
      <c r="C2928" s="1323" t="s">
        <v>7996</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7997</v>
      </c>
      <c r="C2929" s="1323" t="s">
        <v>7998</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7999</v>
      </c>
      <c r="C2930" s="1323" t="s">
        <v>8000</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8001</v>
      </c>
      <c r="C2931" s="1323" t="s">
        <v>8002</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8003</v>
      </c>
      <c r="C2932" s="1323" t="s">
        <v>8004</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8005</v>
      </c>
      <c r="C2933" s="1323" t="s">
        <v>8006</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8007</v>
      </c>
      <c r="C2934" s="1323" t="s">
        <v>8008</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8009</v>
      </c>
      <c r="C2935" s="1323" t="s">
        <v>8010</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8011</v>
      </c>
      <c r="C2936" s="1323" t="s">
        <v>8012</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8013</v>
      </c>
      <c r="C2937" s="1323" t="s">
        <v>8014</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8015</v>
      </c>
      <c r="C2938" s="1323" t="s">
        <v>8016</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8017</v>
      </c>
      <c r="C2939" s="1323" t="s">
        <v>8018</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8019</v>
      </c>
      <c r="C2940" s="1323" t="s">
        <v>8020</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8021</v>
      </c>
      <c r="C2941" s="1323" t="s">
        <v>8022</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8023</v>
      </c>
      <c r="C2942" s="1323" t="s">
        <v>8024</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8025</v>
      </c>
      <c r="C2943" s="1323" t="s">
        <v>8026</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8027</v>
      </c>
      <c r="C2944" s="1323" t="s">
        <v>8028</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8029</v>
      </c>
      <c r="C2945" s="1323" t="s">
        <v>8030</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8031</v>
      </c>
      <c r="C2946" s="1323" t="s">
        <v>8032</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8033</v>
      </c>
      <c r="C2947" s="1323" t="s">
        <v>8034</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8035</v>
      </c>
      <c r="C2948" s="1323" t="s">
        <v>8036</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8037</v>
      </c>
      <c r="C2949" s="1323" t="s">
        <v>8038</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8039</v>
      </c>
      <c r="C2950" s="1323" t="s">
        <v>8040</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8041</v>
      </c>
      <c r="C2951" s="1323" t="s">
        <v>8042</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8043</v>
      </c>
      <c r="C2952" s="1323" t="s">
        <v>8044</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8045</v>
      </c>
      <c r="C2953" s="1323" t="s">
        <v>8046</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8047</v>
      </c>
      <c r="C2954" s="1323" t="s">
        <v>8048</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8049</v>
      </c>
      <c r="C2955" s="1323" t="s">
        <v>8050</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8051</v>
      </c>
      <c r="C2956" s="1323" t="s">
        <v>8052</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8053</v>
      </c>
      <c r="C2957" s="1323" t="s">
        <v>8054</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8055</v>
      </c>
      <c r="C2958" s="1323" t="s">
        <v>8056</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8057</v>
      </c>
      <c r="C2959" s="1323" t="s">
        <v>8058</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8059</v>
      </c>
      <c r="C2960" s="1323" t="s">
        <v>8060</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8061</v>
      </c>
      <c r="C2961" s="1323" t="s">
        <v>8062</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8063</v>
      </c>
      <c r="C2962" s="1323" t="s">
        <v>8064</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8065</v>
      </c>
      <c r="C2963" s="1323" t="s">
        <v>2714</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8066</v>
      </c>
      <c r="C2964" s="1323" t="s">
        <v>8067</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8068</v>
      </c>
      <c r="C2965" s="1323" t="s">
        <v>8069</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8070</v>
      </c>
      <c r="C2966" s="1323" t="s">
        <v>8071</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8072</v>
      </c>
      <c r="C2967" s="1323" t="s">
        <v>8073</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8074</v>
      </c>
      <c r="C2968" s="1323" t="s">
        <v>8075</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8076</v>
      </c>
      <c r="C2969" s="1323" t="s">
        <v>2868</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8077</v>
      </c>
      <c r="C2970" s="1323" t="s">
        <v>8078</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8079</v>
      </c>
      <c r="C2971" s="1323" t="s">
        <v>8080</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8081</v>
      </c>
      <c r="C2972" s="1323" t="s">
        <v>8082</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8083</v>
      </c>
      <c r="C2973" s="1323" t="s">
        <v>8084</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8085</v>
      </c>
      <c r="C2974" s="1323" t="s">
        <v>8086</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8087</v>
      </c>
      <c r="C2975" s="1323" t="s">
        <v>8088</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8089</v>
      </c>
      <c r="C2976" s="1323" t="s">
        <v>8090</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8091</v>
      </c>
      <c r="C2977" s="1323" t="s">
        <v>8092</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8093</v>
      </c>
      <c r="C2978" s="1323" t="s">
        <v>8094</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8095</v>
      </c>
      <c r="C2979" s="1323" t="s">
        <v>8096</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8097</v>
      </c>
      <c r="C2980" s="1323" t="s">
        <v>8098</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8099</v>
      </c>
      <c r="C2981" s="1323" t="s">
        <v>8100</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8101</v>
      </c>
      <c r="C2982" s="1323" t="s">
        <v>8102</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8103</v>
      </c>
      <c r="C2983" s="1323" t="s">
        <v>8104</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8105</v>
      </c>
      <c r="C2984" s="1323" t="s">
        <v>8106</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8107</v>
      </c>
      <c r="C2985" s="1323" t="s">
        <v>2481</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8108</v>
      </c>
      <c r="C2986" s="1323" t="s">
        <v>8109</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8110</v>
      </c>
      <c r="C2987" s="1323" t="s">
        <v>8111</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8112</v>
      </c>
      <c r="C2988" s="1323" t="s">
        <v>8113</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8114</v>
      </c>
      <c r="C2989" s="1323" t="s">
        <v>8115</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8116</v>
      </c>
      <c r="C2990" s="1323" t="s">
        <v>8117</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8118</v>
      </c>
      <c r="C2991" s="1323" t="s">
        <v>2475</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8119</v>
      </c>
      <c r="C2992" s="1323" t="s">
        <v>8120</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8121</v>
      </c>
      <c r="C2993" s="1323" t="s">
        <v>8122</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8123</v>
      </c>
      <c r="C2994" s="1323" t="s">
        <v>8124</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8125</v>
      </c>
      <c r="C2995" s="1323" t="s">
        <v>8126</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8127</v>
      </c>
      <c r="C2996" s="1323" t="s">
        <v>8128</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8129</v>
      </c>
      <c r="C2997" s="1323" t="s">
        <v>8130</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8131</v>
      </c>
      <c r="C2998" s="1323" t="s">
        <v>8132</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8133</v>
      </c>
      <c r="C2999" s="1323" t="s">
        <v>8134</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8135</v>
      </c>
      <c r="C3000" s="1323" t="s">
        <v>8136</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8137</v>
      </c>
      <c r="C3001" s="1323" t="s">
        <v>8138</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8139</v>
      </c>
      <c r="C3002" s="1323" t="s">
        <v>8140</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8141</v>
      </c>
      <c r="C3003" s="1323" t="s">
        <v>8142</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8143</v>
      </c>
      <c r="C3004" s="1323" t="s">
        <v>8144</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8145</v>
      </c>
      <c r="C3005" s="1323" t="s">
        <v>8146</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8147</v>
      </c>
      <c r="C3006" s="1323" t="s">
        <v>8148</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8149</v>
      </c>
      <c r="C3007" s="1323" t="s">
        <v>8150</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8151</v>
      </c>
      <c r="C3008" s="1323" t="s">
        <v>8152</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8153</v>
      </c>
      <c r="C3009" s="1323" t="s">
        <v>8154</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8155</v>
      </c>
      <c r="C3010" s="1323" t="s">
        <v>8156</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8157</v>
      </c>
      <c r="C3011" s="1323" t="s">
        <v>8158</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8159</v>
      </c>
      <c r="C3012" s="1323" t="s">
        <v>8160</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8161</v>
      </c>
      <c r="C3013" s="1323" t="s">
        <v>8162</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8163</v>
      </c>
      <c r="C3014" s="1323" t="s">
        <v>8164</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8165</v>
      </c>
      <c r="C3015" s="1323" t="s">
        <v>8166</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8167</v>
      </c>
      <c r="C3016" s="1323" t="s">
        <v>8168</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8169</v>
      </c>
      <c r="C3017" s="1323" t="s">
        <v>8170</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8171</v>
      </c>
      <c r="C3018" s="1323" t="s">
        <v>8172</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8173</v>
      </c>
      <c r="C3019" s="1323" t="s">
        <v>8158</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8174</v>
      </c>
      <c r="C3020" s="1323" t="s">
        <v>8175</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8176</v>
      </c>
      <c r="C3021" s="1323" t="s">
        <v>8177</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8178</v>
      </c>
      <c r="C3022" s="1323" t="s">
        <v>8179</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8180</v>
      </c>
      <c r="C3023" s="1323" t="s">
        <v>8181</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8182</v>
      </c>
      <c r="C3024" s="1323" t="s">
        <v>8183</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8184</v>
      </c>
      <c r="C3025" s="1323" t="s">
        <v>8185</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8186</v>
      </c>
      <c r="C3026" s="1323" t="s">
        <v>8187</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8188</v>
      </c>
      <c r="C3027" s="1323" t="s">
        <v>8189</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8190</v>
      </c>
      <c r="C3028" s="1323" t="s">
        <v>8191</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8192</v>
      </c>
      <c r="C3029" s="1323" t="s">
        <v>8193</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8194</v>
      </c>
      <c r="C3030" s="1323" t="s">
        <v>8195</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8196</v>
      </c>
      <c r="C3031" s="1323" t="s">
        <v>8197</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8198</v>
      </c>
      <c r="C3032" s="1323" t="s">
        <v>8199</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8200</v>
      </c>
      <c r="C3033" s="1323" t="s">
        <v>8201</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8202</v>
      </c>
      <c r="C3034" s="1323" t="s">
        <v>8203</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8204</v>
      </c>
      <c r="C3035" s="1323" t="s">
        <v>8205</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8206</v>
      </c>
      <c r="C3036" s="1323" t="s">
        <v>8207</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8208</v>
      </c>
      <c r="C3037" s="1323" t="s">
        <v>8209</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8210</v>
      </c>
      <c r="C3038" s="1323" t="s">
        <v>8211</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8212</v>
      </c>
      <c r="C3039" s="1323" t="s">
        <v>8213</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8214</v>
      </c>
      <c r="C3040" s="1323" t="s">
        <v>8215</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8216</v>
      </c>
      <c r="C3041" s="1323" t="s">
        <v>8217</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8218</v>
      </c>
      <c r="C3042" s="1323" t="s">
        <v>8219</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8220</v>
      </c>
      <c r="C3043" s="1323" t="s">
        <v>8221</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8222</v>
      </c>
      <c r="C3044" s="1323" t="s">
        <v>8223</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8224</v>
      </c>
      <c r="C3045" s="1323" t="s">
        <v>8225</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8226</v>
      </c>
      <c r="C3046" s="1323" t="s">
        <v>8227</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8228</v>
      </c>
      <c r="C3047" s="1323" t="s">
        <v>8229</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8230</v>
      </c>
      <c r="C3048" s="1323" t="s">
        <v>8231</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8232</v>
      </c>
      <c r="C3049" s="1323" t="s">
        <v>8233</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8234</v>
      </c>
      <c r="C3050" s="1323" t="s">
        <v>8235</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8236</v>
      </c>
      <c r="C3051" s="1323" t="s">
        <v>8237</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8238</v>
      </c>
      <c r="C3052" s="1323" t="s">
        <v>8239</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8240</v>
      </c>
      <c r="C3053" s="1323" t="s">
        <v>8241</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8242</v>
      </c>
      <c r="C3054" s="1323" t="s">
        <v>8243</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8244</v>
      </c>
      <c r="C3055" s="1323" t="s">
        <v>8245</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8246</v>
      </c>
      <c r="C3056" s="1323" t="s">
        <v>8247</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8248</v>
      </c>
      <c r="C3057" s="1323" t="s">
        <v>8249</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8250</v>
      </c>
      <c r="C3058" s="1323" t="s">
        <v>8251</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8252</v>
      </c>
      <c r="C3059" s="1323" t="s">
        <v>8253</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8254</v>
      </c>
      <c r="C3060" s="1323" t="s">
        <v>2776</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8255</v>
      </c>
      <c r="C3061" s="1323" t="s">
        <v>8256</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8257</v>
      </c>
      <c r="C3062" s="1323" t="s">
        <v>8258</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8259</v>
      </c>
      <c r="C3063" s="1323" t="s">
        <v>8260</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8261</v>
      </c>
      <c r="C3064" s="1323" t="s">
        <v>8262</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8263</v>
      </c>
      <c r="C3065" s="1323" t="s">
        <v>8264</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8265</v>
      </c>
      <c r="C3066" s="1323" t="s">
        <v>8266</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8267</v>
      </c>
      <c r="C3067" s="1323" t="s">
        <v>8268</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8269</v>
      </c>
      <c r="C3068" s="1323" t="s">
        <v>8270</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8271</v>
      </c>
      <c r="C3069" s="1323" t="s">
        <v>8272</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8273</v>
      </c>
      <c r="C3070" s="1323" t="s">
        <v>8274</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8275</v>
      </c>
      <c r="C3071" s="1323" t="s">
        <v>8276</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8277</v>
      </c>
      <c r="C3072" s="1323" t="s">
        <v>8278</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8279</v>
      </c>
      <c r="C3073" s="1323" t="s">
        <v>8280</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8281</v>
      </c>
      <c r="C3074" s="1323" t="s">
        <v>8282</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8283</v>
      </c>
      <c r="C3075" s="1323" t="s">
        <v>8284</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8285</v>
      </c>
      <c r="C3076" s="1323" t="s">
        <v>8286</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8287</v>
      </c>
      <c r="C3077" s="1323" t="s">
        <v>8288</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8289</v>
      </c>
      <c r="C3078" s="1323" t="s">
        <v>8290</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8291</v>
      </c>
      <c r="C3079" s="1323" t="s">
        <v>8292</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8293</v>
      </c>
      <c r="C3080" s="1323" t="s">
        <v>8294</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8295</v>
      </c>
      <c r="C3081" s="1323" t="s">
        <v>8296</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8297</v>
      </c>
      <c r="C3082" s="1323" t="s">
        <v>8298</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8299</v>
      </c>
      <c r="C3083" s="1323" t="s">
        <v>8300</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8301</v>
      </c>
      <c r="C3084" s="1323" t="s">
        <v>8302</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8303</v>
      </c>
      <c r="C3085" s="1323" t="s">
        <v>8304</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8305</v>
      </c>
      <c r="C3086" s="1323" t="s">
        <v>8306</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8307</v>
      </c>
      <c r="C3087" s="1323" t="s">
        <v>8308</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8309</v>
      </c>
      <c r="C3088" s="1323" t="s">
        <v>8310</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8311</v>
      </c>
      <c r="C3089" s="1323" t="s">
        <v>8312</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8313</v>
      </c>
      <c r="C3090" s="1323" t="s">
        <v>8314</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8315</v>
      </c>
      <c r="C3091" s="1323" t="s">
        <v>8316</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8317</v>
      </c>
      <c r="C3092" s="1323" t="s">
        <v>8243</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8318</v>
      </c>
      <c r="C3093" s="1323" t="s">
        <v>8319</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8320</v>
      </c>
      <c r="C3094" s="1323" t="s">
        <v>8321</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8322</v>
      </c>
      <c r="C3095" s="1323" t="s">
        <v>8323</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8324</v>
      </c>
      <c r="C3096" s="1323" t="s">
        <v>8325</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8326</v>
      </c>
      <c r="C3097" s="1323" t="s">
        <v>8327</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8328</v>
      </c>
      <c r="C3098" s="1323" t="s">
        <v>8329</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8330</v>
      </c>
      <c r="C3099" s="1323" t="s">
        <v>8331</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8332</v>
      </c>
      <c r="C3100" s="1323" t="s">
        <v>8333</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8334</v>
      </c>
      <c r="C3101" s="1323" t="s">
        <v>8335</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8336</v>
      </c>
      <c r="C3102" s="1323" t="s">
        <v>8337</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8338</v>
      </c>
      <c r="C3103" s="1323" t="s">
        <v>8339</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8340</v>
      </c>
      <c r="C3104" s="1323" t="s">
        <v>8341</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8342</v>
      </c>
      <c r="C3105" s="1323" t="s">
        <v>8343</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8344</v>
      </c>
      <c r="C3106" s="1323" t="s">
        <v>8345</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8346</v>
      </c>
      <c r="C3107" s="1323" t="s">
        <v>8347</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8348</v>
      </c>
      <c r="C3108" s="1323" t="s">
        <v>8349</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8350</v>
      </c>
      <c r="C3109" s="1323" t="s">
        <v>8351</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8352</v>
      </c>
      <c r="C3110" s="1323" t="s">
        <v>8353</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8354</v>
      </c>
      <c r="C3111" s="1323" t="s">
        <v>8355</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8356</v>
      </c>
      <c r="C3112" s="1323" t="s">
        <v>8357</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8358</v>
      </c>
      <c r="C3113" s="1323" t="s">
        <v>8359</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8360</v>
      </c>
      <c r="C3114" s="1323" t="s">
        <v>8361</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8362</v>
      </c>
      <c r="C3115" s="1323" t="s">
        <v>8363</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8364</v>
      </c>
      <c r="C3116" s="1323" t="s">
        <v>8365</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8366</v>
      </c>
      <c r="C3117" s="1323" t="s">
        <v>8367</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8368</v>
      </c>
      <c r="C3118" s="1323" t="s">
        <v>8369</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8370</v>
      </c>
      <c r="C3119" s="1323" t="s">
        <v>8371</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8372</v>
      </c>
      <c r="C3120" s="1323" t="s">
        <v>8373</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8374</v>
      </c>
      <c r="C3121" s="1323" t="s">
        <v>8375</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8376</v>
      </c>
      <c r="C3122" s="1323" t="s">
        <v>8377</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8378</v>
      </c>
      <c r="C3123" s="1323" t="s">
        <v>8379</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8380</v>
      </c>
      <c r="C3124" s="1323" t="s">
        <v>8381</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8382</v>
      </c>
      <c r="C3125" s="1323" t="s">
        <v>8383</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8384</v>
      </c>
      <c r="C3126" s="1323" t="s">
        <v>8385</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8386</v>
      </c>
      <c r="C3127" s="1323" t="s">
        <v>8387</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8388</v>
      </c>
      <c r="C3128" s="1323" t="s">
        <v>8389</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8390</v>
      </c>
      <c r="C3129" s="1323" t="s">
        <v>8391</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8392</v>
      </c>
      <c r="C3130" s="1323" t="s">
        <v>8393</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8394</v>
      </c>
      <c r="C3131" s="1323" t="s">
        <v>8395</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8396</v>
      </c>
      <c r="C3132" s="1323" t="s">
        <v>8397</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8398</v>
      </c>
      <c r="C3133" s="1323" t="s">
        <v>8399</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8400</v>
      </c>
      <c r="C3134" s="1323" t="s">
        <v>8401</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8402</v>
      </c>
      <c r="C3135" s="1323" t="s">
        <v>8403</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8404</v>
      </c>
      <c r="C3136" s="1323" t="s">
        <v>8405</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8406</v>
      </c>
      <c r="C3137" s="1323" t="s">
        <v>8407</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8408</v>
      </c>
      <c r="C3138" s="1323" t="s">
        <v>8409</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8410</v>
      </c>
      <c r="C3139" s="1323" t="s">
        <v>8411</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8412</v>
      </c>
      <c r="C3140" s="1323" t="s">
        <v>8413</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8414</v>
      </c>
      <c r="C3141" s="1323" t="s">
        <v>8415</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8416</v>
      </c>
      <c r="C3142" s="1323" t="s">
        <v>8417</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8418</v>
      </c>
      <c r="C3143" s="1323" t="s">
        <v>8419</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8420</v>
      </c>
      <c r="C3144" s="1323" t="s">
        <v>8421</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8422</v>
      </c>
      <c r="C3145" s="1323" t="s">
        <v>8423</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8424</v>
      </c>
      <c r="C3146" s="1323" t="s">
        <v>8425</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8426</v>
      </c>
      <c r="C3147" s="1323" t="s">
        <v>8427</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8428</v>
      </c>
      <c r="C3148" s="1323" t="s">
        <v>8429</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8430</v>
      </c>
      <c r="C3149" s="1323" t="s">
        <v>8431</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8432</v>
      </c>
      <c r="C3150" s="1323" t="s">
        <v>8433</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8434</v>
      </c>
      <c r="C3151" s="1323" t="s">
        <v>8435</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8436</v>
      </c>
      <c r="C3152" s="1323" t="s">
        <v>8437</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8438</v>
      </c>
      <c r="C3153" s="1323" t="s">
        <v>8439</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8440</v>
      </c>
      <c r="C3154" s="1323" t="s">
        <v>8441</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8442</v>
      </c>
      <c r="C3155" s="1323" t="s">
        <v>8443</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8444</v>
      </c>
      <c r="C3156" s="1323" t="s">
        <v>8445</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8446</v>
      </c>
      <c r="C3157" s="1323" t="s">
        <v>8447</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8448</v>
      </c>
      <c r="C3158" s="1323" t="s">
        <v>8449</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8450</v>
      </c>
      <c r="C3159" s="1323" t="s">
        <v>8451</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8452</v>
      </c>
      <c r="C3160" s="1323" t="s">
        <v>8453</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8454</v>
      </c>
      <c r="C3161" s="1323" t="s">
        <v>8455</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8456</v>
      </c>
      <c r="C3162" s="1323" t="s">
        <v>8457</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8458</v>
      </c>
      <c r="C3163" s="1323" t="s">
        <v>8459</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8460</v>
      </c>
      <c r="C3164" s="1323" t="s">
        <v>8461</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8462</v>
      </c>
      <c r="C3165" s="1323" t="s">
        <v>8463</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8464</v>
      </c>
      <c r="C3166" s="1323" t="s">
        <v>8465</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8466</v>
      </c>
      <c r="C3167" s="1323" t="s">
        <v>8467</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8468</v>
      </c>
      <c r="C3168" s="1323" t="s">
        <v>8469</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8470</v>
      </c>
      <c r="C3169" s="1323" t="s">
        <v>8471</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8472</v>
      </c>
      <c r="C3170" s="1323" t="s">
        <v>8473</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8474</v>
      </c>
      <c r="C3171" s="1323" t="s">
        <v>8475</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8476</v>
      </c>
      <c r="C3172" s="1323" t="s">
        <v>8477</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8478</v>
      </c>
      <c r="C3173" s="1323" t="s">
        <v>8479</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8480</v>
      </c>
      <c r="C3174" s="1323" t="s">
        <v>8481</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8482</v>
      </c>
      <c r="C3175" s="1323" t="s">
        <v>8483</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8484</v>
      </c>
      <c r="C3176" s="1323" t="s">
        <v>8485</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8486</v>
      </c>
      <c r="C3177" s="1323" t="s">
        <v>8487</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8488</v>
      </c>
      <c r="C3178" s="1323" t="s">
        <v>8489</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8490</v>
      </c>
      <c r="C3179" s="1323" t="s">
        <v>8491</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8492</v>
      </c>
      <c r="C3180" s="1323" t="s">
        <v>8493</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8494</v>
      </c>
      <c r="C3181" s="1323" t="s">
        <v>8495</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8496</v>
      </c>
      <c r="C3182" s="1323" t="s">
        <v>8497</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8498</v>
      </c>
      <c r="C3183" s="1323" t="s">
        <v>8499</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8500</v>
      </c>
      <c r="C3184" s="1323" t="s">
        <v>8501</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8502</v>
      </c>
      <c r="C3185" s="1323" t="s">
        <v>8503</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8504</v>
      </c>
      <c r="C3186" s="1323" t="s">
        <v>8505</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8506</v>
      </c>
      <c r="C3187" s="1323" t="s">
        <v>8507</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8508</v>
      </c>
      <c r="C3188" s="1323" t="s">
        <v>8509</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8510</v>
      </c>
      <c r="C3189" s="1323" t="s">
        <v>8511</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8512</v>
      </c>
      <c r="C3190" s="1323" t="s">
        <v>8513</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8514</v>
      </c>
      <c r="C3191" s="1323" t="s">
        <v>8515</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8516</v>
      </c>
      <c r="C3192" s="1323" t="s">
        <v>2498</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8517</v>
      </c>
      <c r="C3193" s="1323" t="s">
        <v>8518</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8519</v>
      </c>
      <c r="C3194" s="1323" t="s">
        <v>8520</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8521</v>
      </c>
      <c r="C3195" s="1323" t="s">
        <v>8522</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8523</v>
      </c>
      <c r="C3196" s="1323" t="s">
        <v>8524</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8525</v>
      </c>
      <c r="C3197" s="1323" t="s">
        <v>8526</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8527</v>
      </c>
      <c r="C3198" s="1323" t="s">
        <v>8528</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8529</v>
      </c>
      <c r="C3199" s="1323" t="s">
        <v>8530</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8531</v>
      </c>
      <c r="C3200" s="1323" t="s">
        <v>8532</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8533</v>
      </c>
      <c r="C3201" s="1323" t="s">
        <v>8534</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8535</v>
      </c>
      <c r="C3202" s="1323" t="s">
        <v>8536</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8537</v>
      </c>
      <c r="C3203" s="1323" t="s">
        <v>8538</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8539</v>
      </c>
      <c r="C3204" s="1323" t="s">
        <v>8540</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8541</v>
      </c>
      <c r="C3205" s="1323" t="s">
        <v>8542</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8543</v>
      </c>
      <c r="C3206" s="1323" t="s">
        <v>8544</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8545</v>
      </c>
      <c r="C3207" s="1323" t="s">
        <v>8546</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8547</v>
      </c>
      <c r="C3208" s="1323" t="s">
        <v>8548</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8549</v>
      </c>
      <c r="C3209" s="1323" t="s">
        <v>8550</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8551</v>
      </c>
      <c r="C3210" s="1323" t="s">
        <v>8552</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8553</v>
      </c>
      <c r="C3211" s="1323" t="s">
        <v>8554</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8555</v>
      </c>
      <c r="C3212" s="1323" t="s">
        <v>8556</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8557</v>
      </c>
      <c r="C3213" s="1323" t="s">
        <v>8558</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8559</v>
      </c>
      <c r="C3214" s="1323" t="s">
        <v>8560</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8561</v>
      </c>
      <c r="C3215" s="1323" t="s">
        <v>8562</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8563</v>
      </c>
      <c r="C3216" s="1323" t="s">
        <v>8564</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8565</v>
      </c>
      <c r="C3217" s="1323" t="s">
        <v>8566</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8567</v>
      </c>
      <c r="C3218" s="1323" t="s">
        <v>8568</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8569</v>
      </c>
      <c r="C3219" s="1323" t="s">
        <v>8570</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8571</v>
      </c>
      <c r="C3220" s="1323" t="s">
        <v>8572</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8573</v>
      </c>
      <c r="C3221" s="1323" t="s">
        <v>8574</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8575</v>
      </c>
      <c r="C3222" s="1323" t="s">
        <v>8576</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8577</v>
      </c>
      <c r="C3223" s="1323" t="s">
        <v>8578</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8579</v>
      </c>
      <c r="C3224" s="1323" t="s">
        <v>8580</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8581</v>
      </c>
      <c r="C3225" s="1323" t="s">
        <v>8582</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8583</v>
      </c>
      <c r="C3226" s="1323" t="s">
        <v>8584</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8585</v>
      </c>
      <c r="C3227" s="1323" t="s">
        <v>8586</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8587</v>
      </c>
      <c r="C3228" s="1323" t="s">
        <v>8588</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8589</v>
      </c>
      <c r="C3229" s="1323" t="s">
        <v>8590</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8591</v>
      </c>
      <c r="C3230" s="1323" t="s">
        <v>8592</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8593</v>
      </c>
      <c r="C3231" s="1323" t="s">
        <v>8594</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8595</v>
      </c>
      <c r="C3232" s="1323" t="s">
        <v>8596</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8597</v>
      </c>
      <c r="C3233" s="1323" t="s">
        <v>8598</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8599</v>
      </c>
      <c r="C3234" s="1323" t="s">
        <v>8600</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8601</v>
      </c>
      <c r="C3235" s="1323" t="s">
        <v>8602</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8603</v>
      </c>
      <c r="C3236" s="1323" t="s">
        <v>8604</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8605</v>
      </c>
      <c r="C3237" s="1323" t="s">
        <v>8606</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8607</v>
      </c>
      <c r="C3238" s="1323" t="s">
        <v>8608</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8609</v>
      </c>
      <c r="C3239" s="1323" t="s">
        <v>8610</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8611</v>
      </c>
      <c r="C3240" s="1323" t="s">
        <v>8612</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8613</v>
      </c>
      <c r="C3241" s="1323" t="s">
        <v>8614</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8615</v>
      </c>
      <c r="C3242" s="1323" t="s">
        <v>8616</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8617</v>
      </c>
      <c r="C3243" s="1323" t="s">
        <v>8618</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8619</v>
      </c>
      <c r="C3244" s="1323" t="s">
        <v>8620</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8621</v>
      </c>
      <c r="C3245" s="1323" t="s">
        <v>8622</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8623</v>
      </c>
      <c r="C3246" s="1323" t="s">
        <v>8624</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8625</v>
      </c>
      <c r="C3247" s="1323" t="s">
        <v>8626</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8627</v>
      </c>
      <c r="C3248" s="1323" t="s">
        <v>8628</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8629</v>
      </c>
      <c r="C3249" s="1323" t="s">
        <v>8630</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8631</v>
      </c>
      <c r="C3250" s="1323" t="s">
        <v>8632</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8633</v>
      </c>
      <c r="C3251" s="1323" t="s">
        <v>8634</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8635</v>
      </c>
      <c r="C3252" s="1323" t="s">
        <v>8636</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8637</v>
      </c>
      <c r="C3253" s="1323" t="s">
        <v>8638</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8639</v>
      </c>
      <c r="C3254" s="1323" t="s">
        <v>8640</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8641</v>
      </c>
      <c r="C3255" s="1323" t="s">
        <v>8642</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8643</v>
      </c>
      <c r="C3256" s="1323" t="s">
        <v>3122</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8644</v>
      </c>
      <c r="C3257" s="1323" t="s">
        <v>8645</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8646</v>
      </c>
      <c r="C3258" s="1323" t="s">
        <v>8647</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8648</v>
      </c>
      <c r="C3259" s="1323" t="s">
        <v>8649</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8650</v>
      </c>
      <c r="C3260" s="1323" t="s">
        <v>8651</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8652</v>
      </c>
      <c r="C3261" s="1323" t="s">
        <v>8653</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8654</v>
      </c>
      <c r="C3262" s="1323" t="s">
        <v>8655</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8656</v>
      </c>
      <c r="C3263" s="1323" t="s">
        <v>3381</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8657</v>
      </c>
      <c r="C3264" s="1323" t="s">
        <v>8658</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8659</v>
      </c>
      <c r="C3265" s="1323" t="s">
        <v>8660</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8661</v>
      </c>
      <c r="C3266" s="1323" t="s">
        <v>8662</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8663</v>
      </c>
      <c r="C3267" s="1323" t="s">
        <v>8664</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8665</v>
      </c>
      <c r="C3268" s="1323" t="s">
        <v>8666</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8667</v>
      </c>
      <c r="C3269" s="1323" t="s">
        <v>8668</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8669</v>
      </c>
      <c r="C3270" s="1323" t="s">
        <v>8670</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8671</v>
      </c>
      <c r="C3271" s="1323" t="s">
        <v>8672</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8673</v>
      </c>
      <c r="C3272" s="1323" t="s">
        <v>8674</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8675</v>
      </c>
      <c r="C3273" s="1323" t="s">
        <v>8676</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8677</v>
      </c>
      <c r="C3274" s="1323" t="s">
        <v>8678</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8679</v>
      </c>
      <c r="C3275" s="1323" t="s">
        <v>8680</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8681</v>
      </c>
      <c r="C3276" s="1323" t="s">
        <v>8682</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8683</v>
      </c>
      <c r="C3277" s="1323" t="s">
        <v>8684</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8685</v>
      </c>
      <c r="C3278" s="1323" t="s">
        <v>8686</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8687</v>
      </c>
      <c r="C3279" s="1323" t="s">
        <v>8688</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8689</v>
      </c>
      <c r="C3280" s="1323" t="s">
        <v>8690</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8691</v>
      </c>
      <c r="C3281" s="1323" t="s">
        <v>8692</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8693</v>
      </c>
      <c r="C3282" s="1323" t="s">
        <v>8694</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8695</v>
      </c>
      <c r="C3283" s="1323" t="s">
        <v>8696</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8697</v>
      </c>
      <c r="C3284" s="1323" t="s">
        <v>8698</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8699</v>
      </c>
      <c r="C3285" s="1323" t="s">
        <v>8700</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8701</v>
      </c>
      <c r="C3286" s="1323" t="s">
        <v>8702</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8703</v>
      </c>
      <c r="C3287" s="1323" t="s">
        <v>8704</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8705</v>
      </c>
      <c r="C3288" s="1323" t="s">
        <v>8706</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8707</v>
      </c>
      <c r="C3289" s="1323" t="s">
        <v>8708</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8709</v>
      </c>
      <c r="C3290" s="1323" t="s">
        <v>8704</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8710</v>
      </c>
      <c r="C3291" s="1323" t="s">
        <v>8711</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8712</v>
      </c>
      <c r="C3292" s="1323" t="s">
        <v>8713</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8714</v>
      </c>
      <c r="C3293" s="1323" t="s">
        <v>8715</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8716</v>
      </c>
      <c r="C3294" s="1323" t="s">
        <v>8717</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8718</v>
      </c>
      <c r="C3295" s="1323" t="s">
        <v>8719</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8720</v>
      </c>
      <c r="C3296" s="1323" t="s">
        <v>8721</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8722</v>
      </c>
      <c r="C3297" s="1323" t="s">
        <v>8723</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8724</v>
      </c>
      <c r="C3298" s="1323" t="s">
        <v>8725</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8726</v>
      </c>
      <c r="C3299" s="1323" t="s">
        <v>8727</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8728</v>
      </c>
      <c r="C3300" s="1323" t="s">
        <v>8729</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8730</v>
      </c>
      <c r="C3301" s="1323" t="s">
        <v>8731</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8732</v>
      </c>
      <c r="C3302" s="1323" t="s">
        <v>8733</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8734</v>
      </c>
      <c r="C3303" s="1323" t="s">
        <v>8735</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8736</v>
      </c>
      <c r="C3304" s="1323" t="s">
        <v>8737</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8738</v>
      </c>
      <c r="C3305" s="1323" t="s">
        <v>8739</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8740</v>
      </c>
      <c r="C3306" s="1323" t="s">
        <v>8741</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8742</v>
      </c>
      <c r="C3307" s="1323" t="s">
        <v>8743</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8744</v>
      </c>
      <c r="C3308" s="1323" t="s">
        <v>8745</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8746</v>
      </c>
      <c r="C3309" s="1323" t="s">
        <v>8747</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8748</v>
      </c>
      <c r="C3310" s="1323" t="s">
        <v>8749</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8750</v>
      </c>
      <c r="C3311" s="1323" t="s">
        <v>8751</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8752</v>
      </c>
      <c r="C3312" s="1323" t="s">
        <v>8753</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8754</v>
      </c>
      <c r="C3313" s="1323" t="s">
        <v>3709</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8755</v>
      </c>
      <c r="C3314" s="1323" t="s">
        <v>8756</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8757</v>
      </c>
      <c r="C3315" s="1323" t="s">
        <v>8758</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8759</v>
      </c>
      <c r="C3316" s="1323" t="s">
        <v>8758</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8760</v>
      </c>
      <c r="C3317" s="1323" t="s">
        <v>8761</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8762</v>
      </c>
      <c r="C3318" s="1323" t="s">
        <v>8763</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8764</v>
      </c>
      <c r="C3319" s="1323" t="s">
        <v>8765</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8766</v>
      </c>
      <c r="C3320" s="1323" t="s">
        <v>8767</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8768</v>
      </c>
      <c r="C3321" s="1323" t="s">
        <v>8769</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8770</v>
      </c>
      <c r="C3322" s="1323" t="s">
        <v>8771</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8772</v>
      </c>
      <c r="C3323" s="1323" t="s">
        <v>8773</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8774</v>
      </c>
      <c r="C3324" s="1323" t="s">
        <v>8775</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8776</v>
      </c>
      <c r="C3325" s="1323" t="s">
        <v>8777</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8778</v>
      </c>
      <c r="C3326" s="1323" t="s">
        <v>8779</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8780</v>
      </c>
      <c r="C3327" s="1323" t="s">
        <v>8781</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8782</v>
      </c>
      <c r="C3328" s="1323" t="s">
        <v>8783</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8784</v>
      </c>
      <c r="C3329" s="1323" t="s">
        <v>8785</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8786</v>
      </c>
      <c r="C3330" s="1323" t="s">
        <v>8787</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8788</v>
      </c>
      <c r="C3331" s="1323" t="s">
        <v>8789</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8790</v>
      </c>
      <c r="C3332" s="1323" t="s">
        <v>8791</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8792</v>
      </c>
      <c r="C3333" s="1323" t="s">
        <v>8793</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8794</v>
      </c>
      <c r="C3334" s="1323" t="s">
        <v>8795</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8796</v>
      </c>
      <c r="C3335" s="1323" t="s">
        <v>8797</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8798</v>
      </c>
      <c r="C3336" s="1323" t="s">
        <v>8773</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8799</v>
      </c>
      <c r="C3337" s="1323" t="s">
        <v>8800</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8801</v>
      </c>
      <c r="C3338" s="1323" t="s">
        <v>8802</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8803</v>
      </c>
      <c r="C3339" s="1323" t="s">
        <v>8804</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8805</v>
      </c>
      <c r="C3340" s="1323" t="s">
        <v>8806</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8807</v>
      </c>
      <c r="C3341" s="1323" t="s">
        <v>8808</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8809</v>
      </c>
      <c r="C3342" s="1323" t="s">
        <v>8810</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8811</v>
      </c>
      <c r="C3343" s="1323" t="s">
        <v>8812</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8813</v>
      </c>
      <c r="C3344" s="1323" t="s">
        <v>8814</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8815</v>
      </c>
      <c r="C3345" s="1323" t="s">
        <v>8816</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8817</v>
      </c>
      <c r="C3346" s="1323" t="s">
        <v>8818</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8819</v>
      </c>
      <c r="C3347" s="1323" t="s">
        <v>8820</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8821</v>
      </c>
      <c r="C3348" s="1323" t="s">
        <v>8822</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8823</v>
      </c>
      <c r="C3349" s="1323" t="s">
        <v>8824</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8825</v>
      </c>
      <c r="C3350" s="1323" t="s">
        <v>8826</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8827</v>
      </c>
      <c r="C3351" s="1323" t="s">
        <v>8828</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8829</v>
      </c>
      <c r="C3352" s="1323" t="s">
        <v>8830</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8831</v>
      </c>
      <c r="C3353" s="1323" t="s">
        <v>8820</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8832</v>
      </c>
      <c r="C3354" s="1323" t="s">
        <v>8833</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8834</v>
      </c>
      <c r="C3355" s="1323" t="s">
        <v>8835</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8836</v>
      </c>
      <c r="C3356" s="1323" t="s">
        <v>8837</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8838</v>
      </c>
      <c r="C3357" s="1323" t="s">
        <v>8839</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8840</v>
      </c>
      <c r="C3358" s="1323" t="s">
        <v>8841</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8842</v>
      </c>
      <c r="C3359" s="1323" t="s">
        <v>8843</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8844</v>
      </c>
      <c r="C3360" s="1323" t="s">
        <v>8845</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8846</v>
      </c>
      <c r="C3361" s="1323" t="s">
        <v>8847</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8848</v>
      </c>
      <c r="C3362" s="1323" t="s">
        <v>8849</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8850</v>
      </c>
      <c r="C3363" s="1323" t="s">
        <v>8851</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8852</v>
      </c>
      <c r="C3364" s="1323" t="s">
        <v>8853</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8854</v>
      </c>
      <c r="C3365" s="1323" t="s">
        <v>8855</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8856</v>
      </c>
      <c r="C3366" s="1323" t="s">
        <v>8857</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8858</v>
      </c>
      <c r="C3367" s="1323" t="s">
        <v>8859</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8860</v>
      </c>
      <c r="C3368" s="1323" t="s">
        <v>8861</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8862</v>
      </c>
      <c r="C3369" s="1323" t="s">
        <v>8863</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8864</v>
      </c>
      <c r="C3370" s="1323" t="s">
        <v>8865</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8866</v>
      </c>
      <c r="C3371" s="1323" t="s">
        <v>8867</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8868</v>
      </c>
      <c r="C3372" s="1323" t="s">
        <v>8869</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8870</v>
      </c>
      <c r="C3373" s="1323" t="s">
        <v>8871</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8872</v>
      </c>
      <c r="C3374" s="1323" t="s">
        <v>8873</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8874</v>
      </c>
      <c r="C3375" s="1323" t="s">
        <v>8875</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8876</v>
      </c>
      <c r="C3376" s="1323" t="s">
        <v>8877</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8878</v>
      </c>
      <c r="C3377" s="1323" t="s">
        <v>8879</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8880</v>
      </c>
      <c r="C3378" s="1323" t="s">
        <v>3545</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8881</v>
      </c>
      <c r="C3379" s="1323" t="s">
        <v>8882</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8883</v>
      </c>
      <c r="C3380" s="1323" t="s">
        <v>8884</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8885</v>
      </c>
      <c r="C3381" s="1323" t="s">
        <v>8886</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8887</v>
      </c>
      <c r="C3382" s="1323" t="s">
        <v>8888</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8889</v>
      </c>
      <c r="C3383" s="1323" t="s">
        <v>8890</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8891</v>
      </c>
      <c r="C3384" s="1323" t="s">
        <v>8892</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8893</v>
      </c>
      <c r="C3385" s="1323" t="s">
        <v>8894</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8895</v>
      </c>
      <c r="C3386" s="1323" t="s">
        <v>8896</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8897</v>
      </c>
      <c r="C3387" s="1323" t="s">
        <v>7780</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8898</v>
      </c>
      <c r="C3388" s="1323" t="s">
        <v>8899</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8900</v>
      </c>
      <c r="C3389" s="1323" t="s">
        <v>8901</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8902</v>
      </c>
      <c r="C3390" s="1323" t="s">
        <v>8903</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8904</v>
      </c>
      <c r="C3391" s="1323" t="s">
        <v>8905</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8906</v>
      </c>
      <c r="C3392" s="1323" t="s">
        <v>8907</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8908</v>
      </c>
      <c r="C3393" s="1323" t="s">
        <v>8909</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8910</v>
      </c>
      <c r="C3394" s="1323" t="s">
        <v>8873</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8911</v>
      </c>
      <c r="C3395" s="1323" t="s">
        <v>8912</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8913</v>
      </c>
      <c r="C3396" s="1323" t="s">
        <v>8914</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8915</v>
      </c>
      <c r="C3397" s="1323" t="s">
        <v>8916</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8917</v>
      </c>
      <c r="C3398" s="1323" t="s">
        <v>8918</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8919</v>
      </c>
      <c r="C3399" s="1323" t="s">
        <v>8920</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8921</v>
      </c>
      <c r="C3400" s="1323" t="s">
        <v>8922</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8923</v>
      </c>
      <c r="C3401" s="1323" t="s">
        <v>8903</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8924</v>
      </c>
      <c r="C3402" s="1323" t="s">
        <v>8925</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8926</v>
      </c>
      <c r="C3403" s="1323" t="s">
        <v>8927</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8928</v>
      </c>
      <c r="C3404" s="1323" t="s">
        <v>8929</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8930</v>
      </c>
      <c r="C3405" s="1323" t="s">
        <v>8931</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8932</v>
      </c>
      <c r="C3406" s="1323" t="s">
        <v>8933</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8934</v>
      </c>
      <c r="C3407" s="1323" t="s">
        <v>8935</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8936</v>
      </c>
      <c r="C3408" s="1323" t="s">
        <v>8937</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8938</v>
      </c>
      <c r="C3409" s="1323" t="s">
        <v>8781</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8939</v>
      </c>
      <c r="C3410" s="1323" t="s">
        <v>8940</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8941</v>
      </c>
      <c r="C3411" s="1323" t="s">
        <v>8942</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8943</v>
      </c>
      <c r="C3412" s="1323" t="s">
        <v>8944</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8945</v>
      </c>
      <c r="C3413" s="1323" t="s">
        <v>8946</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8947</v>
      </c>
      <c r="C3414" s="1323" t="s">
        <v>8948</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8949</v>
      </c>
      <c r="C3415" s="1323" t="s">
        <v>8950</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8951</v>
      </c>
      <c r="C3416" s="1323" t="s">
        <v>8952</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8953</v>
      </c>
      <c r="C3417" s="1323" t="s">
        <v>8954</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8955</v>
      </c>
      <c r="C3418" s="1323" t="s">
        <v>8956</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8957</v>
      </c>
      <c r="C3419" s="1323" t="s">
        <v>8958</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8959</v>
      </c>
      <c r="C3420" s="1323" t="s">
        <v>8960</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8961</v>
      </c>
      <c r="C3421" s="1323" t="s">
        <v>8962</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8963</v>
      </c>
      <c r="C3422" s="1323" t="s">
        <v>8964</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8965</v>
      </c>
      <c r="C3423" s="1323" t="s">
        <v>8966</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8967</v>
      </c>
      <c r="C3424" s="1323" t="s">
        <v>8968</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8969</v>
      </c>
      <c r="C3425" s="1323" t="s">
        <v>8970</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8971</v>
      </c>
      <c r="C3426" s="1323" t="s">
        <v>8972</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8973</v>
      </c>
      <c r="C3427" s="1323" t="s">
        <v>8974</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8975</v>
      </c>
      <c r="C3428" s="1323" t="s">
        <v>8976</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8977</v>
      </c>
      <c r="C3429" s="1323" t="s">
        <v>8978</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8979</v>
      </c>
      <c r="C3430" s="1323" t="s">
        <v>8980</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8981</v>
      </c>
      <c r="C3431" s="1323" t="s">
        <v>8982</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8983</v>
      </c>
      <c r="C3432" s="1323" t="s">
        <v>8984</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8985</v>
      </c>
      <c r="C3433" s="1323" t="s">
        <v>8986</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8987</v>
      </c>
      <c r="C3434" s="1323" t="s">
        <v>8988</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8989</v>
      </c>
      <c r="C3435" s="1323" t="s">
        <v>8990</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8991</v>
      </c>
      <c r="C3436" s="1323" t="s">
        <v>8992</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8993</v>
      </c>
      <c r="C3437" s="1323" t="s">
        <v>8994</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8995</v>
      </c>
      <c r="C3438" s="1323" t="s">
        <v>8986</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8996</v>
      </c>
      <c r="C3439" s="1323" t="s">
        <v>8997</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8998</v>
      </c>
      <c r="C3440" s="1323" t="s">
        <v>8999</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9000</v>
      </c>
      <c r="C3441" s="1323" t="s">
        <v>9001</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9002</v>
      </c>
      <c r="C3442" s="1323" t="s">
        <v>9003</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9004</v>
      </c>
      <c r="C3443" s="1323" t="s">
        <v>9005</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9006</v>
      </c>
      <c r="C3444" s="1323" t="s">
        <v>9007</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9008</v>
      </c>
      <c r="C3445" s="1323" t="s">
        <v>9009</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9010</v>
      </c>
      <c r="C3446" s="1323" t="s">
        <v>9011</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9012</v>
      </c>
      <c r="C3447" s="1323" t="s">
        <v>9013</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9014</v>
      </c>
      <c r="C3448" s="1323" t="s">
        <v>9015</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9016</v>
      </c>
      <c r="C3449" s="1323" t="s">
        <v>9017</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9018</v>
      </c>
      <c r="C3450" s="1323" t="s">
        <v>9019</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9020</v>
      </c>
      <c r="C3451" s="1323" t="s">
        <v>4841</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9021</v>
      </c>
      <c r="C3452" s="1323" t="s">
        <v>9022</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9023</v>
      </c>
      <c r="C3453" s="1323" t="s">
        <v>8890</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9024</v>
      </c>
      <c r="C3454" s="1323" t="s">
        <v>9025</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9026</v>
      </c>
      <c r="C3455" s="1323" t="s">
        <v>3493</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9027</v>
      </c>
      <c r="C3456" s="1323" t="s">
        <v>9028</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9029</v>
      </c>
      <c r="C3457" s="1323" t="s">
        <v>9030</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9031</v>
      </c>
      <c r="C3458" s="1323" t="s">
        <v>9032</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9033</v>
      </c>
      <c r="C3459" s="1323" t="s">
        <v>9034</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9035</v>
      </c>
      <c r="C3460" s="1323" t="s">
        <v>9036</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9037</v>
      </c>
      <c r="C3461" s="1323" t="s">
        <v>9038</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9039</v>
      </c>
      <c r="C3462" s="1323" t="s">
        <v>9040</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9041</v>
      </c>
      <c r="C3463" s="1323" t="s">
        <v>9042</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9043</v>
      </c>
      <c r="C3464" s="1323" t="s">
        <v>9044</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9045</v>
      </c>
      <c r="C3465" s="1323" t="s">
        <v>9046</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9047</v>
      </c>
      <c r="C3466" s="1323" t="s">
        <v>9048</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9049</v>
      </c>
      <c r="C3467" s="1323" t="s">
        <v>9050</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9051</v>
      </c>
      <c r="C3468" s="1323" t="s">
        <v>9052</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9053</v>
      </c>
      <c r="C3469" s="1323" t="s">
        <v>9054</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9055</v>
      </c>
      <c r="C3470" s="1323" t="s">
        <v>9056</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9057</v>
      </c>
      <c r="C3471" s="1323" t="s">
        <v>9058</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9059</v>
      </c>
      <c r="C3472" s="1323" t="s">
        <v>9060</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9061</v>
      </c>
      <c r="C3473" s="1323" t="s">
        <v>9062</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9063</v>
      </c>
      <c r="C3474" s="1323" t="s">
        <v>9025</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9064</v>
      </c>
      <c r="C3475" s="1323" t="s">
        <v>9065</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9066</v>
      </c>
      <c r="C3476" s="1323" t="s">
        <v>9067</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9068</v>
      </c>
      <c r="C3477" s="1323" t="s">
        <v>9069</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9070</v>
      </c>
      <c r="C3478" s="1323" t="s">
        <v>9071</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9072</v>
      </c>
      <c r="C3479" s="1323" t="s">
        <v>9073</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9074</v>
      </c>
      <c r="C3480" s="1323" t="s">
        <v>3757</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9075</v>
      </c>
      <c r="C3481" s="1323" t="s">
        <v>9076</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9077</v>
      </c>
      <c r="C3482" s="1323" t="s">
        <v>9078</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9079</v>
      </c>
      <c r="C3483" s="1323" t="s">
        <v>9080</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9081</v>
      </c>
      <c r="C3484" s="1323" t="s">
        <v>9082</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9083</v>
      </c>
      <c r="C3485" s="1323" t="s">
        <v>9084</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9085</v>
      </c>
      <c r="C3486" s="1323" t="s">
        <v>9086</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9087</v>
      </c>
      <c r="C3487" s="1323" t="s">
        <v>4299</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9088</v>
      </c>
      <c r="C3488" s="1323" t="s">
        <v>9089</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9090</v>
      </c>
      <c r="C3489" s="1323" t="s">
        <v>9091</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9092</v>
      </c>
      <c r="C3490" s="1323" t="s">
        <v>9093</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9094</v>
      </c>
      <c r="C3491" s="1323" t="s">
        <v>9095</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9096</v>
      </c>
      <c r="C3492" s="1323" t="s">
        <v>9097</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9098</v>
      </c>
      <c r="C3493" s="1323" t="s">
        <v>9099</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9100</v>
      </c>
      <c r="C3494" s="1323" t="s">
        <v>4475</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9101</v>
      </c>
      <c r="C3495" s="1323" t="s">
        <v>9102</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9103</v>
      </c>
      <c r="C3496" s="1323" t="s">
        <v>9104</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9105</v>
      </c>
      <c r="C3497" s="1323" t="s">
        <v>9106</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9107</v>
      </c>
      <c r="C3498" s="1323" t="s">
        <v>9108</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9109</v>
      </c>
      <c r="C3499" s="1323" t="s">
        <v>9110</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9111</v>
      </c>
      <c r="C3500" s="1323" t="s">
        <v>7477</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9112</v>
      </c>
      <c r="C3501" s="1323" t="s">
        <v>9113</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9114</v>
      </c>
      <c r="C3502" s="1323" t="s">
        <v>9115</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9116</v>
      </c>
      <c r="C3503" s="1323" t="s">
        <v>9117</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9118</v>
      </c>
      <c r="C3504" s="1323" t="s">
        <v>9119</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9120</v>
      </c>
      <c r="C3505" s="1323" t="s">
        <v>4072</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9121</v>
      </c>
      <c r="C3506" s="1323" t="s">
        <v>9122</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9123</v>
      </c>
      <c r="C3507" s="1323" t="s">
        <v>9124</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9125</v>
      </c>
      <c r="C3508" s="1323" t="s">
        <v>9126</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9127</v>
      </c>
      <c r="C3509" s="1323" t="s">
        <v>9128</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9129</v>
      </c>
      <c r="C3510" s="1323" t="s">
        <v>9130</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9131</v>
      </c>
      <c r="C3511" s="1323" t="s">
        <v>6064</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9132</v>
      </c>
      <c r="C3512" s="1323" t="s">
        <v>9133</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9134</v>
      </c>
      <c r="C3513" s="1323" t="s">
        <v>9135</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9136</v>
      </c>
      <c r="C3514" s="1323" t="s">
        <v>9137</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9138</v>
      </c>
      <c r="C3515" s="1323" t="s">
        <v>9139</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9140</v>
      </c>
      <c r="C3516" s="1323" t="s">
        <v>9141</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9142</v>
      </c>
      <c r="C3517" s="1323" t="s">
        <v>9143</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9144</v>
      </c>
      <c r="C3518" s="1323" t="s">
        <v>9145</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9146</v>
      </c>
      <c r="C3519" s="1323" t="s">
        <v>3807</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9147</v>
      </c>
      <c r="C3520" s="1323" t="s">
        <v>9148</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9149</v>
      </c>
      <c r="C3521" s="1323" t="s">
        <v>9150</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9151</v>
      </c>
      <c r="C3522" s="1323" t="s">
        <v>9152</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9153</v>
      </c>
      <c r="C3523" s="1323" t="s">
        <v>9154</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9155</v>
      </c>
      <c r="C3524" s="1323" t="s">
        <v>9156</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9157</v>
      </c>
      <c r="C3525" s="1323" t="s">
        <v>9130</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9158</v>
      </c>
      <c r="C3526" s="1323" t="s">
        <v>4156</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9159</v>
      </c>
      <c r="C3527" s="1323" t="s">
        <v>5578</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9160</v>
      </c>
      <c r="C3528" s="1323" t="s">
        <v>9161</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9162</v>
      </c>
      <c r="C3529" s="1323" t="s">
        <v>9163</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9164</v>
      </c>
      <c r="C3530" s="1323" t="s">
        <v>9165</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9166</v>
      </c>
      <c r="C3531" s="1323" t="s">
        <v>9167</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9168</v>
      </c>
      <c r="C3532" s="1323" t="s">
        <v>9148</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9169</v>
      </c>
      <c r="C3533" s="1323" t="s">
        <v>9170</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9171</v>
      </c>
      <c r="C3534" s="1323" t="s">
        <v>7617</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9172</v>
      </c>
      <c r="C3535" s="1323" t="s">
        <v>9173</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9174</v>
      </c>
      <c r="C3536" s="1323" t="s">
        <v>9145</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9175</v>
      </c>
      <c r="C3537" s="1323" t="s">
        <v>9176</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9177</v>
      </c>
      <c r="C3538" s="1323" t="s">
        <v>9178</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9179</v>
      </c>
      <c r="C3539" s="1323" t="s">
        <v>9180</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9181</v>
      </c>
      <c r="C3540" s="1323" t="s">
        <v>9182</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9183</v>
      </c>
      <c r="C3541" s="1323" t="s">
        <v>9184</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9185</v>
      </c>
      <c r="C3542" s="1323" t="s">
        <v>9186</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9187</v>
      </c>
      <c r="C3543" s="1323" t="s">
        <v>9188</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9189</v>
      </c>
      <c r="C3544" s="1323" t="s">
        <v>5600</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9190</v>
      </c>
      <c r="C3545" s="1323" t="s">
        <v>9191</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9192</v>
      </c>
      <c r="C3546" s="1323" t="s">
        <v>9193</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9194</v>
      </c>
      <c r="C3547" s="1323" t="s">
        <v>9195</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9196</v>
      </c>
      <c r="C3548" s="1323" t="s">
        <v>9197</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9198</v>
      </c>
      <c r="C3549" s="1323" t="s">
        <v>9199</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9200</v>
      </c>
      <c r="C3550" s="1323" t="s">
        <v>9201</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9202</v>
      </c>
      <c r="C3551" s="1323" t="s">
        <v>9203</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9204</v>
      </c>
      <c r="C3552" s="1323" t="s">
        <v>9205</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9206</v>
      </c>
      <c r="C3553" s="1323" t="s">
        <v>9207</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9208</v>
      </c>
      <c r="C3554" s="1323" t="s">
        <v>9209</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9210</v>
      </c>
      <c r="C3555" s="1323" t="s">
        <v>9211</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9212</v>
      </c>
      <c r="C3556" s="1323" t="s">
        <v>9213</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9214</v>
      </c>
      <c r="C3557" s="1323" t="s">
        <v>9215</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9216</v>
      </c>
      <c r="C3558" s="1323" t="s">
        <v>9217</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9218</v>
      </c>
      <c r="C3559" s="1323" t="s">
        <v>9219</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9220</v>
      </c>
      <c r="C3560" s="1323" t="s">
        <v>9221</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9222</v>
      </c>
      <c r="C3561" s="1323" t="s">
        <v>9223</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9224</v>
      </c>
      <c r="C3562" s="1323" t="s">
        <v>7342</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9225</v>
      </c>
      <c r="C3563" s="1323" t="s">
        <v>9226</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9227</v>
      </c>
      <c r="C3564" s="1323" t="s">
        <v>9228</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9229</v>
      </c>
      <c r="C3565" s="1323" t="s">
        <v>9230</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9231</v>
      </c>
      <c r="C3566" s="1323" t="s">
        <v>9232</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9233</v>
      </c>
      <c r="C3567" s="1323" t="s">
        <v>9234</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9235</v>
      </c>
      <c r="C3568" s="1323" t="s">
        <v>9236</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9237</v>
      </c>
      <c r="C3569" s="1323" t="s">
        <v>9238</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9239</v>
      </c>
      <c r="C3570" s="1323" t="s">
        <v>9240</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9241</v>
      </c>
      <c r="C3571" s="1323" t="s">
        <v>9242</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9243</v>
      </c>
      <c r="C3572" s="1323" t="s">
        <v>9244</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9245</v>
      </c>
      <c r="C3573" s="1323" t="s">
        <v>7621</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9246</v>
      </c>
      <c r="C3574" s="1323" t="s">
        <v>9247</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9248</v>
      </c>
      <c r="C3575" s="1323" t="s">
        <v>9249</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9250</v>
      </c>
      <c r="C3576" s="1323" t="s">
        <v>6090</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9251</v>
      </c>
      <c r="C3577" s="1323" t="s">
        <v>9252</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9253</v>
      </c>
      <c r="C3578" s="1323" t="s">
        <v>9254</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9255</v>
      </c>
      <c r="C3579" s="1323" t="s">
        <v>9256</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9257</v>
      </c>
      <c r="C3580" s="1323" t="s">
        <v>9258</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9259</v>
      </c>
      <c r="C3581" s="1323" t="s">
        <v>9260</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9261</v>
      </c>
      <c r="C3582" s="1323" t="s">
        <v>9262</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9263</v>
      </c>
      <c r="C3583" s="1323" t="s">
        <v>9264</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9265</v>
      </c>
      <c r="C3584" s="1323" t="s">
        <v>5914</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9266</v>
      </c>
      <c r="C3585" s="1323" t="s">
        <v>9267</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9268</v>
      </c>
      <c r="C3586" s="1323" t="s">
        <v>9269</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9270</v>
      </c>
      <c r="C3587" s="1323" t="s">
        <v>9271</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9272</v>
      </c>
      <c r="C3588" s="1323" t="s">
        <v>9273</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9274</v>
      </c>
      <c r="C3589" s="1323" t="s">
        <v>9275</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9276</v>
      </c>
      <c r="C3590" s="1323" t="s">
        <v>9277</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9278</v>
      </c>
      <c r="C3591" s="1323" t="s">
        <v>9279</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9280</v>
      </c>
      <c r="C3592" s="1323" t="s">
        <v>9281</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9282</v>
      </c>
      <c r="C3593" s="1323" t="s">
        <v>9283</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9284</v>
      </c>
      <c r="C3594" s="1323" t="s">
        <v>9285</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9286</v>
      </c>
      <c r="C3595" s="1323" t="s">
        <v>9287</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9288</v>
      </c>
      <c r="C3596" s="1323" t="s">
        <v>5673</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9289</v>
      </c>
      <c r="C3597" s="1323" t="s">
        <v>9290</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9291</v>
      </c>
      <c r="C3598" s="1323" t="s">
        <v>9292</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9293</v>
      </c>
      <c r="C3599" s="1323" t="s">
        <v>9294</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9295</v>
      </c>
      <c r="C3600" s="1323" t="s">
        <v>9296</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9297</v>
      </c>
      <c r="C3601" s="1323" t="s">
        <v>9298</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9299</v>
      </c>
      <c r="C3602" s="1323" t="s">
        <v>9300</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9301</v>
      </c>
      <c r="C3603" s="1323" t="s">
        <v>9302</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9303</v>
      </c>
      <c r="C3604" s="1323" t="s">
        <v>9304</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9305</v>
      </c>
      <c r="C3605" s="1323" t="s">
        <v>9306</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9307</v>
      </c>
      <c r="C3606" s="1323" t="s">
        <v>9308</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9309</v>
      </c>
      <c r="C3607" s="1323" t="s">
        <v>9310</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9311</v>
      </c>
      <c r="C3608" s="1323" t="s">
        <v>9312</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9313</v>
      </c>
      <c r="C3609" s="1323" t="s">
        <v>9314</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9315</v>
      </c>
      <c r="C3610" s="1323" t="s">
        <v>9316</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9317</v>
      </c>
      <c r="C3611" s="1323" t="s">
        <v>9318</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9319</v>
      </c>
      <c r="C3612" s="1323" t="s">
        <v>9320</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9321</v>
      </c>
      <c r="C3613" s="1323" t="s">
        <v>9322</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9323</v>
      </c>
      <c r="C3614" s="1323" t="s">
        <v>7397</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9324</v>
      </c>
      <c r="C3615" s="1323" t="s">
        <v>9325</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9326</v>
      </c>
      <c r="C3616" s="1323" t="s">
        <v>9327</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9328</v>
      </c>
      <c r="C3617" s="1323" t="s">
        <v>9329</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9330</v>
      </c>
      <c r="C3618" s="1323" t="s">
        <v>9331</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9332</v>
      </c>
      <c r="C3619" s="1323" t="s">
        <v>9333</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9334</v>
      </c>
      <c r="C3620" s="1323" t="s">
        <v>7136</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9335</v>
      </c>
      <c r="C3621" s="1323" t="s">
        <v>9336</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9337</v>
      </c>
      <c r="C3622" s="1323" t="s">
        <v>9338</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9339</v>
      </c>
      <c r="C3623" s="1323" t="s">
        <v>9340</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9341</v>
      </c>
      <c r="C3624" s="1323" t="s">
        <v>9342</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9343</v>
      </c>
      <c r="C3625" s="1323" t="s">
        <v>9344</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9345</v>
      </c>
      <c r="C3626" s="1323" t="s">
        <v>7555</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9346</v>
      </c>
      <c r="C3627" s="1323" t="s">
        <v>7313</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9347</v>
      </c>
      <c r="C3628" s="1323" t="s">
        <v>9348</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9349</v>
      </c>
      <c r="C3629" s="1323" t="s">
        <v>9350</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9351</v>
      </c>
      <c r="C3630" s="1323" t="s">
        <v>7313</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9352</v>
      </c>
      <c r="C3631" s="1323" t="s">
        <v>9353</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9354</v>
      </c>
      <c r="C3632" s="1323" t="s">
        <v>9355</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9356</v>
      </c>
      <c r="C3633" s="1323" t="s">
        <v>9357</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9358</v>
      </c>
      <c r="C3634" s="1323" t="s">
        <v>9359</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9360</v>
      </c>
      <c r="C3635" s="1323" t="s">
        <v>9361</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9362</v>
      </c>
      <c r="C3636" s="1323" t="s">
        <v>9363</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9364</v>
      </c>
      <c r="C3637" s="1323" t="s">
        <v>9365</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9366</v>
      </c>
      <c r="C3638" s="1323" t="s">
        <v>9367</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9368</v>
      </c>
      <c r="C3639" s="1323" t="s">
        <v>9369</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9370</v>
      </c>
      <c r="C3640" s="1323" t="s">
        <v>9371</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9372</v>
      </c>
      <c r="C3641" s="1323" t="s">
        <v>9361</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9373</v>
      </c>
      <c r="C3642" s="1323" t="s">
        <v>9374</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9375</v>
      </c>
      <c r="C3643" s="1323" t="s">
        <v>9376</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9377</v>
      </c>
      <c r="C3644" s="1323" t="s">
        <v>9359</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9378</v>
      </c>
      <c r="C3645" s="1323" t="s">
        <v>9379</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9380</v>
      </c>
      <c r="C3646" s="1323" t="s">
        <v>7233</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9381</v>
      </c>
      <c r="C3647" s="1323" t="s">
        <v>9382</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9383</v>
      </c>
      <c r="C3648" s="1323" t="s">
        <v>9384</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9385</v>
      </c>
      <c r="C3649" s="1323" t="s">
        <v>9361</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9386</v>
      </c>
      <c r="C3650" s="1323" t="s">
        <v>9387</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9388</v>
      </c>
      <c r="C3651" s="1323" t="s">
        <v>9389</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9390</v>
      </c>
      <c r="C3652" s="1323" t="s">
        <v>9391</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9392</v>
      </c>
      <c r="C3653" s="1323" t="s">
        <v>9393</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9394</v>
      </c>
      <c r="C3654" s="1323" t="s">
        <v>9395</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9396</v>
      </c>
      <c r="C3655" s="1323" t="s">
        <v>7241</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9397</v>
      </c>
      <c r="C3656" s="1323" t="s">
        <v>9398</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9399</v>
      </c>
      <c r="C3657" s="1323" t="s">
        <v>9400</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9401</v>
      </c>
      <c r="C3658" s="1323" t="s">
        <v>7106</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9402</v>
      </c>
      <c r="C3659" s="1323" t="s">
        <v>9403</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9404</v>
      </c>
      <c r="C3660" s="1323" t="s">
        <v>9405</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9406</v>
      </c>
      <c r="C3661" s="1323" t="s">
        <v>9407</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9408</v>
      </c>
      <c r="C3662" s="1323" t="s">
        <v>9409</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9410</v>
      </c>
      <c r="C3663" s="1323" t="s">
        <v>9411</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9412</v>
      </c>
      <c r="C3664" s="1323" t="s">
        <v>9413</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9414</v>
      </c>
      <c r="C3665" s="1323" t="s">
        <v>9415</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9416</v>
      </c>
      <c r="C3666" s="1323" t="s">
        <v>9417</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9418</v>
      </c>
      <c r="C3667" s="1323" t="s">
        <v>9419</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9420</v>
      </c>
      <c r="C3668" s="1323" t="s">
        <v>9421</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9422</v>
      </c>
      <c r="C3669" s="1323" t="s">
        <v>9423</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9424</v>
      </c>
      <c r="C3670" s="1323" t="s">
        <v>9425</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9426</v>
      </c>
      <c r="C3671" s="1323" t="s">
        <v>9427</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9428</v>
      </c>
      <c r="C3672" s="1323" t="s">
        <v>9429</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9430</v>
      </c>
      <c r="C3673" s="1323" t="s">
        <v>9431</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9432</v>
      </c>
      <c r="C3674" s="1323" t="s">
        <v>9433</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9434</v>
      </c>
      <c r="C3675" s="1323" t="s">
        <v>9435</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9436</v>
      </c>
      <c r="C3676" s="1323" t="s">
        <v>9437</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9438</v>
      </c>
      <c r="C3677" s="1323" t="s">
        <v>9439</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9440</v>
      </c>
      <c r="C3678" s="1323" t="s">
        <v>9441</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9442</v>
      </c>
      <c r="C3679" s="1323" t="s">
        <v>9443</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9444</v>
      </c>
      <c r="C3680" s="1323" t="s">
        <v>9445</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9446</v>
      </c>
      <c r="C3681" s="1323" t="s">
        <v>6972</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9447</v>
      </c>
      <c r="C3682" s="1323" t="s">
        <v>9448</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9449</v>
      </c>
      <c r="C3683" s="1323" t="s">
        <v>9450</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9451</v>
      </c>
      <c r="C3684" s="1323" t="s">
        <v>9452</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9453</v>
      </c>
      <c r="C3685" s="1323" t="s">
        <v>9454</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9455</v>
      </c>
      <c r="C3686" s="1323" t="s">
        <v>9456</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9457</v>
      </c>
      <c r="C3687" s="1323" t="s">
        <v>9458</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9459</v>
      </c>
      <c r="C3688" s="1323" t="s">
        <v>6526</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9460</v>
      </c>
      <c r="C3689" s="1323" t="s">
        <v>9461</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9462</v>
      </c>
      <c r="C3690" s="1323" t="s">
        <v>9463</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9464</v>
      </c>
      <c r="C3691" s="1323" t="s">
        <v>9461</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9465</v>
      </c>
      <c r="C3692" s="1323" t="s">
        <v>9466</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9467</v>
      </c>
      <c r="C3693" s="1323" t="s">
        <v>9468</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9469</v>
      </c>
      <c r="C3694" s="1323" t="s">
        <v>9470</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9471</v>
      </c>
      <c r="C3695" s="1323" t="s">
        <v>9472</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9473</v>
      </c>
      <c r="C3696" s="1323" t="s">
        <v>9474</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9475</v>
      </c>
      <c r="C3697" s="1323" t="s">
        <v>9476</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9477</v>
      </c>
      <c r="C3698" s="1323" t="s">
        <v>9478</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9479</v>
      </c>
      <c r="C3699" s="1323" t="s">
        <v>9480</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9481</v>
      </c>
      <c r="C3700" s="1323" t="s">
        <v>9482</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9483</v>
      </c>
      <c r="C3701" s="1323" t="s">
        <v>9484</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9485</v>
      </c>
      <c r="C3702" s="1323" t="s">
        <v>9463</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9486</v>
      </c>
      <c r="C3703" s="1323" t="s">
        <v>9487</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9488</v>
      </c>
      <c r="C3704" s="1323" t="s">
        <v>9489</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9490</v>
      </c>
      <c r="C3705" s="1323" t="s">
        <v>9491</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9492</v>
      </c>
      <c r="C3706" s="1323" t="s">
        <v>6892</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9493</v>
      </c>
      <c r="C3707" s="1323" t="s">
        <v>9494</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9495</v>
      </c>
      <c r="C3708" s="1323" t="s">
        <v>9496</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9497</v>
      </c>
      <c r="C3709" s="1323" t="s">
        <v>9498</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9499</v>
      </c>
      <c r="C3710" s="1323" t="s">
        <v>9500</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9501</v>
      </c>
      <c r="C3711" s="1323" t="s">
        <v>9502</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9503</v>
      </c>
      <c r="C3712" s="1323" t="s">
        <v>9504</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9505</v>
      </c>
      <c r="C3713" s="1323" t="s">
        <v>9506</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9507</v>
      </c>
      <c r="C3714" s="1323" t="s">
        <v>9508</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9509</v>
      </c>
      <c r="C3715" s="1323" t="s">
        <v>9510</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9511</v>
      </c>
      <c r="C3716" s="1323" t="s">
        <v>9468</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9512</v>
      </c>
      <c r="C3717" s="1323" t="s">
        <v>9513</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9514</v>
      </c>
      <c r="C3718" s="1323" t="s">
        <v>9496</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9515</v>
      </c>
      <c r="C3719" s="1323" t="s">
        <v>9516</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9517</v>
      </c>
      <c r="C3720" s="1323" t="s">
        <v>9518</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9519</v>
      </c>
      <c r="C3721" s="1323" t="s">
        <v>9520</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9521</v>
      </c>
      <c r="C3722" s="1323" t="s">
        <v>9496</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9522</v>
      </c>
      <c r="C3723" s="1323" t="s">
        <v>9523</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9524</v>
      </c>
      <c r="C3724" s="1323" t="s">
        <v>9525</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9526</v>
      </c>
      <c r="C3725" s="1323" t="s">
        <v>9527</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9528</v>
      </c>
      <c r="C3726" s="1323" t="s">
        <v>9508</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9529</v>
      </c>
      <c r="C3727" s="1323" t="s">
        <v>9530</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9531</v>
      </c>
      <c r="C3728" s="1323" t="s">
        <v>9532</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9533</v>
      </c>
      <c r="C3729" s="1323" t="s">
        <v>9534</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9535</v>
      </c>
      <c r="C3730" s="1323" t="s">
        <v>6870</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9536</v>
      </c>
      <c r="C3731" s="1323" t="s">
        <v>9537</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9538</v>
      </c>
      <c r="C3732" s="1323" t="s">
        <v>9539</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9540</v>
      </c>
      <c r="C3733" s="1323" t="s">
        <v>9541</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9542</v>
      </c>
      <c r="C3734" s="1323" t="s">
        <v>9543</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9544</v>
      </c>
      <c r="C3735" s="1323" t="s">
        <v>9545</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9546</v>
      </c>
      <c r="C3736" s="1323" t="s">
        <v>9547</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9548</v>
      </c>
      <c r="C3737" s="1323" t="s">
        <v>9549</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9550</v>
      </c>
      <c r="C3738" s="1323" t="s">
        <v>9551</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9552</v>
      </c>
      <c r="C3739" s="1323" t="s">
        <v>9553</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9554</v>
      </c>
      <c r="C3740" s="1323" t="s">
        <v>9555</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9556</v>
      </c>
      <c r="C3741" s="1323" t="s">
        <v>9549</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9557</v>
      </c>
      <c r="C3742" s="1323" t="s">
        <v>9558</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9559</v>
      </c>
      <c r="C3743" s="1323" t="s">
        <v>9560</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9561</v>
      </c>
      <c r="C3744" s="1323" t="s">
        <v>9562</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9563</v>
      </c>
      <c r="C3745" s="1323" t="s">
        <v>9564</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9565</v>
      </c>
      <c r="C3746" s="1323" t="s">
        <v>9566</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9567</v>
      </c>
      <c r="C3747" s="1323" t="s">
        <v>9568</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9569</v>
      </c>
      <c r="C3748" s="1323" t="s">
        <v>9570</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9571</v>
      </c>
      <c r="C3749" s="1323" t="s">
        <v>9572</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9573</v>
      </c>
      <c r="C3750" s="1323" t="s">
        <v>9574</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9575</v>
      </c>
      <c r="C3751" s="1323" t="s">
        <v>7256</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9576</v>
      </c>
      <c r="C3752" s="1323" t="s">
        <v>9577</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9578</v>
      </c>
      <c r="C3753" s="1323" t="s">
        <v>9579</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9580</v>
      </c>
      <c r="C3754" s="1323" t="s">
        <v>9581</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9582</v>
      </c>
      <c r="C3755" s="1323" t="s">
        <v>9583</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9584</v>
      </c>
      <c r="C3756" s="1323" t="s">
        <v>9585</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9586</v>
      </c>
      <c r="C3757" s="1323" t="s">
        <v>9587</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9588</v>
      </c>
      <c r="C3758" s="1323" t="s">
        <v>9589</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9590</v>
      </c>
      <c r="C3759" s="1323" t="s">
        <v>9589</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9591</v>
      </c>
      <c r="C3760" s="1323" t="s">
        <v>9592</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9593</v>
      </c>
      <c r="C3761" s="1323" t="s">
        <v>6484</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9594</v>
      </c>
      <c r="C3762" s="1323" t="s">
        <v>9592</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9595</v>
      </c>
      <c r="C3763" s="1323" t="s">
        <v>9596</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9597</v>
      </c>
      <c r="C3764" s="1323" t="s">
        <v>9598</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9599</v>
      </c>
      <c r="C3765" s="1323" t="s">
        <v>9562</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9600</v>
      </c>
      <c r="C3766" s="1323" t="s">
        <v>9601</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9602</v>
      </c>
      <c r="C3767" s="1323" t="s">
        <v>9530</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9603</v>
      </c>
      <c r="C3768" s="1323" t="s">
        <v>9604</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9605</v>
      </c>
      <c r="C3769" s="1323" t="s">
        <v>9606</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9607</v>
      </c>
      <c r="C3770" s="1323" t="s">
        <v>9608</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9609</v>
      </c>
      <c r="C3771" s="1323" t="s">
        <v>9532</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9610</v>
      </c>
      <c r="C3772" s="1323" t="s">
        <v>9527</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9611</v>
      </c>
      <c r="C3773" s="1323" t="s">
        <v>9612</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9613</v>
      </c>
      <c r="C3774" s="1323" t="s">
        <v>9614</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9615</v>
      </c>
      <c r="C3775" s="1323" t="s">
        <v>9616</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9617</v>
      </c>
      <c r="C3776" s="1323" t="s">
        <v>9516</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9618</v>
      </c>
      <c r="C3777" s="1323" t="s">
        <v>9619</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9620</v>
      </c>
      <c r="C3778" s="1323" t="s">
        <v>9621</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9622</v>
      </c>
      <c r="C3779" s="1323" t="s">
        <v>9623</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9624</v>
      </c>
      <c r="C3780" s="1323" t="s">
        <v>9625</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9626</v>
      </c>
      <c r="C3781" s="1323" t="s">
        <v>9616</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9627</v>
      </c>
      <c r="C3782" s="1323" t="s">
        <v>9628</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9629</v>
      </c>
      <c r="C3783" s="1323" t="s">
        <v>9443</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9630</v>
      </c>
      <c r="C3784" s="1323" t="s">
        <v>9506</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9631</v>
      </c>
      <c r="C3785" s="1323" t="s">
        <v>9504</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9632</v>
      </c>
      <c r="C3786" s="1323" t="s">
        <v>6926</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9633</v>
      </c>
      <c r="C3787" s="1323" t="s">
        <v>9634</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9635</v>
      </c>
      <c r="C3788" s="1323" t="s">
        <v>9636</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9637</v>
      </c>
      <c r="C3789" s="1323" t="s">
        <v>9638</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9639</v>
      </c>
      <c r="C3790" s="1323" t="s">
        <v>9443</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9640</v>
      </c>
      <c r="C3791" s="1323" t="s">
        <v>9443</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9641</v>
      </c>
      <c r="C3792" s="1323" t="s">
        <v>9518</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9642</v>
      </c>
      <c r="C3793" s="1323" t="s">
        <v>9612</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9643</v>
      </c>
      <c r="C3794" s="1323" t="s">
        <v>9644</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9645</v>
      </c>
      <c r="C3795" s="1323" t="s">
        <v>9646</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9647</v>
      </c>
      <c r="C3796" s="1323" t="s">
        <v>9648</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9649</v>
      </c>
      <c r="C3797" s="1323" t="s">
        <v>9537</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9650</v>
      </c>
      <c r="C3798" s="1323" t="s">
        <v>9651</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9652</v>
      </c>
      <c r="C3799" s="1323" t="s">
        <v>9653</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9654</v>
      </c>
      <c r="C3800" s="1323" t="s">
        <v>9585</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9655</v>
      </c>
      <c r="C3801" s="1323" t="s">
        <v>9555</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9656</v>
      </c>
      <c r="C3802" s="1323" t="s">
        <v>9657</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9658</v>
      </c>
      <c r="C3803" s="1323" t="s">
        <v>9560</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9659</v>
      </c>
      <c r="C3804" s="1323" t="s">
        <v>9541</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9660</v>
      </c>
      <c r="C3805" s="1323" t="s">
        <v>9537</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9661</v>
      </c>
      <c r="C3806" s="1323" t="s">
        <v>9657</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9662</v>
      </c>
      <c r="C3807" s="1323" t="s">
        <v>9663</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9664</v>
      </c>
      <c r="C3808" s="1323" t="s">
        <v>9555</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9665</v>
      </c>
      <c r="C3809" s="1323" t="s">
        <v>9666</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9667</v>
      </c>
      <c r="C3810" s="1323" t="s">
        <v>9668</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9669</v>
      </c>
      <c r="C3811" s="1323" t="s">
        <v>9670</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9671</v>
      </c>
      <c r="C3812" s="1323" t="s">
        <v>9672</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9673</v>
      </c>
      <c r="C3813" s="1323" t="s">
        <v>9674</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9675</v>
      </c>
      <c r="C3814" s="1323" t="s">
        <v>9676</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9677</v>
      </c>
      <c r="C3815" s="1323" t="s">
        <v>9678</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9679</v>
      </c>
      <c r="C3816" s="1323" t="s">
        <v>9676</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9680</v>
      </c>
      <c r="C3817" s="1323" t="s">
        <v>9681</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9682</v>
      </c>
      <c r="C3818" s="1323" t="s">
        <v>9612</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9683</v>
      </c>
      <c r="C3819" s="1323" t="s">
        <v>9684</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9685</v>
      </c>
      <c r="C3820" s="1323" t="s">
        <v>9686</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9687</v>
      </c>
      <c r="C3821" s="1323" t="s">
        <v>9688</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9689</v>
      </c>
      <c r="C3822" s="1323" t="s">
        <v>9690</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9691</v>
      </c>
      <c r="C3823" s="1323" t="s">
        <v>6442</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9692</v>
      </c>
      <c r="C3824" s="1323" t="s">
        <v>9693</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9694</v>
      </c>
      <c r="C3825" s="1323" t="s">
        <v>9695</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9696</v>
      </c>
      <c r="C3826" s="1323" t="s">
        <v>9697</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9698</v>
      </c>
      <c r="C3827" s="1323" t="s">
        <v>9699</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9700</v>
      </c>
      <c r="C3828" s="1323" t="s">
        <v>9621</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9701</v>
      </c>
      <c r="C3829" s="1323" t="s">
        <v>9702</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9703</v>
      </c>
      <c r="C3830" s="1323" t="s">
        <v>9684</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9704</v>
      </c>
      <c r="C3831" s="1323" t="s">
        <v>9619</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9705</v>
      </c>
      <c r="C3832" s="1323" t="s">
        <v>7229</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9706</v>
      </c>
      <c r="C3833" s="1323" t="s">
        <v>9707</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9708</v>
      </c>
      <c r="C3834" s="1323" t="s">
        <v>9699</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9709</v>
      </c>
      <c r="C3835" s="1323" t="s">
        <v>9707</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9710</v>
      </c>
      <c r="C3836" s="1323" t="s">
        <v>9711</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9712</v>
      </c>
      <c r="C3837" s="1323" t="s">
        <v>9527</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9713</v>
      </c>
      <c r="C3838" s="1323" t="s">
        <v>9714</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9715</v>
      </c>
      <c r="C3839" s="1323" t="s">
        <v>9606</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9716</v>
      </c>
      <c r="C3840" s="1323" t="s">
        <v>9717</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9718</v>
      </c>
      <c r="C3841" s="1323" t="s">
        <v>9558</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9719</v>
      </c>
      <c r="C3842" s="1323" t="s">
        <v>9720</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9721</v>
      </c>
      <c r="C3843" s="1323" t="s">
        <v>9558</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9722</v>
      </c>
      <c r="C3844" s="1323" t="s">
        <v>9723</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9724</v>
      </c>
      <c r="C3845" s="1323" t="s">
        <v>9725</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9726</v>
      </c>
      <c r="C3846" s="1323" t="s">
        <v>9534</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9727</v>
      </c>
      <c r="C3847" s="1323" t="s">
        <v>9646</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9728</v>
      </c>
      <c r="C3848" s="1323" t="s">
        <v>9729</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9730</v>
      </c>
      <c r="C3849" s="1323" t="s">
        <v>9729</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9731</v>
      </c>
      <c r="C3850" s="1323" t="s">
        <v>9585</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9732</v>
      </c>
      <c r="C3851" s="1323" t="s">
        <v>9733</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9734</v>
      </c>
      <c r="C3852" s="1323" t="s">
        <v>9674</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9735</v>
      </c>
      <c r="C3853" s="1323" t="s">
        <v>9717</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9736</v>
      </c>
      <c r="C3854" s="1323" t="s">
        <v>6870</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9737</v>
      </c>
      <c r="C3855" s="1323" t="s">
        <v>9612</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9738</v>
      </c>
      <c r="C3856" s="1323" t="s">
        <v>9516</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9739</v>
      </c>
      <c r="C3857" s="1323" t="s">
        <v>9740</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9741</v>
      </c>
      <c r="C3858" s="1323" t="s">
        <v>9742</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9743</v>
      </c>
      <c r="C3859" s="1323" t="s">
        <v>9744</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9745</v>
      </c>
      <c r="C3860" s="1323" t="s">
        <v>9742</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9746</v>
      </c>
      <c r="C3861" s="1323" t="s">
        <v>9747</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9748</v>
      </c>
      <c r="C3862" s="1323" t="s">
        <v>9749</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9750</v>
      </c>
      <c r="C3863" s="1323" t="s">
        <v>9751</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9752</v>
      </c>
      <c r="C3864" s="1323" t="s">
        <v>7229</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9753</v>
      </c>
      <c r="C3865" s="1323" t="s">
        <v>9740</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9754</v>
      </c>
      <c r="C3866" s="1323" t="s">
        <v>9699</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9755</v>
      </c>
      <c r="C3867" s="1323" t="s">
        <v>9697</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9756</v>
      </c>
      <c r="C3868" s="1323" t="s">
        <v>9757</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9758</v>
      </c>
      <c r="C3869" s="1323" t="s">
        <v>9751</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9759</v>
      </c>
      <c r="C3870" s="1323" t="s">
        <v>9760</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9761</v>
      </c>
      <c r="C3871" s="1323" t="s">
        <v>9762</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9763</v>
      </c>
      <c r="C3872" s="1323" t="s">
        <v>9764</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9765</v>
      </c>
      <c r="C3873" s="1323" t="s">
        <v>9690</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9766</v>
      </c>
      <c r="C3874" s="1323" t="s">
        <v>9508</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9767</v>
      </c>
      <c r="C3875" s="1323" t="s">
        <v>9443</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9768</v>
      </c>
      <c r="C3876" s="1323" t="s">
        <v>9516</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9769</v>
      </c>
      <c r="C3877" s="1323" t="s">
        <v>9516</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9770</v>
      </c>
      <c r="C3878" s="1323" t="s">
        <v>9707</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9771</v>
      </c>
      <c r="C3879" s="1323" t="s">
        <v>9749</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9772</v>
      </c>
      <c r="C3880" s="1323" t="s">
        <v>9693</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9773</v>
      </c>
      <c r="C3881" s="1323" t="s">
        <v>9760</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9774</v>
      </c>
      <c r="C3882" s="1323" t="s">
        <v>9775</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9776</v>
      </c>
      <c r="C3883" s="1323" t="s">
        <v>9612</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9777</v>
      </c>
      <c r="C3884" s="1323" t="s">
        <v>9614</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9778</v>
      </c>
      <c r="C3885" s="1323" t="s">
        <v>9742</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9779</v>
      </c>
      <c r="C3886" s="1323" t="s">
        <v>7229</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9780</v>
      </c>
      <c r="C3887" s="1323" t="s">
        <v>9686</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9781</v>
      </c>
      <c r="C3888" s="1323" t="s">
        <v>9782</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9783</v>
      </c>
      <c r="C3889" s="1323" t="s">
        <v>9707</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9784</v>
      </c>
      <c r="C3890" s="1323" t="s">
        <v>9612</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9785</v>
      </c>
      <c r="C3891" s="1323" t="s">
        <v>9523</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9786</v>
      </c>
      <c r="C3892" s="1323" t="s">
        <v>9508</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9787</v>
      </c>
      <c r="C3893" s="1323" t="s">
        <v>9733</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9788</v>
      </c>
      <c r="C3894" s="1323" t="s">
        <v>9674</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9789</v>
      </c>
      <c r="C3895" s="1323" t="s">
        <v>9720</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9790</v>
      </c>
      <c r="C3896" s="1323" t="s">
        <v>9628</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9791</v>
      </c>
      <c r="C3897" s="1323" t="s">
        <v>9792</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9793</v>
      </c>
      <c r="C3898" s="1323" t="s">
        <v>9794</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9795</v>
      </c>
      <c r="C3899" s="1323" t="s">
        <v>9796</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9797</v>
      </c>
      <c r="C3900" s="1323" t="s">
        <v>9798</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9799</v>
      </c>
      <c r="C3901" s="1323" t="s">
        <v>9551</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9800</v>
      </c>
      <c r="C3902" s="1323" t="s">
        <v>9801</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9802</v>
      </c>
      <c r="C3903" s="1323" t="s">
        <v>9796</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9803</v>
      </c>
      <c r="C3904" s="1323" t="s">
        <v>9657</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9804</v>
      </c>
      <c r="C3905" s="1323" t="s">
        <v>9723</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9805</v>
      </c>
      <c r="C3906" s="1323" t="s">
        <v>9806</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9807</v>
      </c>
      <c r="C3907" s="1323" t="s">
        <v>7014</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9808</v>
      </c>
      <c r="C3908" s="1323" t="s">
        <v>9646</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9809</v>
      </c>
      <c r="C3909" s="1323" t="s">
        <v>9504</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9810</v>
      </c>
      <c r="C3910" s="1323" t="s">
        <v>9801</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9811</v>
      </c>
      <c r="C3911" s="1323" t="s">
        <v>9798</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9812</v>
      </c>
      <c r="C3912" s="1323" t="s">
        <v>9813</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9814</v>
      </c>
      <c r="C3913" s="1323" t="s">
        <v>9663</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9815</v>
      </c>
      <c r="C3914" s="1323" t="s">
        <v>9816</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9817</v>
      </c>
      <c r="C3915" s="1323" t="s">
        <v>6456</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9818</v>
      </c>
      <c r="C3916" s="1323" t="s">
        <v>9513</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9819</v>
      </c>
      <c r="C3917" s="1323" t="s">
        <v>9820</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9821</v>
      </c>
      <c r="C3918" s="1323" t="s">
        <v>9822</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9823</v>
      </c>
      <c r="C3919" s="1323" t="s">
        <v>9824</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9825</v>
      </c>
      <c r="C3920" s="1323" t="s">
        <v>9826</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9827</v>
      </c>
      <c r="C3921" s="1323" t="s">
        <v>9828</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9829</v>
      </c>
      <c r="C3922" s="1323" t="s">
        <v>9830</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9831</v>
      </c>
      <c r="C3923" s="1323" t="s">
        <v>9832</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9833</v>
      </c>
      <c r="C3924" s="1323" t="s">
        <v>9834</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9835</v>
      </c>
      <c r="C3925" s="1323" t="s">
        <v>9832</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9836</v>
      </c>
      <c r="C3926" s="1323" t="s">
        <v>9837</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9838</v>
      </c>
      <c r="C3927" s="1323" t="s">
        <v>9839</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9840</v>
      </c>
      <c r="C3928" s="1323" t="s">
        <v>9841</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9842</v>
      </c>
      <c r="C3929" s="1323" t="s">
        <v>9843</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9844</v>
      </c>
      <c r="C3930" s="1323" t="s">
        <v>9845</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9846</v>
      </c>
      <c r="C3931" s="1323" t="s">
        <v>9847</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9848</v>
      </c>
      <c r="C3932" s="1323" t="s">
        <v>9849</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9850</v>
      </c>
      <c r="C3933" s="1323" t="s">
        <v>9851</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9852</v>
      </c>
      <c r="C3934" s="1323" t="s">
        <v>9796</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9853</v>
      </c>
      <c r="C3935" s="1323" t="s">
        <v>9854</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9855</v>
      </c>
      <c r="C3936" s="1323" t="s">
        <v>9856</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9857</v>
      </c>
      <c r="C3937" s="1323" t="s">
        <v>9858</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9859</v>
      </c>
      <c r="C3938" s="1323" t="s">
        <v>7014</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9860</v>
      </c>
      <c r="C3939" s="1323" t="s">
        <v>9794</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9861</v>
      </c>
      <c r="C3940" s="1323" t="s">
        <v>9862</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9863</v>
      </c>
      <c r="C3941" s="1323" t="s">
        <v>9864</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9865</v>
      </c>
      <c r="C3942" s="1323" t="s">
        <v>9866</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9867</v>
      </c>
      <c r="C3943" s="1323" t="s">
        <v>9868</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9869</v>
      </c>
      <c r="C3944" s="1323" t="s">
        <v>9870</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9871</v>
      </c>
      <c r="C3945" s="1323" t="s">
        <v>9872</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9873</v>
      </c>
      <c r="C3946" s="1323" t="s">
        <v>9874</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9875</v>
      </c>
      <c r="C3947" s="1323" t="s">
        <v>9876</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9877</v>
      </c>
      <c r="C3948" s="1323" t="s">
        <v>9878</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9879</v>
      </c>
      <c r="C3949" s="1323" t="s">
        <v>9880</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9881</v>
      </c>
      <c r="C3950" s="1323" t="s">
        <v>9882</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9883</v>
      </c>
      <c r="C3951" s="1323" t="s">
        <v>9884</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9885</v>
      </c>
      <c r="C3952" s="1323" t="s">
        <v>9878</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9886</v>
      </c>
      <c r="C3953" s="1323" t="s">
        <v>9887</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9888</v>
      </c>
      <c r="C3954" s="1323" t="s">
        <v>9889</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9890</v>
      </c>
      <c r="C3955" s="1323" t="s">
        <v>9891</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9892</v>
      </c>
      <c r="C3956" s="1323" t="s">
        <v>9893</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9894</v>
      </c>
      <c r="C3957" s="1323" t="s">
        <v>9895</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9896</v>
      </c>
      <c r="C3958" s="1323" t="s">
        <v>9897</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9898</v>
      </c>
      <c r="C3959" s="1323" t="s">
        <v>9899</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9900</v>
      </c>
      <c r="C3960" s="1323" t="s">
        <v>9901</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9902</v>
      </c>
      <c r="C3961" s="1323" t="s">
        <v>9903</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9904</v>
      </c>
      <c r="C3962" s="1323" t="s">
        <v>9905</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9906</v>
      </c>
      <c r="C3963" s="1323" t="s">
        <v>9907</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9908</v>
      </c>
      <c r="C3964" s="1323" t="s">
        <v>9909</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9910</v>
      </c>
      <c r="C3965" s="1323" t="s">
        <v>9911</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9912</v>
      </c>
      <c r="C3966" s="1323" t="s">
        <v>9880</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9913</v>
      </c>
      <c r="C3967" s="1323" t="s">
        <v>9914</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9915</v>
      </c>
      <c r="C3968" s="1323" t="s">
        <v>9916</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9917</v>
      </c>
      <c r="C3969" s="1323" t="s">
        <v>9864</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9918</v>
      </c>
      <c r="C3970" s="1323" t="s">
        <v>9919</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9920</v>
      </c>
      <c r="C3971" s="1323" t="s">
        <v>9921</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9922</v>
      </c>
      <c r="C3972" s="1323" t="s">
        <v>9893</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9923</v>
      </c>
      <c r="C3973" s="1323" t="s">
        <v>9924</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9925</v>
      </c>
      <c r="C3974" s="1323" t="s">
        <v>9926</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9927</v>
      </c>
      <c r="C3975" s="1323" t="s">
        <v>9928</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9929</v>
      </c>
      <c r="C3976" s="1323" t="s">
        <v>9930</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9931</v>
      </c>
      <c r="C3977" s="1323" t="s">
        <v>9889</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9932</v>
      </c>
      <c r="C3978" s="1323" t="s">
        <v>9933</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9934</v>
      </c>
      <c r="C3979" s="1323" t="s">
        <v>9935</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9936</v>
      </c>
      <c r="C3980" s="1323" t="s">
        <v>9937</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9938</v>
      </c>
      <c r="C3981" s="1323" t="s">
        <v>9939</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9940</v>
      </c>
      <c r="C3982" s="1323" t="s">
        <v>9919</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9941</v>
      </c>
      <c r="C3983" s="1323" t="s">
        <v>9553</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9942</v>
      </c>
      <c r="C3984" s="1323" t="s">
        <v>9668</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9943</v>
      </c>
      <c r="C3985" s="1323" t="s">
        <v>6870</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9944</v>
      </c>
      <c r="C3986" s="1323" t="s">
        <v>9518</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9945</v>
      </c>
      <c r="C3987" s="1323" t="s">
        <v>9551</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9946</v>
      </c>
      <c r="C3988" s="1323" t="s">
        <v>9849</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9947</v>
      </c>
      <c r="C3989" s="1323" t="s">
        <v>9933</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9948</v>
      </c>
      <c r="C3990" s="1323" t="s">
        <v>9949</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9950</v>
      </c>
      <c r="C3991" s="1323" t="s">
        <v>9933</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9951</v>
      </c>
      <c r="C3992" s="1323" t="s">
        <v>9952</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9953</v>
      </c>
      <c r="C3993" s="1323" t="s">
        <v>9498</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9954</v>
      </c>
      <c r="C3994" s="1323" t="s">
        <v>9678</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9955</v>
      </c>
      <c r="C3995" s="1323" t="s">
        <v>9468</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9956</v>
      </c>
      <c r="C3996" s="1323" t="s">
        <v>7007</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9957</v>
      </c>
      <c r="C3997" s="1323" t="s">
        <v>6926</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9958</v>
      </c>
      <c r="C3998" s="1323" t="s">
        <v>7229</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9959</v>
      </c>
      <c r="C3999" s="1323" t="s">
        <v>9762</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9960</v>
      </c>
      <c r="C4000" s="1323" t="s">
        <v>9961</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9962</v>
      </c>
      <c r="C4001" s="1323" t="s">
        <v>7229</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9963</v>
      </c>
      <c r="C4002" s="1323" t="s">
        <v>9964</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9965</v>
      </c>
      <c r="C4003" s="1323" t="s">
        <v>9764</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9966</v>
      </c>
      <c r="C4004" s="1323" t="s">
        <v>9967</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9968</v>
      </c>
      <c r="C4005" s="1323" t="s">
        <v>9969</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9970</v>
      </c>
      <c r="C4006" s="1323" t="s">
        <v>9742</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9971</v>
      </c>
      <c r="C4007" s="1323" t="s">
        <v>9690</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9972</v>
      </c>
      <c r="C4008" s="1323" t="s">
        <v>9973</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9974</v>
      </c>
      <c r="C4009" s="1323" t="s">
        <v>9975</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9976</v>
      </c>
      <c r="C4010" s="1323" t="s">
        <v>9977</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9978</v>
      </c>
      <c r="C4011" s="1323" t="s">
        <v>9979</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9980</v>
      </c>
      <c r="C4012" s="1323" t="s">
        <v>9981</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9982</v>
      </c>
      <c r="C4013" s="1323" t="s">
        <v>7381</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9983</v>
      </c>
      <c r="C4014" s="1323" t="s">
        <v>9984</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9985</v>
      </c>
      <c r="C4015" s="1323" t="s">
        <v>9986</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9987</v>
      </c>
      <c r="C4016" s="1323" t="s">
        <v>9986</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9988</v>
      </c>
      <c r="C4017" s="1323" t="s">
        <v>9782</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9989</v>
      </c>
      <c r="C4018" s="1323" t="s">
        <v>9762</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9990</v>
      </c>
      <c r="C4019" s="1323" t="s">
        <v>9991</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9992</v>
      </c>
      <c r="C4020" s="1323" t="s">
        <v>9993</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9994</v>
      </c>
      <c r="C4021" s="1323" t="s">
        <v>9995</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9996</v>
      </c>
      <c r="C4022" s="1323" t="s">
        <v>9997</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9998</v>
      </c>
      <c r="C4023" s="1323" t="s">
        <v>9999</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10000</v>
      </c>
      <c r="C4024" s="1323" t="s">
        <v>9751</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10001</v>
      </c>
      <c r="C4025" s="1323" t="s">
        <v>9634</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10002</v>
      </c>
      <c r="C4026" s="1323" t="s">
        <v>9684</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10003</v>
      </c>
      <c r="C4027" s="1323" t="s">
        <v>10004</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10005</v>
      </c>
      <c r="C4028" s="1323" t="s">
        <v>10006</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10007</v>
      </c>
      <c r="C4029" s="1323" t="s">
        <v>7007</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10008</v>
      </c>
      <c r="C4030" s="1323" t="s">
        <v>9518</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10009</v>
      </c>
      <c r="C4031" s="1323" t="s">
        <v>9742</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10010</v>
      </c>
      <c r="C4032" s="1323" t="s">
        <v>10011</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10012</v>
      </c>
      <c r="C4033" s="1323" t="s">
        <v>10013</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10014</v>
      </c>
      <c r="C4034" s="1323" t="s">
        <v>9389</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10015</v>
      </c>
      <c r="C4035" s="1323" t="s">
        <v>9740</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10016</v>
      </c>
      <c r="C4036" s="1323" t="s">
        <v>10017</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10018</v>
      </c>
      <c r="C4037" s="1323" t="s">
        <v>9760</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10019</v>
      </c>
      <c r="C4038" s="1323" t="s">
        <v>10020</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10021</v>
      </c>
      <c r="C4039" s="1323" t="s">
        <v>10022</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10023</v>
      </c>
      <c r="C4040" s="1323" t="s">
        <v>9757</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10024</v>
      </c>
      <c r="C4041" s="1323" t="s">
        <v>9668</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10025</v>
      </c>
      <c r="C4042" s="1323" t="s">
        <v>7225</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10026</v>
      </c>
      <c r="C4043" s="1323" t="s">
        <v>10027</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10028</v>
      </c>
      <c r="C4044" s="1323" t="s">
        <v>10029</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10030</v>
      </c>
      <c r="C4045" s="1323" t="s">
        <v>10031</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10032</v>
      </c>
      <c r="C4046" s="1323" t="s">
        <v>9623</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10033</v>
      </c>
      <c r="C4047" s="1323" t="s">
        <v>10034</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10035</v>
      </c>
      <c r="C4048" s="1323" t="s">
        <v>10036</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10037</v>
      </c>
      <c r="C4049" s="1323" t="s">
        <v>10038</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10039</v>
      </c>
      <c r="C4050" s="1323" t="s">
        <v>9676</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10040</v>
      </c>
      <c r="C4051" s="1323" t="s">
        <v>9672</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10041</v>
      </c>
      <c r="C4052" s="1323" t="s">
        <v>10042</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10043</v>
      </c>
      <c r="C4053" s="1323" t="s">
        <v>9606</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10044</v>
      </c>
      <c r="C4054" s="1323" t="s">
        <v>9866</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10045</v>
      </c>
      <c r="C4055" s="1323" t="s">
        <v>10046</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10047</v>
      </c>
      <c r="C4056" s="1323" t="s">
        <v>10048</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10049</v>
      </c>
      <c r="C4057" s="1323" t="s">
        <v>10050</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10051</v>
      </c>
      <c r="C4058" s="1323" t="s">
        <v>10052</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10053</v>
      </c>
      <c r="C4059" s="1323" t="s">
        <v>10054</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10055</v>
      </c>
      <c r="C4060" s="1323" t="s">
        <v>10056</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10057</v>
      </c>
      <c r="C4061" s="1323" t="s">
        <v>10058</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10059</v>
      </c>
      <c r="C4062" s="1323" t="s">
        <v>10060</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10061</v>
      </c>
      <c r="C4063" s="1323" t="s">
        <v>10062</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10063</v>
      </c>
      <c r="C4064" s="1323" t="s">
        <v>10064</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10065</v>
      </c>
      <c r="C4065" s="1323" t="s">
        <v>10066</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10067</v>
      </c>
      <c r="C4066" s="1323" t="s">
        <v>10068</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10069</v>
      </c>
      <c r="C4067" s="1323" t="s">
        <v>10070</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10071</v>
      </c>
      <c r="C4068" s="1323" t="s">
        <v>10072</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10073</v>
      </c>
      <c r="C4069" s="1323" t="s">
        <v>10074</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10075</v>
      </c>
      <c r="C4070" s="1323" t="s">
        <v>10076</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10077</v>
      </c>
      <c r="C4071" s="1323" t="s">
        <v>10078</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10079</v>
      </c>
      <c r="C4072" s="1323" t="s">
        <v>10080</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10081</v>
      </c>
      <c r="C4073" s="1323" t="s">
        <v>10082</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10083</v>
      </c>
      <c r="C4074" s="1323" t="s">
        <v>10084</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10085</v>
      </c>
      <c r="C4075" s="1323" t="s">
        <v>10086</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10087</v>
      </c>
      <c r="C4076" s="1323" t="s">
        <v>10088</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10089</v>
      </c>
      <c r="C4077" s="1323" t="s">
        <v>10090</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10091</v>
      </c>
      <c r="C4078" s="1323" t="s">
        <v>10092</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10093</v>
      </c>
      <c r="C4079" s="1323" t="s">
        <v>10094</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10095</v>
      </c>
      <c r="C4080" s="1323" t="s">
        <v>10096</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10097</v>
      </c>
      <c r="C4081" s="1323" t="s">
        <v>10098</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10099</v>
      </c>
      <c r="C4082" s="1323" t="s">
        <v>10100</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10101</v>
      </c>
      <c r="C4083" s="1323" t="s">
        <v>10102</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10103</v>
      </c>
      <c r="C4084" s="1323" t="s">
        <v>10104</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10105</v>
      </c>
      <c r="C4085" s="1323" t="s">
        <v>10106</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10107</v>
      </c>
      <c r="C4086" s="1323" t="s">
        <v>10108</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10109</v>
      </c>
      <c r="C4087" s="1323" t="s">
        <v>10110</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10111</v>
      </c>
      <c r="C4088" s="1323" t="s">
        <v>10110</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10112</v>
      </c>
      <c r="C4089" s="1323" t="s">
        <v>10108</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10113</v>
      </c>
      <c r="C4090" s="1323" t="s">
        <v>10114</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10115</v>
      </c>
      <c r="C4091" s="1323" t="s">
        <v>10116</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10117</v>
      </c>
      <c r="C4092" s="1323" t="s">
        <v>10118</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10119</v>
      </c>
      <c r="C4093" s="1323" t="s">
        <v>10120</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10121</v>
      </c>
      <c r="C4094" s="1323" t="s">
        <v>10122</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10123</v>
      </c>
      <c r="C4095" s="1323" t="s">
        <v>10120</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10124</v>
      </c>
      <c r="C4096" s="1323" t="s">
        <v>10116</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10125</v>
      </c>
      <c r="C4097" s="1323" t="s">
        <v>10118</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10126</v>
      </c>
      <c r="C4098" s="1323" t="s">
        <v>10127</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10128</v>
      </c>
      <c r="C4099" s="1323" t="s">
        <v>10129</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10130</v>
      </c>
      <c r="C4100" s="1323" t="s">
        <v>10120</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10131</v>
      </c>
      <c r="C4101" s="1323" t="s">
        <v>10132</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10133</v>
      </c>
      <c r="C4102" s="1323" t="s">
        <v>10134</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10135</v>
      </c>
      <c r="C4103" s="1323" t="s">
        <v>10136</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10137</v>
      </c>
      <c r="C4104" s="1323" t="s">
        <v>10138</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10139</v>
      </c>
      <c r="C4105" s="1323" t="s">
        <v>10140</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10141</v>
      </c>
      <c r="C4106" s="1323" t="s">
        <v>10127</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10142</v>
      </c>
      <c r="C4107" s="1323" t="s">
        <v>10143</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10144</v>
      </c>
      <c r="C4108" s="1323" t="s">
        <v>10136</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10145</v>
      </c>
      <c r="C4109" s="1323" t="s">
        <v>10146</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10147</v>
      </c>
      <c r="C4110" s="1323" t="s">
        <v>10148</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10149</v>
      </c>
      <c r="C4111" s="1323" t="s">
        <v>10140</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10150</v>
      </c>
      <c r="C4112" s="1323" t="s">
        <v>10146</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10151</v>
      </c>
      <c r="C4113" s="1323" t="s">
        <v>10152</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10153</v>
      </c>
      <c r="C4114" s="1323" t="s">
        <v>10154</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10155</v>
      </c>
      <c r="C4115" s="1323" t="s">
        <v>10154</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10156</v>
      </c>
      <c r="C4116" s="1323" t="s">
        <v>10157</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10158</v>
      </c>
      <c r="C4117" s="1323" t="s">
        <v>10159</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10160</v>
      </c>
      <c r="C4118" s="1323" t="s">
        <v>10152</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10161</v>
      </c>
      <c r="C4119" s="1323" t="s">
        <v>10162</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10163</v>
      </c>
      <c r="C4120" s="1323" t="s">
        <v>10164</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10165</v>
      </c>
      <c r="C4121" s="1323" t="s">
        <v>10154</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10166</v>
      </c>
      <c r="C4122" s="1323" t="s">
        <v>10167</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10168</v>
      </c>
      <c r="C4123" s="1323" t="s">
        <v>10169</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10170</v>
      </c>
      <c r="C4124" s="1323" t="s">
        <v>10159</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10171</v>
      </c>
      <c r="C4125" s="1323" t="s">
        <v>10172</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10173</v>
      </c>
      <c r="C4126" s="1323" t="s">
        <v>10159</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10174</v>
      </c>
      <c r="C4127" s="1323" t="s">
        <v>10175</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10176</v>
      </c>
      <c r="C4128" s="1323" t="s">
        <v>10177</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10178</v>
      </c>
      <c r="C4129" s="1323" t="s">
        <v>10179</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10180</v>
      </c>
      <c r="C4130" s="1323" t="s">
        <v>10181</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10182</v>
      </c>
      <c r="C4131" s="1323" t="s">
        <v>10183</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10184</v>
      </c>
      <c r="C4132" s="1323" t="s">
        <v>10181</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10185</v>
      </c>
      <c r="C4133" s="1323" t="s">
        <v>10183</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10186</v>
      </c>
      <c r="C4134" s="1323" t="s">
        <v>10187</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10188</v>
      </c>
      <c r="C4135" s="1323" t="s">
        <v>10189</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10190</v>
      </c>
      <c r="C4136" s="1323" t="s">
        <v>10191</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10192</v>
      </c>
      <c r="C4137" s="1323" t="s">
        <v>10193</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10194</v>
      </c>
      <c r="C4138" s="1323" t="s">
        <v>10195</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10196</v>
      </c>
      <c r="C4139" s="1323" t="s">
        <v>10197</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10198</v>
      </c>
      <c r="C4140" s="1323" t="s">
        <v>10199</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10200</v>
      </c>
      <c r="C4141" s="1323" t="s">
        <v>10201</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10202</v>
      </c>
      <c r="C4142" s="1323" t="s">
        <v>10203</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10204</v>
      </c>
      <c r="C4143" s="1323" t="s">
        <v>10193</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10205</v>
      </c>
      <c r="C4144" s="1323" t="s">
        <v>10193</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10206</v>
      </c>
      <c r="C4145" s="1323" t="s">
        <v>10207</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10208</v>
      </c>
      <c r="C4146" s="1323" t="s">
        <v>10209</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10210</v>
      </c>
      <c r="C4147" s="1323" t="s">
        <v>10211</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10212</v>
      </c>
      <c r="C4148" s="1323" t="s">
        <v>10213</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10214</v>
      </c>
      <c r="C4149" s="1323" t="s">
        <v>10215</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10216</v>
      </c>
      <c r="C4150" s="1323" t="s">
        <v>10217</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10218</v>
      </c>
      <c r="C4151" s="1323" t="s">
        <v>10193</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10219</v>
      </c>
      <c r="C4152" s="1323" t="s">
        <v>10220</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10221</v>
      </c>
      <c r="C4153" s="1323" t="s">
        <v>10222</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10223</v>
      </c>
      <c r="C4154" s="1323" t="s">
        <v>10222</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10224</v>
      </c>
      <c r="C4155" s="1323" t="s">
        <v>10225</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10226</v>
      </c>
      <c r="C4156" s="1323" t="s">
        <v>10227</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10228</v>
      </c>
      <c r="C4157" s="1323" t="s">
        <v>10229</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10230</v>
      </c>
      <c r="C4158" s="1323" t="s">
        <v>10231</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10232</v>
      </c>
      <c r="C4159" s="1323" t="s">
        <v>10211</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10233</v>
      </c>
      <c r="C4160" s="1323" t="s">
        <v>10189</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10234</v>
      </c>
      <c r="C4161" s="1323" t="s">
        <v>10235</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10236</v>
      </c>
      <c r="C4162" s="1323" t="s">
        <v>10237</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10238</v>
      </c>
      <c r="C4163" s="1323" t="s">
        <v>10154</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10239</v>
      </c>
      <c r="C4164" s="1323" t="s">
        <v>10152</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10240</v>
      </c>
      <c r="C4165" s="1323" t="s">
        <v>10241</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10242</v>
      </c>
      <c r="C4166" s="1323" t="s">
        <v>10187</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10243</v>
      </c>
      <c r="C4167" s="1323" t="s">
        <v>10169</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10244</v>
      </c>
      <c r="C4168" s="1323" t="s">
        <v>10157</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10245</v>
      </c>
      <c r="C4169" s="1323" t="s">
        <v>10211</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10246</v>
      </c>
      <c r="C4170" s="1323" t="s">
        <v>10197</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10247</v>
      </c>
      <c r="C4171" s="1323" t="s">
        <v>10199</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10248</v>
      </c>
      <c r="C4172" s="1323" t="s">
        <v>10193</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10249</v>
      </c>
      <c r="C4173" s="1323" t="s">
        <v>10250</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10251</v>
      </c>
      <c r="C4174" s="1323" t="s">
        <v>10252</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10253</v>
      </c>
      <c r="C4175" s="1323" t="s">
        <v>10254</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10255</v>
      </c>
      <c r="C4176" s="1323" t="s">
        <v>10256</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10257</v>
      </c>
      <c r="C4177" s="1323" t="s">
        <v>10256</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10258</v>
      </c>
      <c r="C4178" s="1323" t="s">
        <v>10259</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10260</v>
      </c>
      <c r="C4179" s="1323" t="s">
        <v>10261</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10262</v>
      </c>
      <c r="C4180" s="1323" t="s">
        <v>10256</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10263</v>
      </c>
      <c r="C4181" s="1323" t="s">
        <v>10254</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10264</v>
      </c>
      <c r="C4182" s="1323" t="s">
        <v>10265</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10266</v>
      </c>
      <c r="C4183" s="1323" t="s">
        <v>10267</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10268</v>
      </c>
      <c r="C4184" s="1323" t="s">
        <v>10269</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10270</v>
      </c>
      <c r="C4185" s="1323" t="s">
        <v>10271</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10272</v>
      </c>
      <c r="C4186" s="1323" t="s">
        <v>10273</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10274</v>
      </c>
      <c r="C4187" s="1323" t="s">
        <v>10275</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10276</v>
      </c>
      <c r="C4188" s="1323" t="s">
        <v>10277</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10278</v>
      </c>
      <c r="C4189" s="1323" t="s">
        <v>10279</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10280</v>
      </c>
      <c r="C4190" s="1323" t="s">
        <v>10281</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10282</v>
      </c>
      <c r="C4191" s="1323" t="s">
        <v>10283</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10284</v>
      </c>
      <c r="C4192" s="1323" t="s">
        <v>10277</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10285</v>
      </c>
      <c r="C4193" s="1323" t="s">
        <v>10261</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10286</v>
      </c>
      <c r="C4194" s="1323" t="s">
        <v>10287</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10288</v>
      </c>
      <c r="C4195" s="1323" t="s">
        <v>10289</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10290</v>
      </c>
      <c r="C4196" s="1323" t="s">
        <v>10291</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10292</v>
      </c>
      <c r="C4197" s="1323" t="s">
        <v>10259</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10293</v>
      </c>
      <c r="C4198" s="1323" t="s">
        <v>10294</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10295</v>
      </c>
      <c r="C4199" s="1323" t="s">
        <v>10296</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10297</v>
      </c>
      <c r="C4200" s="1323" t="s">
        <v>10298</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10299</v>
      </c>
      <c r="C4201" s="1323" t="s">
        <v>10256</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10300</v>
      </c>
      <c r="C4202" s="1323" t="s">
        <v>10291</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10301</v>
      </c>
      <c r="C4203" s="1323" t="s">
        <v>10302</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10303</v>
      </c>
      <c r="C4204" s="1323" t="s">
        <v>10304</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10305</v>
      </c>
      <c r="C4205" s="1323" t="s">
        <v>10306</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10307</v>
      </c>
      <c r="C4206" s="1323" t="s">
        <v>10308</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10309</v>
      </c>
      <c r="C4207" s="1323" t="s">
        <v>10310</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10311</v>
      </c>
      <c r="C4208" s="1323" t="s">
        <v>10312</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10313</v>
      </c>
      <c r="C4209" s="1323" t="s">
        <v>10314</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10315</v>
      </c>
      <c r="C4210" s="1323" t="s">
        <v>10316</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10317</v>
      </c>
      <c r="C4211" s="1323" t="s">
        <v>10318</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10319</v>
      </c>
      <c r="C4212" s="1323" t="s">
        <v>10320</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10321</v>
      </c>
      <c r="C4213" s="1323" t="s">
        <v>10322</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10323</v>
      </c>
      <c r="C4214" s="1323" t="s">
        <v>10324</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10325</v>
      </c>
      <c r="C4215" s="1323" t="s">
        <v>10326</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10327</v>
      </c>
      <c r="C4216" s="1323" t="s">
        <v>10328</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10329</v>
      </c>
      <c r="C4217" s="1323" t="s">
        <v>10330</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10331</v>
      </c>
      <c r="C4218" s="1323" t="s">
        <v>10332</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10333</v>
      </c>
      <c r="C4219" s="1323" t="s">
        <v>10334</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10335</v>
      </c>
      <c r="C4220" s="1323" t="s">
        <v>10336</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10337</v>
      </c>
      <c r="C4221" s="1323" t="s">
        <v>10338</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10339</v>
      </c>
      <c r="C4222" s="1323" t="s">
        <v>10340</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10341</v>
      </c>
      <c r="C4223" s="1323" t="s">
        <v>10342</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10343</v>
      </c>
      <c r="C4224" s="1323" t="s">
        <v>10344</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10345</v>
      </c>
      <c r="C4225" s="1323" t="s">
        <v>10346</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10347</v>
      </c>
      <c r="C4226" s="1323" t="s">
        <v>10348</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10349</v>
      </c>
      <c r="C4227" s="1323" t="s">
        <v>10350</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10351</v>
      </c>
      <c r="C4228" s="1323" t="s">
        <v>10352</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10353</v>
      </c>
      <c r="C4229" s="1323" t="s">
        <v>10354</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10355</v>
      </c>
      <c r="C4230" s="1323" t="s">
        <v>10356</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10357</v>
      </c>
      <c r="C4231" s="1323" t="s">
        <v>10356</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10358</v>
      </c>
      <c r="C4232" s="1323" t="s">
        <v>10356</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10359</v>
      </c>
      <c r="C4233" s="1323" t="s">
        <v>10352</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10360</v>
      </c>
      <c r="C4234" s="1323" t="s">
        <v>10361</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10362</v>
      </c>
      <c r="C4235" s="1323" t="s">
        <v>10361</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10363</v>
      </c>
      <c r="C4236" s="1323" t="s">
        <v>10350</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10364</v>
      </c>
      <c r="C4237" s="1323" t="s">
        <v>10365</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10366</v>
      </c>
      <c r="C4238" s="1323" t="s">
        <v>10354</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10367</v>
      </c>
      <c r="C4239" s="1323" t="s">
        <v>10356</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10368</v>
      </c>
      <c r="C4240" s="1323" t="s">
        <v>10369</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10370</v>
      </c>
      <c r="C4241" s="1323" t="s">
        <v>10371</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10372</v>
      </c>
      <c r="C4242" s="1323" t="s">
        <v>10373</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10374</v>
      </c>
      <c r="C4243" s="1323" t="s">
        <v>10375</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10376</v>
      </c>
      <c r="C4244" s="1323" t="s">
        <v>10377</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10378</v>
      </c>
      <c r="C4245" s="1323" t="s">
        <v>10379</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10380</v>
      </c>
      <c r="C4246" s="1323" t="s">
        <v>10379</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10381</v>
      </c>
      <c r="C4247" s="1323" t="s">
        <v>10377</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10382</v>
      </c>
      <c r="C4248" s="1323" t="s">
        <v>10348</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10383</v>
      </c>
      <c r="C4249" s="1323" t="s">
        <v>10384</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10385</v>
      </c>
      <c r="C4250" s="1323" t="s">
        <v>10373</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10386</v>
      </c>
      <c r="C4251" s="1323" t="s">
        <v>10344</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10387</v>
      </c>
      <c r="C4252" s="1323" t="s">
        <v>10388</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10389</v>
      </c>
      <c r="C4253" s="1323" t="s">
        <v>10390</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10391</v>
      </c>
      <c r="C4254" s="1323" t="s">
        <v>10392</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10393</v>
      </c>
      <c r="C4255" s="1323" t="s">
        <v>10394</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10395</v>
      </c>
      <c r="C4256" s="1323" t="s">
        <v>10344</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10396</v>
      </c>
      <c r="C4257" s="1323" t="s">
        <v>10397</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10398</v>
      </c>
      <c r="C4258" s="1323" t="s">
        <v>10375</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10399</v>
      </c>
      <c r="C4259" s="1323" t="s">
        <v>10400</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10401</v>
      </c>
      <c r="C4260" s="1323" t="s">
        <v>10402</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10403</v>
      </c>
      <c r="C4261" s="1323" t="s">
        <v>10404</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10405</v>
      </c>
      <c r="C4262" s="1323" t="s">
        <v>10404</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10406</v>
      </c>
      <c r="C4263" s="1323" t="s">
        <v>10377</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10407</v>
      </c>
      <c r="C4264" s="1323" t="s">
        <v>10408</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10409</v>
      </c>
      <c r="C4265" s="1323" t="s">
        <v>10410</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10411</v>
      </c>
      <c r="C4266" s="1323" t="s">
        <v>10412</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10413</v>
      </c>
      <c r="C4267" s="1323" t="s">
        <v>10373</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10414</v>
      </c>
      <c r="C4268" s="1323" t="s">
        <v>10379</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10415</v>
      </c>
      <c r="C4269" s="1323" t="s">
        <v>10346</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10416</v>
      </c>
      <c r="C4270" s="1323" t="s">
        <v>10417</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10418</v>
      </c>
      <c r="C4271" s="1323" t="s">
        <v>10419</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10420</v>
      </c>
      <c r="C4272" s="1323" t="s">
        <v>10369</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10421</v>
      </c>
      <c r="C4273" s="1323" t="s">
        <v>10422</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10423</v>
      </c>
      <c r="C4274" s="1323" t="s">
        <v>10342</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10424</v>
      </c>
      <c r="C4275" s="1323" t="s">
        <v>10388</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10425</v>
      </c>
      <c r="C4276" s="1323" t="s">
        <v>10426</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10427</v>
      </c>
      <c r="C4277" s="1323" t="s">
        <v>10428</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10429</v>
      </c>
      <c r="C4278" s="1323" t="s">
        <v>10361</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10430</v>
      </c>
      <c r="C4279" s="1323" t="s">
        <v>10431</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10432</v>
      </c>
      <c r="C4280" s="1323" t="s">
        <v>10433</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10434</v>
      </c>
      <c r="C4281" s="1323" t="s">
        <v>10435</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10436</v>
      </c>
      <c r="C4282" s="1323" t="s">
        <v>10437</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10438</v>
      </c>
      <c r="C4283" s="1323" t="s">
        <v>10439</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10440</v>
      </c>
      <c r="C4284" s="1323" t="s">
        <v>10441</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10442</v>
      </c>
      <c r="C4285" s="1323" t="s">
        <v>10443</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10444</v>
      </c>
      <c r="C4286" s="1323" t="s">
        <v>10445</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10446</v>
      </c>
      <c r="C4287" s="1323" t="s">
        <v>10447</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10448</v>
      </c>
      <c r="C4288" s="1323" t="s">
        <v>10447</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10449</v>
      </c>
      <c r="C4289" s="1323" t="s">
        <v>10450</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10451</v>
      </c>
      <c r="C4290" s="1323" t="s">
        <v>10452</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10453</v>
      </c>
      <c r="C4291" s="1323" t="s">
        <v>10452</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10454</v>
      </c>
      <c r="C4292" s="1323" t="s">
        <v>10455</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10456</v>
      </c>
      <c r="C4293" s="1323" t="s">
        <v>10457</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10458</v>
      </c>
      <c r="C4294" s="1323" t="s">
        <v>10455</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10459</v>
      </c>
      <c r="C4295" s="1323" t="s">
        <v>10457</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10460</v>
      </c>
      <c r="C4296" s="1323" t="s">
        <v>10443</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10461</v>
      </c>
      <c r="C4297" s="1323" t="s">
        <v>10462</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10463</v>
      </c>
      <c r="C4298" s="1323" t="s">
        <v>10464</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10465</v>
      </c>
      <c r="C4299" s="1323" t="s">
        <v>10466</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10467</v>
      </c>
      <c r="C4300" s="1323" t="s">
        <v>10466</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10468</v>
      </c>
      <c r="C4301" s="1323" t="s">
        <v>10469</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10470</v>
      </c>
      <c r="C4302" s="1323" t="s">
        <v>10471</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10472</v>
      </c>
      <c r="C4303" s="1323" t="s">
        <v>10473</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10474</v>
      </c>
      <c r="C4304" s="1323" t="s">
        <v>10475</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10476</v>
      </c>
      <c r="C4305" s="1323" t="s">
        <v>10477</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10478</v>
      </c>
      <c r="C4306" s="1323" t="s">
        <v>10479</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10480</v>
      </c>
      <c r="C4307" s="1323" t="s">
        <v>10481</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10482</v>
      </c>
      <c r="C4308" s="1323" t="s">
        <v>10483</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10484</v>
      </c>
      <c r="C4309" s="1323" t="s">
        <v>10485</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10486</v>
      </c>
      <c r="C4310" s="1323" t="s">
        <v>10487</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10488</v>
      </c>
      <c r="C4311" s="1323" t="s">
        <v>10487</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10489</v>
      </c>
      <c r="C4312" s="1323" t="s">
        <v>10490</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10491</v>
      </c>
      <c r="C4313" s="1323" t="s">
        <v>10492</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10493</v>
      </c>
      <c r="C4314" s="1323" t="s">
        <v>10483</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10494</v>
      </c>
      <c r="C4315" s="1323" t="s">
        <v>10481</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10495</v>
      </c>
      <c r="C4316" s="1323" t="s">
        <v>10479</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10496</v>
      </c>
      <c r="C4317" s="1323" t="s">
        <v>10497</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10498</v>
      </c>
      <c r="C4318" s="1323" t="s">
        <v>10499</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10500</v>
      </c>
      <c r="C4319" s="1323" t="s">
        <v>10501</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10502</v>
      </c>
      <c r="C4320" s="1323" t="s">
        <v>10503</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10504</v>
      </c>
      <c r="C4321" s="1323" t="s">
        <v>10505</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10506</v>
      </c>
      <c r="C4322" s="1323" t="s">
        <v>10507</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10508</v>
      </c>
      <c r="C4323" s="1323" t="s">
        <v>10505</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10509</v>
      </c>
      <c r="C4324" s="1323" t="s">
        <v>10507</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10510</v>
      </c>
      <c r="C4325" s="1323" t="s">
        <v>10511</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10512</v>
      </c>
      <c r="C4326" s="1323" t="s">
        <v>10513</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10514</v>
      </c>
      <c r="C4327" s="1323" t="s">
        <v>10511</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10515</v>
      </c>
      <c r="C4328" s="1323" t="s">
        <v>10503</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10516</v>
      </c>
      <c r="C4329" s="1323" t="s">
        <v>10517</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10518</v>
      </c>
      <c r="C4330" s="1323" t="s">
        <v>10519</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10520</v>
      </c>
      <c r="C4331" s="1323" t="s">
        <v>10521</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10522</v>
      </c>
      <c r="C4332" s="1323" t="s">
        <v>10523</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10524</v>
      </c>
      <c r="C4333" s="1323" t="s">
        <v>10525</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10526</v>
      </c>
      <c r="C4334" s="1323" t="s">
        <v>10525</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10527</v>
      </c>
      <c r="C4335" s="1323" t="s">
        <v>10499</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10528</v>
      </c>
      <c r="C4336" s="1323" t="s">
        <v>10529</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10530</v>
      </c>
      <c r="C4337" s="1323" t="s">
        <v>10519</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10531</v>
      </c>
      <c r="C4338" s="1323" t="s">
        <v>10521</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10532</v>
      </c>
      <c r="C4339" s="1323" t="s">
        <v>10533</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10534</v>
      </c>
      <c r="C4340" s="1323" t="s">
        <v>10535</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10536</v>
      </c>
      <c r="C4341" s="1323" t="s">
        <v>10537</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10538</v>
      </c>
      <c r="C4342" s="1323" t="s">
        <v>10539</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10540</v>
      </c>
      <c r="C4343" s="1323" t="s">
        <v>10541</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10542</v>
      </c>
      <c r="C4344" s="1323" t="s">
        <v>10543</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10544</v>
      </c>
      <c r="C4345" s="1323" t="s">
        <v>10545</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10546</v>
      </c>
      <c r="C4346" s="1323" t="s">
        <v>10543</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10547</v>
      </c>
      <c r="C4347" s="1323" t="s">
        <v>10548</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10549</v>
      </c>
      <c r="C4348" s="1323" t="s">
        <v>10550</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10551</v>
      </c>
      <c r="C4349" s="1323" t="s">
        <v>10552</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10553</v>
      </c>
      <c r="C4350" s="1323" t="s">
        <v>10543</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10554</v>
      </c>
      <c r="C4351" s="1323" t="s">
        <v>10535</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10555</v>
      </c>
      <c r="C4352" s="1323" t="s">
        <v>10521</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10556</v>
      </c>
      <c r="C4353" s="1323" t="s">
        <v>10535</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10557</v>
      </c>
      <c r="C4354" s="1323" t="s">
        <v>10519</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10558</v>
      </c>
      <c r="C4355" s="1323" t="s">
        <v>10539</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10559</v>
      </c>
      <c r="C4356" s="1323" t="s">
        <v>10539</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10560</v>
      </c>
      <c r="C4357" s="1323" t="s">
        <v>10561</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10562</v>
      </c>
      <c r="C4358" s="1323" t="s">
        <v>10563</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10564</v>
      </c>
      <c r="C4359" s="1323" t="s">
        <v>10565</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10566</v>
      </c>
      <c r="C4360" s="1323" t="s">
        <v>10567</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10568</v>
      </c>
      <c r="C4361" s="1323" t="s">
        <v>10569</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10570</v>
      </c>
      <c r="C4362" s="1323" t="s">
        <v>10571</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10572</v>
      </c>
      <c r="C4363" s="1323" t="s">
        <v>10573</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10574</v>
      </c>
      <c r="C4364" s="1323" t="s">
        <v>10575</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10576</v>
      </c>
      <c r="C4365" s="1323" t="s">
        <v>10571</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10577</v>
      </c>
      <c r="C4366" s="1323" t="s">
        <v>10575</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10578</v>
      </c>
      <c r="C4367" s="1323" t="s">
        <v>10579</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10580</v>
      </c>
      <c r="C4368" s="1323" t="s">
        <v>10581</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10582</v>
      </c>
      <c r="C4369" s="1323" t="s">
        <v>10583</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10584</v>
      </c>
      <c r="C4370" s="1323" t="s">
        <v>10585</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10586</v>
      </c>
      <c r="C4371" s="1323" t="s">
        <v>10575</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10587</v>
      </c>
      <c r="C4372" s="1323" t="s">
        <v>10581</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10588</v>
      </c>
      <c r="C4373" s="1323" t="s">
        <v>10589</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10590</v>
      </c>
      <c r="C4374" s="1323" t="s">
        <v>10591</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10592</v>
      </c>
      <c r="C4375" s="1323" t="s">
        <v>10552</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10593</v>
      </c>
      <c r="C4376" s="1323" t="s">
        <v>10567</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10594</v>
      </c>
      <c r="C4377" s="1323" t="s">
        <v>10535</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10595</v>
      </c>
      <c r="C4378" s="1323" t="s">
        <v>10596</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10597</v>
      </c>
      <c r="C4379" s="1323" t="s">
        <v>10598</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10599</v>
      </c>
      <c r="C4380" s="1323" t="s">
        <v>10537</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10600</v>
      </c>
      <c r="C4381" s="1323" t="s">
        <v>10507</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10601</v>
      </c>
      <c r="C4382" s="1323" t="s">
        <v>10602</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10603</v>
      </c>
      <c r="C4383" s="1323" t="s">
        <v>10507</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10604</v>
      </c>
      <c r="C4384" s="1323" t="s">
        <v>10539</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10605</v>
      </c>
      <c r="C4385" s="1323" t="s">
        <v>10606</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10607</v>
      </c>
      <c r="C4386" s="1323" t="s">
        <v>10608</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10609</v>
      </c>
      <c r="C4387" s="1323" t="s">
        <v>10529</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10610</v>
      </c>
      <c r="C4388" s="1323" t="s">
        <v>10499</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10611</v>
      </c>
      <c r="C4389" s="1323" t="s">
        <v>10529</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10612</v>
      </c>
      <c r="C4390" s="1323" t="s">
        <v>10613</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10614</v>
      </c>
      <c r="C4391" s="1323" t="s">
        <v>10615</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10616</v>
      </c>
      <c r="C4392" s="1323" t="s">
        <v>10617</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10618</v>
      </c>
      <c r="C4393" s="1323" t="s">
        <v>10619</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10620</v>
      </c>
      <c r="C4394" s="1323" t="s">
        <v>10621</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10622</v>
      </c>
      <c r="C4395" s="1323" t="s">
        <v>10575</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10623</v>
      </c>
      <c r="C4396" s="1323" t="s">
        <v>10624</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10625</v>
      </c>
      <c r="C4397" s="1323" t="s">
        <v>10626</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10627</v>
      </c>
      <c r="C4398" s="1323" t="s">
        <v>10519</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10628</v>
      </c>
      <c r="C4399" s="1323" t="s">
        <v>10519</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10629</v>
      </c>
      <c r="C4400" s="1323" t="s">
        <v>10630</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10631</v>
      </c>
      <c r="C4401" s="1323" t="s">
        <v>10473</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10632</v>
      </c>
      <c r="C4402" s="1323" t="s">
        <v>10471</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10633</v>
      </c>
      <c r="C4403" s="1323" t="s">
        <v>10634</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10635</v>
      </c>
      <c r="C4404" s="1323" t="s">
        <v>10636</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10637</v>
      </c>
      <c r="C4405" s="1323" t="s">
        <v>10638</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10639</v>
      </c>
      <c r="C4406" s="1323" t="s">
        <v>10638</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10640</v>
      </c>
      <c r="C4407" s="1323" t="s">
        <v>10641</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10642</v>
      </c>
      <c r="C4408" s="1323" t="s">
        <v>10431</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10643</v>
      </c>
      <c r="C4409" s="1323" t="s">
        <v>10644</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10645</v>
      </c>
      <c r="C4410" s="1323" t="s">
        <v>10646</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10647</v>
      </c>
      <c r="C4411" s="1323" t="s">
        <v>10648</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10649</v>
      </c>
      <c r="C4412" s="1323" t="s">
        <v>10650</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10651</v>
      </c>
      <c r="C4413" s="1323" t="s">
        <v>10652</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10653</v>
      </c>
      <c r="C4414" s="1323" t="s">
        <v>10654</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10655</v>
      </c>
      <c r="C4415" s="1323" t="s">
        <v>10419</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10656</v>
      </c>
      <c r="C4416" s="1323" t="s">
        <v>10657</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10658</v>
      </c>
      <c r="C4417" s="1323" t="s">
        <v>10379</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10659</v>
      </c>
      <c r="C4418" s="1323" t="s">
        <v>10354</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10660</v>
      </c>
      <c r="C4419" s="1323" t="s">
        <v>10400</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10661</v>
      </c>
      <c r="C4420" s="1323" t="s">
        <v>10657</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10662</v>
      </c>
      <c r="C4421" s="1323" t="s">
        <v>10663</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10664</v>
      </c>
      <c r="C4422" s="1323" t="s">
        <v>10340</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10665</v>
      </c>
      <c r="C4423" s="1323" t="s">
        <v>10397</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10666</v>
      </c>
      <c r="C4424" s="1323" t="s">
        <v>10667</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10668</v>
      </c>
      <c r="C4425" s="1323" t="s">
        <v>10669</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10670</v>
      </c>
      <c r="C4426" s="1323" t="s">
        <v>10377</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10671</v>
      </c>
      <c r="C4427" s="1323" t="s">
        <v>10669</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10672</v>
      </c>
      <c r="C4428" s="1323" t="s">
        <v>10371</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10673</v>
      </c>
      <c r="C4429" s="1323" t="s">
        <v>10674</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10675</v>
      </c>
      <c r="C4430" s="1323" t="s">
        <v>10390</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10676</v>
      </c>
      <c r="C4431" s="1323" t="s">
        <v>10384</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10677</v>
      </c>
      <c r="C4432" s="1323" t="s">
        <v>10678</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10679</v>
      </c>
      <c r="C4433" s="1323" t="s">
        <v>10678</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10680</v>
      </c>
      <c r="C4434" s="1323" t="s">
        <v>10681</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10682</v>
      </c>
      <c r="C4435" s="1323" t="s">
        <v>10674</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10683</v>
      </c>
      <c r="C4436" s="1323" t="s">
        <v>10377</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10684</v>
      </c>
      <c r="C4437" s="1323" t="s">
        <v>10371</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10685</v>
      </c>
      <c r="C4438" s="1323" t="s">
        <v>10369</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10686</v>
      </c>
      <c r="C4439" s="1323" t="s">
        <v>10352</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10687</v>
      </c>
      <c r="C4440" s="1323" t="s">
        <v>10652</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10688</v>
      </c>
      <c r="C4441" s="1323" t="s">
        <v>10650</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10689</v>
      </c>
      <c r="C4442" s="1323" t="s">
        <v>10690</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10691</v>
      </c>
      <c r="C4443" s="1323" t="s">
        <v>10692</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10693</v>
      </c>
      <c r="C4444" s="1323" t="s">
        <v>10694</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10695</v>
      </c>
      <c r="C4445" s="1323" t="s">
        <v>10634</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10696</v>
      </c>
      <c r="C4446" s="1323" t="s">
        <v>10697</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10698</v>
      </c>
      <c r="C4447" s="1323" t="s">
        <v>10699</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10700</v>
      </c>
      <c r="C4448" s="1323" t="s">
        <v>10701</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10702</v>
      </c>
      <c r="C4449" s="1323" t="s">
        <v>10433</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10703</v>
      </c>
      <c r="C4450" s="1323" t="s">
        <v>10690</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10704</v>
      </c>
      <c r="C4451" s="1323" t="s">
        <v>10705</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10706</v>
      </c>
      <c r="C4452" s="1323" t="s">
        <v>10707</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10708</v>
      </c>
      <c r="C4453" s="1323" t="s">
        <v>10350</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10709</v>
      </c>
      <c r="C4454" s="1323" t="s">
        <v>10657</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10710</v>
      </c>
      <c r="C4455" s="1323" t="s">
        <v>10674</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10711</v>
      </c>
      <c r="C4456" s="1323" t="s">
        <v>10654</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10712</v>
      </c>
      <c r="C4457" s="1323" t="s">
        <v>10388</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10713</v>
      </c>
      <c r="C4458" s="1323" t="s">
        <v>10714</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10715</v>
      </c>
      <c r="C4459" s="1323" t="s">
        <v>10384</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10716</v>
      </c>
      <c r="C4460" s="1323" t="s">
        <v>10375</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10717</v>
      </c>
      <c r="C4461" s="1323" t="s">
        <v>10344</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10718</v>
      </c>
      <c r="C4462" s="1323" t="s">
        <v>10344</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10719</v>
      </c>
      <c r="C4463" s="1323" t="s">
        <v>10720</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10721</v>
      </c>
      <c r="C4464" s="1323" t="s">
        <v>10390</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10722</v>
      </c>
      <c r="C4465" s="1323" t="s">
        <v>10723</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10724</v>
      </c>
      <c r="C4466" s="1323" t="s">
        <v>10375</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10725</v>
      </c>
      <c r="C4467" s="1323" t="s">
        <v>10667</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10726</v>
      </c>
      <c r="C4468" s="1323" t="s">
        <v>10727</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10728</v>
      </c>
      <c r="C4469" s="1323" t="s">
        <v>10729</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10730</v>
      </c>
      <c r="C4470" s="1323" t="s">
        <v>10731</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10732</v>
      </c>
      <c r="C4471" s="1323" t="s">
        <v>10439</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10733</v>
      </c>
      <c r="C4472" s="1323" t="s">
        <v>10734</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10735</v>
      </c>
      <c r="C4473" s="1323" t="s">
        <v>10636</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10736</v>
      </c>
      <c r="C4474" s="1323" t="s">
        <v>10737</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10738</v>
      </c>
      <c r="C4475" s="1323" t="s">
        <v>10634</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10739</v>
      </c>
      <c r="C4476" s="1323" t="s">
        <v>10740</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10741</v>
      </c>
      <c r="C4477" s="1323" t="s">
        <v>10471</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10742</v>
      </c>
      <c r="C4478" s="1323" t="s">
        <v>10743</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10744</v>
      </c>
      <c r="C4479" s="1323" t="s">
        <v>10737</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10745</v>
      </c>
      <c r="C4480" s="1323" t="s">
        <v>10746</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10747</v>
      </c>
      <c r="C4481" s="1323" t="s">
        <v>10464</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10748</v>
      </c>
      <c r="C4482" s="1323" t="s">
        <v>10749</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10750</v>
      </c>
      <c r="C4483" s="1323" t="s">
        <v>10749</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10751</v>
      </c>
      <c r="C4484" s="1323" t="s">
        <v>10752</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10753</v>
      </c>
      <c r="C4485" s="1323" t="s">
        <v>10485</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10754</v>
      </c>
      <c r="C4486" s="1323" t="s">
        <v>10475</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10755</v>
      </c>
      <c r="C4487" s="1323" t="s">
        <v>10743</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10756</v>
      </c>
      <c r="C4488" s="1323" t="s">
        <v>10757</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10758</v>
      </c>
      <c r="C4489" s="1323" t="s">
        <v>10759</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10760</v>
      </c>
      <c r="C4490" s="1323" t="s">
        <v>10761</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10762</v>
      </c>
      <c r="C4491" s="1323" t="s">
        <v>10763</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10764</v>
      </c>
      <c r="C4492" s="1323" t="s">
        <v>10630</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10765</v>
      </c>
      <c r="C4493" s="1323" t="s">
        <v>10766</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10767</v>
      </c>
      <c r="C4494" s="1323" t="s">
        <v>10768</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10769</v>
      </c>
      <c r="C4495" s="1323" t="s">
        <v>10770</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10771</v>
      </c>
      <c r="C4496" s="1323" t="s">
        <v>10768</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10772</v>
      </c>
      <c r="C4497" s="1323" t="s">
        <v>10770</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10773</v>
      </c>
      <c r="C4498" s="1323" t="s">
        <v>10483</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10774</v>
      </c>
      <c r="C4499" s="1323" t="s">
        <v>10768</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10775</v>
      </c>
      <c r="C4500" s="1323" t="s">
        <v>10770</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10776</v>
      </c>
      <c r="C4501" s="1323" t="s">
        <v>10777</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10778</v>
      </c>
      <c r="C4502" s="1323" t="s">
        <v>10481</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10779</v>
      </c>
      <c r="C4503" s="1323" t="s">
        <v>10490</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10780</v>
      </c>
      <c r="C4504" s="1323" t="s">
        <v>10613</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10781</v>
      </c>
      <c r="C4505" s="1323" t="s">
        <v>10782</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10783</v>
      </c>
      <c r="C4506" s="1323" t="s">
        <v>10533</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10784</v>
      </c>
      <c r="C4507" s="1323" t="s">
        <v>10513</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10785</v>
      </c>
      <c r="C4508" s="1323" t="s">
        <v>10481</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10786</v>
      </c>
      <c r="C4509" s="1323" t="s">
        <v>10490</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10787</v>
      </c>
      <c r="C4510" s="1323" t="s">
        <v>10475</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10788</v>
      </c>
      <c r="C4511" s="1323" t="s">
        <v>10789</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10790</v>
      </c>
      <c r="C4512" s="1323" t="s">
        <v>10791</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10792</v>
      </c>
      <c r="C4513" s="1323" t="s">
        <v>10793</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10794</v>
      </c>
      <c r="C4514" s="1323" t="s">
        <v>10634</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10795</v>
      </c>
      <c r="C4515" s="1323" t="s">
        <v>10452</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10796</v>
      </c>
      <c r="C4516" s="1323" t="s">
        <v>10445</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10797</v>
      </c>
      <c r="C4517" s="1323" t="s">
        <v>10441</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10798</v>
      </c>
      <c r="C4518" s="1323" t="s">
        <v>10799</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10800</v>
      </c>
      <c r="C4519" s="1323" t="s">
        <v>10801</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10802</v>
      </c>
      <c r="C4520" s="1323" t="s">
        <v>10803</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10804</v>
      </c>
      <c r="C4521" s="1323" t="s">
        <v>10759</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10805</v>
      </c>
      <c r="C4522" s="1323" t="s">
        <v>10757</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10806</v>
      </c>
      <c r="C4523" s="1323" t="s">
        <v>10807</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10808</v>
      </c>
      <c r="C4524" s="1323" t="s">
        <v>10483</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10809</v>
      </c>
      <c r="C4525" s="1323" t="s">
        <v>10517</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10810</v>
      </c>
      <c r="C4526" s="1323" t="s">
        <v>10521</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10811</v>
      </c>
      <c r="C4527" s="1323" t="s">
        <v>10812</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10813</v>
      </c>
      <c r="C4528" s="1323" t="s">
        <v>10473</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10814</v>
      </c>
      <c r="C4529" s="1323" t="s">
        <v>10529</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10815</v>
      </c>
      <c r="C4530" s="1323" t="s">
        <v>10519</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10816</v>
      </c>
      <c r="C4531" s="1323" t="s">
        <v>10537</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10817</v>
      </c>
      <c r="C4532" s="1323" t="s">
        <v>10818</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10819</v>
      </c>
      <c r="C4533" s="1323" t="s">
        <v>10820</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10821</v>
      </c>
      <c r="C4534" s="1323" t="s">
        <v>10589</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10822</v>
      </c>
      <c r="C4535" s="1323" t="s">
        <v>10608</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10823</v>
      </c>
      <c r="C4536" s="1323" t="s">
        <v>10824</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10825</v>
      </c>
      <c r="C4537" s="1323" t="s">
        <v>10826</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10827</v>
      </c>
      <c r="C4538" s="1323" t="s">
        <v>10624</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10828</v>
      </c>
      <c r="C4539" s="1323" t="s">
        <v>10829</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10830</v>
      </c>
      <c r="C4540" s="1323" t="s">
        <v>10831</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10832</v>
      </c>
      <c r="C4541" s="1323" t="s">
        <v>10581</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10833</v>
      </c>
      <c r="C4542" s="1323" t="s">
        <v>10834</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10835</v>
      </c>
      <c r="C4543" s="1323" t="s">
        <v>10836</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10837</v>
      </c>
      <c r="C4544" s="1323" t="s">
        <v>10838</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10839</v>
      </c>
      <c r="C4545" s="1323" t="s">
        <v>10840</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10841</v>
      </c>
      <c r="C4546" s="1323" t="s">
        <v>10842</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10843</v>
      </c>
      <c r="C4547" s="1323" t="s">
        <v>10842</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10844</v>
      </c>
      <c r="C4548" s="1323" t="s">
        <v>10845</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10846</v>
      </c>
      <c r="C4549" s="1323" t="s">
        <v>10847</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10848</v>
      </c>
      <c r="C4550" s="1323" t="s">
        <v>10847</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10849</v>
      </c>
      <c r="C4551" s="1323" t="s">
        <v>10850</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10851</v>
      </c>
      <c r="C4552" s="1323" t="s">
        <v>10847</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10852</v>
      </c>
      <c r="C4553" s="1323" t="s">
        <v>10838</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10853</v>
      </c>
      <c r="C4554" s="1323" t="s">
        <v>10854</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10855</v>
      </c>
      <c r="C4555" s="1323" t="s">
        <v>10856</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10857</v>
      </c>
      <c r="C4556" s="1323" t="s">
        <v>10858</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10859</v>
      </c>
      <c r="C4557" s="1323" t="s">
        <v>10860</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10861</v>
      </c>
      <c r="C4558" s="1323" t="s">
        <v>10862</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10863</v>
      </c>
      <c r="C4559" s="1323" t="s">
        <v>10864</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10865</v>
      </c>
      <c r="C4560" s="1323" t="s">
        <v>10840</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10866</v>
      </c>
      <c r="C4561" s="1323" t="s">
        <v>10867</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10868</v>
      </c>
      <c r="C4562" s="1323" t="s">
        <v>10869</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10870</v>
      </c>
      <c r="C4563" s="1323" t="s">
        <v>10854</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10871</v>
      </c>
      <c r="C4564" s="1323" t="s">
        <v>10872</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10873</v>
      </c>
      <c r="C4565" s="1323" t="s">
        <v>10874</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10875</v>
      </c>
      <c r="C4566" s="1323" t="s">
        <v>10876</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10877</v>
      </c>
      <c r="C4567" s="1323" t="s">
        <v>10834</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10878</v>
      </c>
      <c r="C4568" s="1323" t="s">
        <v>10879</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10880</v>
      </c>
      <c r="C4569" s="1323" t="s">
        <v>10860</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10881</v>
      </c>
      <c r="C4570" s="1323" t="s">
        <v>10854</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10882</v>
      </c>
      <c r="C4571" s="1323" t="s">
        <v>10883</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10884</v>
      </c>
      <c r="C4572" s="1323" t="s">
        <v>10858</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10885</v>
      </c>
      <c r="C4573" s="1323" t="s">
        <v>10886</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10887</v>
      </c>
      <c r="C4574" s="1323" t="s">
        <v>10886</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10888</v>
      </c>
      <c r="C4575" s="1323" t="s">
        <v>10883</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10889</v>
      </c>
      <c r="C4576" s="1323" t="s">
        <v>10890</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10891</v>
      </c>
      <c r="C4577" s="1323" t="s">
        <v>10834</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10892</v>
      </c>
      <c r="C4578" s="1323" t="s">
        <v>10893</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10894</v>
      </c>
      <c r="C4579" s="1323" t="s">
        <v>10895</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10896</v>
      </c>
      <c r="C4580" s="1323" t="s">
        <v>10838</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10897</v>
      </c>
      <c r="C4581" s="1323" t="s">
        <v>10898</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10899</v>
      </c>
      <c r="C4582" s="1323" t="s">
        <v>10850</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10900</v>
      </c>
      <c r="C4583" s="1323" t="s">
        <v>10901</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10902</v>
      </c>
      <c r="C4584" s="1323" t="s">
        <v>10890</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10903</v>
      </c>
      <c r="C4585" s="1323" t="s">
        <v>10904</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10905</v>
      </c>
      <c r="C4586" s="1323" t="s">
        <v>10563</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10906</v>
      </c>
      <c r="C4587" s="1323" t="s">
        <v>10791</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10907</v>
      </c>
      <c r="C4588" s="1323" t="s">
        <v>10908</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10909</v>
      </c>
      <c r="C4589" s="1323" t="s">
        <v>10910</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10911</v>
      </c>
      <c r="C4590" s="1323" t="s">
        <v>10621</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10912</v>
      </c>
      <c r="C4591" s="1323" t="s">
        <v>10913</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10914</v>
      </c>
      <c r="C4592" s="1323" t="s">
        <v>10856</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10915</v>
      </c>
      <c r="C4593" s="1323" t="s">
        <v>10826</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10916</v>
      </c>
      <c r="C4594" s="1323" t="s">
        <v>10836</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10917</v>
      </c>
      <c r="C4595" s="1323" t="s">
        <v>10818</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10918</v>
      </c>
      <c r="C4596" s="1323" t="s">
        <v>10919</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10920</v>
      </c>
      <c r="C4597" s="1323" t="s">
        <v>10921</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10922</v>
      </c>
      <c r="C4598" s="1323" t="s">
        <v>10923</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10924</v>
      </c>
      <c r="C4599" s="1323" t="s">
        <v>10925</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10926</v>
      </c>
      <c r="C4600" s="1323" t="s">
        <v>10927</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10928</v>
      </c>
      <c r="C4601" s="1323" t="s">
        <v>10923</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10929</v>
      </c>
      <c r="C4602" s="1323" t="s">
        <v>10930</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10931</v>
      </c>
      <c r="C4603" s="1323" t="s">
        <v>10932</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10933</v>
      </c>
      <c r="C4604" s="1323" t="s">
        <v>10934</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10935</v>
      </c>
      <c r="C4605" s="1323" t="s">
        <v>10936</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10937</v>
      </c>
      <c r="C4606" s="1323" t="s">
        <v>10938</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10939</v>
      </c>
      <c r="C4607" s="1323" t="s">
        <v>10940</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10941</v>
      </c>
      <c r="C4608" s="1323" t="s">
        <v>10942</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10943</v>
      </c>
      <c r="C4609" s="1323" t="s">
        <v>10944</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10945</v>
      </c>
      <c r="C4610" s="1323" t="s">
        <v>10946</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10947</v>
      </c>
      <c r="C4611" s="1323" t="s">
        <v>10948</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10949</v>
      </c>
      <c r="C4612" s="1323" t="s">
        <v>10950</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10951</v>
      </c>
      <c r="C4613" s="1323" t="s">
        <v>10952</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10953</v>
      </c>
      <c r="C4614" s="1323" t="s">
        <v>10954</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10955</v>
      </c>
      <c r="C4615" s="1323" t="s">
        <v>10956</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10957</v>
      </c>
      <c r="C4616" s="1323" t="s">
        <v>10958</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10959</v>
      </c>
      <c r="C4617" s="1323" t="s">
        <v>10960</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10961</v>
      </c>
      <c r="C4618" s="1323" t="s">
        <v>10962</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10963</v>
      </c>
      <c r="C4619" s="1323" t="s">
        <v>10964</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10965</v>
      </c>
      <c r="C4620" s="1323" t="s">
        <v>10966</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10967</v>
      </c>
      <c r="C4621" s="1323" t="s">
        <v>10968</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10969</v>
      </c>
      <c r="C4622" s="1323" t="s">
        <v>10970</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10971</v>
      </c>
      <c r="C4623" s="1323" t="s">
        <v>10972</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10973</v>
      </c>
      <c r="C4624" s="1323" t="s">
        <v>10958</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10974</v>
      </c>
      <c r="C4625" s="1323" t="s">
        <v>10975</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10976</v>
      </c>
      <c r="C4626" s="1323" t="s">
        <v>10977</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10978</v>
      </c>
      <c r="C4627" s="1323" t="s">
        <v>10979</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10980</v>
      </c>
      <c r="C4628" s="1323" t="s">
        <v>10981</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10982</v>
      </c>
      <c r="C4629" s="1323" t="s">
        <v>10983</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10984</v>
      </c>
      <c r="C4630" s="1323" t="s">
        <v>10985</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10986</v>
      </c>
      <c r="C4631" s="1323" t="s">
        <v>10987</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10988</v>
      </c>
      <c r="C4632" s="1323" t="s">
        <v>10989</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10990</v>
      </c>
      <c r="C4633" s="1323" t="s">
        <v>10991</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10992</v>
      </c>
      <c r="C4634" s="1323" t="s">
        <v>10993</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10994</v>
      </c>
      <c r="C4635" s="1323" t="s">
        <v>10995</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10996</v>
      </c>
      <c r="C4636" s="1323" t="s">
        <v>10997</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10998</v>
      </c>
      <c r="C4637" s="1323" t="s">
        <v>10999</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11000</v>
      </c>
      <c r="C4638" s="1323" t="s">
        <v>11001</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11002</v>
      </c>
      <c r="C4639" s="1323" t="s">
        <v>11003</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11004</v>
      </c>
      <c r="C4640" s="1323" t="s">
        <v>11005</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11006</v>
      </c>
      <c r="C4641" s="1323" t="s">
        <v>11007</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11008</v>
      </c>
      <c r="C4642" s="1323" t="s">
        <v>11009</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11010</v>
      </c>
      <c r="C4643" s="1323" t="s">
        <v>11011</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11012</v>
      </c>
      <c r="C4644" s="1323" t="s">
        <v>11013</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11014</v>
      </c>
      <c r="C4645" s="1323" t="s">
        <v>11015</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11016</v>
      </c>
      <c r="C4646" s="1323" t="s">
        <v>11011</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11017</v>
      </c>
      <c r="C4647" s="1323" t="s">
        <v>11018</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11019</v>
      </c>
      <c r="C4648" s="1323" t="s">
        <v>11018</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11020</v>
      </c>
      <c r="C4649" s="1323" t="s">
        <v>11021</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11022</v>
      </c>
      <c r="C4650" s="1323" t="s">
        <v>11023</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11024</v>
      </c>
      <c r="C4651" s="1323" t="s">
        <v>11018</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11025</v>
      </c>
      <c r="C4652" s="1323" t="s">
        <v>11026</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11027</v>
      </c>
      <c r="C4653" s="1323" t="s">
        <v>11026</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11028</v>
      </c>
      <c r="C4654" s="1323" t="s">
        <v>11029</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11030</v>
      </c>
      <c r="C4655" s="1323" t="s">
        <v>11031</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11032</v>
      </c>
      <c r="C4656" s="1323" t="s">
        <v>11033</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11034</v>
      </c>
      <c r="C4657" s="1323" t="s">
        <v>11031</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11035</v>
      </c>
      <c r="C4658" s="1323" t="s">
        <v>11011</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11036</v>
      </c>
      <c r="C4659" s="1323" t="s">
        <v>11037</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11038</v>
      </c>
      <c r="C4660" s="1323" t="s">
        <v>11013</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11039</v>
      </c>
      <c r="C4661" s="1323" t="s">
        <v>11037</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11040</v>
      </c>
      <c r="C4662" s="1323" t="s">
        <v>11015</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11041</v>
      </c>
      <c r="C4663" s="1323" t="s">
        <v>11013</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11042</v>
      </c>
      <c r="C4664" s="1323" t="s">
        <v>11018</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11043</v>
      </c>
      <c r="C4665" s="1323" t="s">
        <v>11044</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11045</v>
      </c>
      <c r="C4666" s="1323" t="s">
        <v>11046</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11047</v>
      </c>
      <c r="C4667" s="1323" t="s">
        <v>11048</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11049</v>
      </c>
      <c r="C4668" s="1323" t="s">
        <v>11050</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11051</v>
      </c>
      <c r="C4669" s="1323" t="s">
        <v>11052</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11053</v>
      </c>
      <c r="C4670" s="1323" t="s">
        <v>11054</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11055</v>
      </c>
      <c r="C4671" s="1323" t="s">
        <v>11048</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11056</v>
      </c>
      <c r="C4672" s="1323" t="s">
        <v>11057</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11058</v>
      </c>
      <c r="C4673" s="1323" t="s">
        <v>11059</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11060</v>
      </c>
      <c r="C4674" s="1323" t="s">
        <v>11061</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11062</v>
      </c>
      <c r="C4675" s="1323" t="s">
        <v>11023</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11063</v>
      </c>
      <c r="C4676" s="1323" t="s">
        <v>11011</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11064</v>
      </c>
      <c r="C4677" s="1323" t="s">
        <v>11026</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11065</v>
      </c>
      <c r="C4678" s="1323" t="s">
        <v>11066</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11067</v>
      </c>
      <c r="C4679" s="1323" t="s">
        <v>11068</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11069</v>
      </c>
      <c r="C4680" s="1323" t="s">
        <v>11070</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11071</v>
      </c>
      <c r="C4681" s="1323" t="s">
        <v>11072</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11073</v>
      </c>
      <c r="C4682" s="1323" t="s">
        <v>11074</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11075</v>
      </c>
      <c r="C4683" s="1323" t="s">
        <v>11076</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11077</v>
      </c>
      <c r="C4684" s="1323" t="s">
        <v>11074</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11078</v>
      </c>
      <c r="C4685" s="1323" t="s">
        <v>11079</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11080</v>
      </c>
      <c r="C4686" s="1323" t="s">
        <v>11081</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11082</v>
      </c>
      <c r="C4687" s="1323" t="s">
        <v>11076</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11083</v>
      </c>
      <c r="C4688" s="1323" t="s">
        <v>11076</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11084</v>
      </c>
      <c r="C4689" s="1323" t="s">
        <v>11072</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11085</v>
      </c>
      <c r="C4690" s="1323" t="s">
        <v>11072</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11086</v>
      </c>
      <c r="C4691" s="1323" t="s">
        <v>11076</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11087</v>
      </c>
      <c r="C4692" s="1323" t="s">
        <v>11088</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11089</v>
      </c>
      <c r="C4693" s="1323" t="s">
        <v>11090</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11091</v>
      </c>
      <c r="C4694" s="1323" t="s">
        <v>11079</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11092</v>
      </c>
      <c r="C4695" s="1323" t="s">
        <v>11093</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11094</v>
      </c>
      <c r="C4696" s="1323" t="s">
        <v>11090</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11095</v>
      </c>
      <c r="C4697" s="1323" t="s">
        <v>11090</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11096</v>
      </c>
      <c r="C4698" s="1323" t="s">
        <v>11097</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11098</v>
      </c>
      <c r="C4699" s="1323" t="s">
        <v>11026</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11099</v>
      </c>
      <c r="C4700" s="1323" t="s">
        <v>11037</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11100</v>
      </c>
      <c r="C4701" s="1323" t="s">
        <v>11015</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11101</v>
      </c>
      <c r="C4702" s="1323" t="s">
        <v>11013</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11102</v>
      </c>
      <c r="C4703" s="1323" t="s">
        <v>11031</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11103</v>
      </c>
      <c r="C4704" s="1323" t="s">
        <v>11015</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11104</v>
      </c>
      <c r="C4705" s="1323" t="s">
        <v>11105</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11106</v>
      </c>
      <c r="C4706" s="1323" t="s">
        <v>11107</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11108</v>
      </c>
      <c r="C4707" s="1323" t="s">
        <v>11109</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11110</v>
      </c>
      <c r="C4708" s="1323" t="s">
        <v>11061</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11111</v>
      </c>
      <c r="C4709" s="1323" t="s">
        <v>11046</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11112</v>
      </c>
      <c r="C4710" s="1323" t="s">
        <v>11113</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11114</v>
      </c>
      <c r="C4711" s="1323" t="s">
        <v>11115</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11116</v>
      </c>
      <c r="C4712" s="1323" t="s">
        <v>11044</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11117</v>
      </c>
      <c r="C4713" s="1323" t="s">
        <v>11118</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11119</v>
      </c>
      <c r="C4714" s="1323" t="s">
        <v>11015</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11120</v>
      </c>
      <c r="C4715" s="1323" t="s">
        <v>11018</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11121</v>
      </c>
      <c r="C4716" s="1323" t="s">
        <v>11015</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11122</v>
      </c>
      <c r="C4717" s="1323" t="s">
        <v>11118</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11123</v>
      </c>
      <c r="C4718" s="1323" t="s">
        <v>11054</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11124</v>
      </c>
      <c r="C4719" s="1323" t="s">
        <v>11061</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11125</v>
      </c>
      <c r="C4720" s="1323" t="s">
        <v>11126</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11127</v>
      </c>
      <c r="C4721" s="1323" t="s">
        <v>11061</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11128</v>
      </c>
      <c r="C4722" s="1323" t="s">
        <v>11044</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11129</v>
      </c>
      <c r="C4723" s="1323" t="s">
        <v>11015</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11130</v>
      </c>
      <c r="C4724" s="1323" t="s">
        <v>11031</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11131</v>
      </c>
      <c r="C4725" s="1323" t="s">
        <v>11037</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11132</v>
      </c>
      <c r="C4726" s="1323" t="s">
        <v>11133</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11134</v>
      </c>
      <c r="C4727" s="1323" t="s">
        <v>11033</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11135</v>
      </c>
      <c r="C4728" s="1323" t="s">
        <v>11033</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11136</v>
      </c>
      <c r="C4729" s="1323" t="s">
        <v>11137</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11138</v>
      </c>
      <c r="C4730" s="1323" t="s">
        <v>11037</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11139</v>
      </c>
      <c r="C4731" s="1323" t="s">
        <v>11031</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11140</v>
      </c>
      <c r="C4732" s="1323" t="s">
        <v>11033</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11141</v>
      </c>
      <c r="C4733" s="1323" t="s">
        <v>11070</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11142</v>
      </c>
      <c r="C4734" s="1323" t="s">
        <v>11093</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11143</v>
      </c>
      <c r="C4735" s="1323" t="s">
        <v>11144</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11145</v>
      </c>
      <c r="C4736" s="1323" t="s">
        <v>11070</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11146</v>
      </c>
      <c r="C4737" s="1323" t="s">
        <v>11133</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11147</v>
      </c>
      <c r="C4738" s="1323" t="s">
        <v>11148</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11149</v>
      </c>
      <c r="C4739" s="1323" t="s">
        <v>11018</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11150</v>
      </c>
      <c r="C4740" s="1323" t="s">
        <v>11118</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11151</v>
      </c>
      <c r="C4741" s="1323" t="s">
        <v>11066</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11152</v>
      </c>
      <c r="C4742" s="1323" t="s">
        <v>11018</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11153</v>
      </c>
      <c r="C4743" s="1323" t="s">
        <v>11093</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11154</v>
      </c>
      <c r="C4744" s="1323" t="s">
        <v>11155</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11156</v>
      </c>
      <c r="C4745" s="1323" t="s">
        <v>11155</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11157</v>
      </c>
      <c r="C4746" s="1323" t="s">
        <v>11158</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11159</v>
      </c>
      <c r="C4747" s="1323" t="s">
        <v>11160</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11161</v>
      </c>
      <c r="C4748" s="1323" t="s">
        <v>11162</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11163</v>
      </c>
      <c r="C4749" s="1323" t="s">
        <v>11093</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11164</v>
      </c>
      <c r="C4750" s="1323" t="s">
        <v>11093</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11165</v>
      </c>
      <c r="C4751" s="1323" t="s">
        <v>11093</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11166</v>
      </c>
      <c r="C4752" s="1323" t="s">
        <v>11074</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11167</v>
      </c>
      <c r="C4753" s="1323" t="s">
        <v>11093</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11168</v>
      </c>
      <c r="C4754" s="1323" t="s">
        <v>11093</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11169</v>
      </c>
      <c r="C4755" s="1323" t="s">
        <v>11090</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11170</v>
      </c>
      <c r="C4756" s="1323" t="s">
        <v>11066</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11171</v>
      </c>
      <c r="C4757" s="1323" t="s">
        <v>11133</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11172</v>
      </c>
      <c r="C4758" s="1323" t="s">
        <v>11173</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11174</v>
      </c>
      <c r="C4759" s="1323" t="s">
        <v>11144</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11175</v>
      </c>
      <c r="C4760" s="1323" t="s">
        <v>11090</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11176</v>
      </c>
      <c r="C4761" s="1323" t="s">
        <v>11066</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11177</v>
      </c>
      <c r="C4762" s="1323" t="s">
        <v>11097</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11178</v>
      </c>
      <c r="C4763" s="1323" t="s">
        <v>11066</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11179</v>
      </c>
      <c r="C4764" s="1323" t="s">
        <v>11133</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11180</v>
      </c>
      <c r="C4765" s="1323" t="s">
        <v>11097</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11181</v>
      </c>
      <c r="C4766" s="1323" t="s">
        <v>11137</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11182</v>
      </c>
      <c r="C4767" s="1323" t="s">
        <v>11066</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11183</v>
      </c>
      <c r="C4768" s="1323" t="s">
        <v>11184</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11185</v>
      </c>
      <c r="C4769" s="1323" t="s">
        <v>11144</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11186</v>
      </c>
      <c r="C4770" s="1323" t="s">
        <v>11023</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11187</v>
      </c>
      <c r="C4771" s="1323" t="s">
        <v>11188</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11189</v>
      </c>
      <c r="C4772" s="1323" t="s">
        <v>11059</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11190</v>
      </c>
      <c r="C4773" s="1323" t="s">
        <v>11191</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11192</v>
      </c>
      <c r="C4774" s="1323" t="s">
        <v>11193</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11194</v>
      </c>
      <c r="C4775" s="1323" t="s">
        <v>11195</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11196</v>
      </c>
      <c r="C4776" s="1323" t="s">
        <v>11197</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11198</v>
      </c>
      <c r="C4777" s="1323" t="s">
        <v>11197</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11199</v>
      </c>
      <c r="C4778" s="1323" t="s">
        <v>11200</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11201</v>
      </c>
      <c r="C4779" s="1323" t="s">
        <v>11202</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11203</v>
      </c>
      <c r="C4780" s="1323" t="s">
        <v>11204</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11205</v>
      </c>
      <c r="C4781" s="1323" t="s">
        <v>11057</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11206</v>
      </c>
      <c r="C4782" s="1323" t="s">
        <v>11061</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11207</v>
      </c>
      <c r="C4783" s="1323" t="s">
        <v>11054</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11208</v>
      </c>
      <c r="C4784" s="1323" t="s">
        <v>11054</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11209</v>
      </c>
      <c r="C4785" s="1323" t="s">
        <v>11023</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11210</v>
      </c>
      <c r="C4786" s="1323" t="s">
        <v>11105</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11211</v>
      </c>
      <c r="C4787" s="1323" t="s">
        <v>11126</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11212</v>
      </c>
      <c r="C4788" s="1323" t="s">
        <v>11013</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11213</v>
      </c>
      <c r="C4789" s="1323" t="s">
        <v>11011</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11214</v>
      </c>
      <c r="C4790" s="1323" t="s">
        <v>11011</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11215</v>
      </c>
      <c r="C4791" s="1323" t="s">
        <v>11015</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11216</v>
      </c>
      <c r="C4792" s="1323" t="s">
        <v>11031</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11217</v>
      </c>
      <c r="C4793" s="1323" t="s">
        <v>11133</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11218</v>
      </c>
      <c r="C4794" s="1323" t="s">
        <v>11011</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11219</v>
      </c>
      <c r="C4795" s="1323" t="s">
        <v>11011</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11220</v>
      </c>
      <c r="C4796" s="1323" t="s">
        <v>11221</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11222</v>
      </c>
      <c r="C4797" s="1323" t="s">
        <v>11061</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11223</v>
      </c>
      <c r="C4798" s="1323" t="s">
        <v>11044</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11224</v>
      </c>
      <c r="C4799" s="1323" t="s">
        <v>11225</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11226</v>
      </c>
      <c r="C4800" s="1323" t="s">
        <v>11046</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11227</v>
      </c>
      <c r="C4801" s="1323" t="s">
        <v>11107</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11228</v>
      </c>
      <c r="C4802" s="1323" t="s">
        <v>11033</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11229</v>
      </c>
      <c r="C4803" s="1323" t="s">
        <v>11061</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11230</v>
      </c>
      <c r="C4804" s="1323" t="s">
        <v>11231</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11232</v>
      </c>
      <c r="C4805" s="1323" t="s">
        <v>11048</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11233</v>
      </c>
      <c r="C4806" s="1323" t="s">
        <v>11234</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11235</v>
      </c>
      <c r="C4807" s="1323" t="s">
        <v>11105</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11236</v>
      </c>
      <c r="C4808" s="1323" t="s">
        <v>11031</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11237</v>
      </c>
      <c r="C4809" s="1323" t="s">
        <v>11144</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11238</v>
      </c>
      <c r="C4810" s="1323" t="s">
        <v>11076</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11239</v>
      </c>
      <c r="C4811" s="1323" t="s">
        <v>11144</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11240</v>
      </c>
      <c r="C4812" s="1323" t="s">
        <v>11074</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11241</v>
      </c>
      <c r="C4813" s="1323" t="s">
        <v>11081</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11242</v>
      </c>
      <c r="C4814" s="1323" t="s">
        <v>11158</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11243</v>
      </c>
      <c r="C4815" s="1323" t="s">
        <v>11244</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11245</v>
      </c>
      <c r="C4816" s="1323" t="s">
        <v>11244</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11246</v>
      </c>
      <c r="C4817" s="1323" t="s">
        <v>11158</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11247</v>
      </c>
      <c r="C4818" s="1323" t="s">
        <v>11248</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11249</v>
      </c>
      <c r="C4819" s="1323" t="s">
        <v>11250</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11251</v>
      </c>
      <c r="C4820" s="1323" t="s">
        <v>11252</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11253</v>
      </c>
      <c r="C4821" s="1323" t="s">
        <v>11254</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11255</v>
      </c>
      <c r="C4822" s="1323" t="s">
        <v>11074</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11256</v>
      </c>
      <c r="C4823" s="1323" t="s">
        <v>11066</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11257</v>
      </c>
      <c r="C4824" s="1323" t="s">
        <v>11160</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11258</v>
      </c>
      <c r="C4825" s="1323" t="s">
        <v>11158</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11259</v>
      </c>
      <c r="C4826" s="1323" t="s">
        <v>11009</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11260</v>
      </c>
      <c r="C4827" s="1323" t="s">
        <v>11261</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11262</v>
      </c>
      <c r="C4828" s="1323" t="s">
        <v>11263</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11264</v>
      </c>
      <c r="C4829" s="1323" t="s">
        <v>11265</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11266</v>
      </c>
      <c r="C4830" s="1323" t="s">
        <v>11267</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11268</v>
      </c>
      <c r="C4831" s="1323" t="s">
        <v>11269</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11270</v>
      </c>
      <c r="C4832" s="1323" t="s">
        <v>11133</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11271</v>
      </c>
      <c r="C4833" s="1323" t="s">
        <v>11272</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11273</v>
      </c>
      <c r="C4834" s="1323" t="s">
        <v>11033</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11274</v>
      </c>
      <c r="C4835" s="1323" t="s">
        <v>11133</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11275</v>
      </c>
      <c r="C4836" s="1323" t="s">
        <v>11044</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11276</v>
      </c>
      <c r="C4837" s="1323" t="s">
        <v>11046</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11277</v>
      </c>
      <c r="C4838" s="1323" t="s">
        <v>11048</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11278</v>
      </c>
      <c r="C4839" s="1323" t="s">
        <v>11052</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11279</v>
      </c>
      <c r="C4840" s="1323" t="s">
        <v>11057</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11280</v>
      </c>
      <c r="C4841" s="1323" t="s">
        <v>11126</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11281</v>
      </c>
      <c r="C4842" s="1323" t="s">
        <v>11052</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11282</v>
      </c>
      <c r="C4843" s="1323" t="s">
        <v>11052</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11283</v>
      </c>
      <c r="C4844" s="1323" t="s">
        <v>11284</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11285</v>
      </c>
      <c r="C4845" s="1323" t="s">
        <v>11286</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11287</v>
      </c>
      <c r="C4846" s="1323" t="s">
        <v>11288</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11289</v>
      </c>
      <c r="C4847" s="1323" t="s">
        <v>11290</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11291</v>
      </c>
      <c r="C4848" s="1323" t="s">
        <v>11292</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11293</v>
      </c>
      <c r="C4849" s="1323" t="s">
        <v>11294</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11295</v>
      </c>
      <c r="C4850" s="1323" t="s">
        <v>11296</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11297</v>
      </c>
      <c r="C4851" s="1323" t="s">
        <v>11298</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11299</v>
      </c>
      <c r="C4852" s="1323" t="s">
        <v>11195</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11300</v>
      </c>
      <c r="C4853" s="1323" t="s">
        <v>11290</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11301</v>
      </c>
      <c r="C4854" s="1323" t="s">
        <v>11302</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11303</v>
      </c>
      <c r="C4855" s="1323" t="s">
        <v>11304</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11305</v>
      </c>
      <c r="C4856" s="1323" t="s">
        <v>11306</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11307</v>
      </c>
      <c r="C4857" s="1323" t="s">
        <v>11308</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11309</v>
      </c>
      <c r="C4858" s="1323" t="s">
        <v>11308</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11310</v>
      </c>
      <c r="C4859" s="1323" t="s">
        <v>11311</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11312</v>
      </c>
      <c r="C4860" s="1323" t="s">
        <v>11313</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11314</v>
      </c>
      <c r="C4861" s="1323" t="s">
        <v>11306</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11315</v>
      </c>
      <c r="C4862" s="1323" t="s">
        <v>11308</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11316</v>
      </c>
      <c r="C4863" s="1323" t="s">
        <v>11317</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11318</v>
      </c>
      <c r="C4864" s="1323" t="s">
        <v>11302</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11319</v>
      </c>
      <c r="C4865" s="1323" t="s">
        <v>11320</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11321</v>
      </c>
      <c r="C4866" s="1323" t="s">
        <v>11322</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11323</v>
      </c>
      <c r="C4867" s="1323" t="s">
        <v>11324</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11325</v>
      </c>
      <c r="C4868" s="1323" t="s">
        <v>11050</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11326</v>
      </c>
      <c r="C4869" s="1323" t="s">
        <v>11204</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11327</v>
      </c>
      <c r="C4870" s="1323" t="s">
        <v>11328</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11329</v>
      </c>
      <c r="C4871" s="1323" t="s">
        <v>11330</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11331</v>
      </c>
      <c r="C4872" s="1323" t="s">
        <v>11059</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11332</v>
      </c>
      <c r="C4873" s="1323" t="s">
        <v>11050</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11333</v>
      </c>
      <c r="C4874" s="1323" t="s">
        <v>11334</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11335</v>
      </c>
      <c r="C4875" s="1323" t="s">
        <v>11048</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11336</v>
      </c>
      <c r="C4876" s="1323" t="s">
        <v>11197</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11337</v>
      </c>
      <c r="C4877" s="1323" t="s">
        <v>11338</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11339</v>
      </c>
      <c r="C4878" s="1323" t="s">
        <v>11340</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11341</v>
      </c>
      <c r="C4879" s="1323" t="s">
        <v>11342</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11343</v>
      </c>
      <c r="C4880" s="1323" t="s">
        <v>11344</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11345</v>
      </c>
      <c r="C4881" s="1323" t="s">
        <v>11320</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11346</v>
      </c>
      <c r="C4882" s="1323" t="s">
        <v>11304</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11347</v>
      </c>
      <c r="C4883" s="1323" t="s">
        <v>11200</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11348</v>
      </c>
      <c r="C4884" s="1323" t="s">
        <v>11349</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11350</v>
      </c>
      <c r="C4885" s="1323" t="s">
        <v>11292</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11351</v>
      </c>
      <c r="C4886" s="1323" t="s">
        <v>11193</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11352</v>
      </c>
      <c r="C4887" s="1323" t="s">
        <v>11353</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11354</v>
      </c>
      <c r="C4888" s="1323" t="s">
        <v>11355</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11356</v>
      </c>
      <c r="C4889" s="1323" t="s">
        <v>11357</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11358</v>
      </c>
      <c r="C4890" s="1323" t="s">
        <v>11357</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11359</v>
      </c>
      <c r="C4891" s="1323" t="s">
        <v>11360</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11361</v>
      </c>
      <c r="C4892" s="1323" t="s">
        <v>11362</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11363</v>
      </c>
      <c r="C4893" s="1323" t="s">
        <v>11364</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11365</v>
      </c>
      <c r="C4894" s="1323" t="s">
        <v>11364</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11366</v>
      </c>
      <c r="C4895" s="1323" t="s">
        <v>11367</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11368</v>
      </c>
      <c r="C4896" s="1323" t="s">
        <v>11369</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11370</v>
      </c>
      <c r="C4897" s="1323" t="s">
        <v>11367</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11371</v>
      </c>
      <c r="C4898" s="1323" t="s">
        <v>11372</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11373</v>
      </c>
      <c r="C4899" s="1323" t="s">
        <v>11374</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11375</v>
      </c>
      <c r="C4900" s="1323" t="s">
        <v>11372</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11376</v>
      </c>
      <c r="C4901" s="1323" t="s">
        <v>11377</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11378</v>
      </c>
      <c r="C4902" s="1323" t="s">
        <v>11379</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11380</v>
      </c>
      <c r="C4903" s="1323" t="s">
        <v>11381</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11382</v>
      </c>
      <c r="C4904" s="1323" t="s">
        <v>11357</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11383</v>
      </c>
      <c r="C4905" s="1323" t="s">
        <v>11357</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11384</v>
      </c>
      <c r="C4906" s="1323" t="s">
        <v>11385</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11386</v>
      </c>
      <c r="C4907" s="1323" t="s">
        <v>11387</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11388</v>
      </c>
      <c r="C4908" s="1323" t="s">
        <v>11357</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11389</v>
      </c>
      <c r="C4909" s="1323" t="s">
        <v>11385</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11390</v>
      </c>
      <c r="C4910" s="1323" t="s">
        <v>11391</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11392</v>
      </c>
      <c r="C4911" s="1323" t="s">
        <v>11342</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11393</v>
      </c>
      <c r="C4912" s="1323" t="s">
        <v>11342</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11394</v>
      </c>
      <c r="C4913" s="1323" t="s">
        <v>11385</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11395</v>
      </c>
      <c r="C4914" s="1323" t="s">
        <v>11357</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11396</v>
      </c>
      <c r="C4915" s="1323" t="s">
        <v>11397</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11398</v>
      </c>
      <c r="C4916" s="1323" t="s">
        <v>11381</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11399</v>
      </c>
      <c r="C4917" s="1323" t="s">
        <v>11400</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11401</v>
      </c>
      <c r="C4918" s="1323" t="s">
        <v>11385</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11402</v>
      </c>
      <c r="C4919" s="1323" t="s">
        <v>11403</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11404</v>
      </c>
      <c r="C4920" s="1323" t="s">
        <v>11405</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11406</v>
      </c>
      <c r="C4921" s="1323" t="s">
        <v>11407</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11408</v>
      </c>
      <c r="C4922" s="1323" t="s">
        <v>11409</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11410</v>
      </c>
      <c r="C4923" s="1323" t="s">
        <v>11411</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11412</v>
      </c>
      <c r="C4924" s="1323" t="s">
        <v>11364</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11413</v>
      </c>
      <c r="C4925" s="1323" t="s">
        <v>11414</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11415</v>
      </c>
      <c r="C4926" s="1323" t="s">
        <v>11416</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11417</v>
      </c>
      <c r="C4927" s="1323" t="s">
        <v>11418</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11419</v>
      </c>
      <c r="C4928" s="1323" t="s">
        <v>11340</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11420</v>
      </c>
      <c r="C4929" s="1323" t="s">
        <v>11421</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11422</v>
      </c>
      <c r="C4930" s="1323" t="s">
        <v>11423</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11424</v>
      </c>
      <c r="C4931" s="1323" t="s">
        <v>11405</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11425</v>
      </c>
      <c r="C4932" s="1323" t="s">
        <v>11426</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11427</v>
      </c>
      <c r="C4933" s="1323" t="s">
        <v>11418</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11428</v>
      </c>
      <c r="C4934" s="1323" t="s">
        <v>11426</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11429</v>
      </c>
      <c r="C4935" s="1323" t="s">
        <v>11403</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11430</v>
      </c>
      <c r="C4936" s="1323" t="s">
        <v>11431</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11432</v>
      </c>
      <c r="C4937" s="1323" t="s">
        <v>11340</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11433</v>
      </c>
      <c r="C4938" s="1323" t="s">
        <v>11434</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11435</v>
      </c>
      <c r="C4939" s="1323" t="s">
        <v>11405</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11436</v>
      </c>
      <c r="C4940" s="1323" t="s">
        <v>11340</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11437</v>
      </c>
      <c r="C4941" s="1323" t="s">
        <v>11418</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11438</v>
      </c>
      <c r="C4942" s="1323" t="s">
        <v>11426</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11439</v>
      </c>
      <c r="C4943" s="1323" t="s">
        <v>11369</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11440</v>
      </c>
      <c r="C4944" s="1323" t="s">
        <v>11405</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11441</v>
      </c>
      <c r="C4945" s="1323" t="s">
        <v>11377</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11442</v>
      </c>
      <c r="C4946" s="1323" t="s">
        <v>11355</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11443</v>
      </c>
      <c r="C4947" s="1323" t="s">
        <v>11385</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11444</v>
      </c>
      <c r="C4948" s="1323" t="s">
        <v>11385</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11445</v>
      </c>
      <c r="C4949" s="1323" t="s">
        <v>11446</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11447</v>
      </c>
      <c r="C4950" s="1323" t="s">
        <v>11357</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11448</v>
      </c>
      <c r="C4951" s="1323" t="s">
        <v>11377</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11449</v>
      </c>
      <c r="C4952" s="1323" t="s">
        <v>11385</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11450</v>
      </c>
      <c r="C4953" s="1323" t="s">
        <v>11381</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11451</v>
      </c>
      <c r="C4954" s="1323" t="s">
        <v>11400</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11452</v>
      </c>
      <c r="C4955" s="1323" t="s">
        <v>11453</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11454</v>
      </c>
      <c r="C4956" s="1323" t="s">
        <v>11455</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11456</v>
      </c>
      <c r="C4957" s="1323" t="s">
        <v>11453</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11457</v>
      </c>
      <c r="C4958" s="1323" t="s">
        <v>11458</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11459</v>
      </c>
      <c r="C4959" s="1323" t="s">
        <v>11460</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11461</v>
      </c>
      <c r="C4960" s="1323" t="s">
        <v>11462</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11463</v>
      </c>
      <c r="C4961" s="1323" t="s">
        <v>11464</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11465</v>
      </c>
      <c r="C4962" s="1323" t="s">
        <v>11466</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11467</v>
      </c>
      <c r="C4963" s="1323" t="s">
        <v>11468</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11469</v>
      </c>
      <c r="C4964" s="1323" t="s">
        <v>11470</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11471</v>
      </c>
      <c r="C4965" s="1323" t="s">
        <v>11472</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11473</v>
      </c>
      <c r="C4966" s="1323" t="s">
        <v>11474</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11475</v>
      </c>
      <c r="C4967" s="1323" t="s">
        <v>11462</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11476</v>
      </c>
      <c r="C4968" s="1323" t="s">
        <v>11477</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11478</v>
      </c>
      <c r="C4969" s="1323" t="s">
        <v>11479</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11480</v>
      </c>
      <c r="C4970" s="1323" t="s">
        <v>11481</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11482</v>
      </c>
      <c r="C4971" s="1323" t="s">
        <v>11483</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11484</v>
      </c>
      <c r="C4972" s="1323" t="s">
        <v>11485</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11486</v>
      </c>
      <c r="C4973" s="1323" t="s">
        <v>11487</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11488</v>
      </c>
      <c r="C4974" s="1323" t="s">
        <v>11489</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11490</v>
      </c>
      <c r="C4975" s="1323" t="s">
        <v>11391</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11491</v>
      </c>
      <c r="C4976" s="1323" t="s">
        <v>11405</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11492</v>
      </c>
      <c r="C4977" s="1323" t="s">
        <v>11338</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11493</v>
      </c>
      <c r="C4978" s="1323" t="s">
        <v>11494</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11495</v>
      </c>
      <c r="C4979" s="1323" t="s">
        <v>11496</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11497</v>
      </c>
      <c r="C4980" s="1323" t="s">
        <v>11498</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11499</v>
      </c>
      <c r="C4981" s="1323" t="s">
        <v>11330</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11500</v>
      </c>
      <c r="C4982" s="1323" t="s">
        <v>11340</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11501</v>
      </c>
      <c r="C4983" s="1323" t="s">
        <v>11330</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11502</v>
      </c>
      <c r="C4984" s="1323" t="s">
        <v>11503</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11504</v>
      </c>
      <c r="C4985" s="1323" t="s">
        <v>11505</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11506</v>
      </c>
      <c r="C4986" s="1323" t="s">
        <v>11507</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11508</v>
      </c>
      <c r="C4987" s="1323" t="s">
        <v>11340</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11509</v>
      </c>
      <c r="C4988" s="1323" t="s">
        <v>11369</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11510</v>
      </c>
      <c r="C4989" s="1323" t="s">
        <v>11367</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11511</v>
      </c>
      <c r="C4990" s="1323" t="s">
        <v>11446</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11512</v>
      </c>
      <c r="C4991" s="1323" t="s">
        <v>11513</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11514</v>
      </c>
      <c r="C4992" s="1323" t="s">
        <v>11377</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11515</v>
      </c>
      <c r="C4993" s="1323" t="s">
        <v>11377</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11516</v>
      </c>
      <c r="C4994" s="1323" t="s">
        <v>11364</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11517</v>
      </c>
      <c r="C4995" s="1323" t="s">
        <v>11367</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11518</v>
      </c>
      <c r="C4996" s="1323" t="s">
        <v>11519</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11520</v>
      </c>
      <c r="C4997" s="1323" t="s">
        <v>11407</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11521</v>
      </c>
      <c r="C4998" s="1323" t="s">
        <v>11367</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11522</v>
      </c>
      <c r="C4999" s="1323" t="s">
        <v>11369</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11523</v>
      </c>
      <c r="C5000" s="1323" t="s">
        <v>11360</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11524</v>
      </c>
      <c r="C5001" s="1323" t="s">
        <v>11525</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11526</v>
      </c>
      <c r="C5002" s="1323" t="s">
        <v>11403</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11527</v>
      </c>
      <c r="C5003" s="1323" t="s">
        <v>11426</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11528</v>
      </c>
      <c r="C5004" s="1323" t="s">
        <v>11431</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11529</v>
      </c>
      <c r="C5005" s="1323" t="s">
        <v>11496</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11530</v>
      </c>
      <c r="C5006" s="1323" t="s">
        <v>11531</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11532</v>
      </c>
      <c r="C5007" s="1323" t="s">
        <v>11311</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11533</v>
      </c>
      <c r="C5008" s="1323" t="s">
        <v>11534</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11535</v>
      </c>
      <c r="C5009" s="1323" t="s">
        <v>11531</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11536</v>
      </c>
      <c r="C5010" s="1323" t="s">
        <v>11308</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11537</v>
      </c>
      <c r="C5011" s="1323" t="s">
        <v>11505</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11538</v>
      </c>
      <c r="C5012" s="1323" t="s">
        <v>11539</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11540</v>
      </c>
      <c r="C5013" s="1323" t="s">
        <v>11539</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11541</v>
      </c>
      <c r="C5014" s="1323" t="s">
        <v>11353</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11542</v>
      </c>
      <c r="C5015" s="1323" t="s">
        <v>11494</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11543</v>
      </c>
      <c r="C5016" s="1323" t="s">
        <v>11330</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11544</v>
      </c>
      <c r="C5017" s="1323" t="s">
        <v>11353</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11545</v>
      </c>
      <c r="C5018" s="1323" t="s">
        <v>11313</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11546</v>
      </c>
      <c r="C5019" s="1323" t="s">
        <v>11296</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11547</v>
      </c>
      <c r="C5020" s="1323" t="s">
        <v>11548</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11549</v>
      </c>
      <c r="C5021" s="1323" t="s">
        <v>11311</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11550</v>
      </c>
      <c r="C5022" s="1323" t="s">
        <v>11292</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11551</v>
      </c>
      <c r="C5023" s="1323" t="s">
        <v>11191</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11552</v>
      </c>
      <c r="C5024" s="1323" t="s">
        <v>11191</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11553</v>
      </c>
      <c r="C5025" s="1323" t="s">
        <v>11322</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11554</v>
      </c>
      <c r="C5026" s="1323" t="s">
        <v>11555</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11556</v>
      </c>
      <c r="C5027" s="1323" t="s">
        <v>11557</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11558</v>
      </c>
      <c r="C5028" s="1323" t="s">
        <v>11037</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11559</v>
      </c>
      <c r="C5029" s="1323" t="s">
        <v>11133</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11560</v>
      </c>
      <c r="C5030" s="1323" t="s">
        <v>11133</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11561</v>
      </c>
      <c r="C5031" s="1323" t="s">
        <v>11081</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11562</v>
      </c>
      <c r="C5032" s="1323" t="s">
        <v>11563</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11564</v>
      </c>
      <c r="C5033" s="1323" t="s">
        <v>11158</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11565</v>
      </c>
      <c r="C5034" s="1323" t="s">
        <v>11009</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11566</v>
      </c>
      <c r="C5035" s="1323" t="s">
        <v>11567</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11568</v>
      </c>
      <c r="C5036" s="1323" t="s">
        <v>11569</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11570</v>
      </c>
      <c r="C5037" s="1323" t="s">
        <v>11155</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11571</v>
      </c>
      <c r="C5038" s="1323" t="s">
        <v>11269</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11572</v>
      </c>
      <c r="C5039" s="1323" t="s">
        <v>11070</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11573</v>
      </c>
      <c r="C5040" s="1323" t="s">
        <v>11133</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11574</v>
      </c>
      <c r="C5041" s="1323" t="s">
        <v>11093</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11575</v>
      </c>
      <c r="C5042" s="1323" t="s">
        <v>11173</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11576</v>
      </c>
      <c r="C5043" s="1323" t="s">
        <v>11033</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11577</v>
      </c>
      <c r="C5044" s="1323" t="s">
        <v>11011</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11578</v>
      </c>
      <c r="C5045" s="1323" t="s">
        <v>11074</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11579</v>
      </c>
      <c r="C5046" s="1323" t="s">
        <v>11248</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11580</v>
      </c>
      <c r="C5047" s="1323" t="s">
        <v>11074</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11581</v>
      </c>
      <c r="C5048" s="1323" t="s">
        <v>11582</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11583</v>
      </c>
      <c r="C5049" s="1323" t="s">
        <v>11026</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11584</v>
      </c>
      <c r="C5050" s="1323" t="s">
        <v>11133</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11585</v>
      </c>
      <c r="C5051" s="1323" t="s">
        <v>11133</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11586</v>
      </c>
      <c r="C5052" s="1323" t="s">
        <v>11026</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11587</v>
      </c>
      <c r="C5053" s="1323" t="s">
        <v>11046</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11588</v>
      </c>
      <c r="C5054" s="1323" t="s">
        <v>11589</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11590</v>
      </c>
      <c r="C5055" s="1323" t="s">
        <v>11195</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11591</v>
      </c>
      <c r="C5056" s="1323" t="s">
        <v>11592</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11593</v>
      </c>
      <c r="C5057" s="1323" t="s">
        <v>11594</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11595</v>
      </c>
      <c r="C5058" s="1323" t="s">
        <v>11109</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11596</v>
      </c>
      <c r="C5059" s="1323" t="s">
        <v>11133</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11597</v>
      </c>
      <c r="C5060" s="1323" t="s">
        <v>11109</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11598</v>
      </c>
      <c r="C5061" s="1323" t="s">
        <v>11599</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11600</v>
      </c>
      <c r="C5062" s="1323" t="s">
        <v>11197</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11601</v>
      </c>
      <c r="C5063" s="1323" t="s">
        <v>11602</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11603</v>
      </c>
      <c r="C5064" s="1323" t="s">
        <v>11191</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11604</v>
      </c>
      <c r="C5065" s="1323" t="s">
        <v>11602</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11605</v>
      </c>
      <c r="C5066" s="1323" t="s">
        <v>11292</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11606</v>
      </c>
      <c r="C5067" s="1323" t="s">
        <v>11607</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11608</v>
      </c>
      <c r="C5068" s="1323" t="s">
        <v>11594</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11609</v>
      </c>
      <c r="C5069" s="1323" t="s">
        <v>11594</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11610</v>
      </c>
      <c r="C5070" s="1323" t="s">
        <v>11607</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11611</v>
      </c>
      <c r="C5071" s="1323" t="s">
        <v>11204</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11612</v>
      </c>
      <c r="C5072" s="1323" t="s">
        <v>11048</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11613</v>
      </c>
      <c r="C5073" s="1323" t="s">
        <v>11057</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11614</v>
      </c>
      <c r="C5074" s="1323" t="s">
        <v>11197</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11615</v>
      </c>
      <c r="C5075" s="1323" t="s">
        <v>11066</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11616</v>
      </c>
      <c r="C5076" s="1323" t="s">
        <v>11037</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11617</v>
      </c>
      <c r="C5077" s="1323" t="s">
        <v>11081</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11618</v>
      </c>
      <c r="C5078" s="1323" t="s">
        <v>11066</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11619</v>
      </c>
      <c r="C5079" s="1323" t="s">
        <v>11620</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11621</v>
      </c>
      <c r="C5080" s="1323" t="s">
        <v>11620</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11622</v>
      </c>
      <c r="C5081" s="1323" t="s">
        <v>11582</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11623</v>
      </c>
      <c r="C5082" s="1323" t="s">
        <v>11097</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11624</v>
      </c>
      <c r="C5083" s="1323" t="s">
        <v>11033</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11625</v>
      </c>
      <c r="C5084" s="1323" t="s">
        <v>11090</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11626</v>
      </c>
      <c r="C5085" s="1323" t="s">
        <v>11021</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11627</v>
      </c>
      <c r="C5086" s="1323" t="s">
        <v>11109</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11628</v>
      </c>
      <c r="C5087" s="1323" t="s">
        <v>11539</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11629</v>
      </c>
      <c r="C5088" s="1323" t="s">
        <v>11494</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11630</v>
      </c>
      <c r="C5089" s="1323" t="s">
        <v>11195</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11631</v>
      </c>
      <c r="C5090" s="1323" t="s">
        <v>11525</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11632</v>
      </c>
      <c r="C5091" s="1323" t="s">
        <v>11391</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11633</v>
      </c>
      <c r="C5092" s="1323" t="s">
        <v>11464</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11634</v>
      </c>
      <c r="C5093" s="1323" t="s">
        <v>11635</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11636</v>
      </c>
      <c r="C5094" s="1323" t="s">
        <v>11308</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11637</v>
      </c>
      <c r="C5095" s="1323" t="s">
        <v>11191</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11638</v>
      </c>
      <c r="C5096" s="1323" t="s">
        <v>11320</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11639</v>
      </c>
      <c r="C5097" s="1323" t="s">
        <v>11306</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11640</v>
      </c>
      <c r="C5098" s="1323" t="s">
        <v>11641</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11642</v>
      </c>
      <c r="C5099" s="1323" t="s">
        <v>11059</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11643</v>
      </c>
      <c r="C5100" s="1323" t="s">
        <v>11023</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11644</v>
      </c>
      <c r="C5101" s="1323" t="s">
        <v>11602</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11645</v>
      </c>
      <c r="C5102" s="1323" t="s">
        <v>11602</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11646</v>
      </c>
      <c r="C5103" s="1323" t="s">
        <v>11304</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11647</v>
      </c>
      <c r="C5104" s="1323" t="s">
        <v>11302</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11648</v>
      </c>
      <c r="C5105" s="1323" t="s">
        <v>11308</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11649</v>
      </c>
      <c r="C5106" s="1323" t="s">
        <v>11650</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11651</v>
      </c>
      <c r="C5107" s="1323" t="s">
        <v>11360</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11652</v>
      </c>
      <c r="C5108" s="1323" t="s">
        <v>11489</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11653</v>
      </c>
      <c r="C5109" s="1323" t="s">
        <v>11654</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11655</v>
      </c>
      <c r="C5110" s="1323" t="s">
        <v>11656</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11657</v>
      </c>
      <c r="C5111" s="1323" t="s">
        <v>11658</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11659</v>
      </c>
      <c r="C5112" s="1323" t="s">
        <v>11660</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11661</v>
      </c>
      <c r="C5113" s="1323" t="s">
        <v>11662</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11663</v>
      </c>
      <c r="C5114" s="1323" t="s">
        <v>11664</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11665</v>
      </c>
      <c r="C5115" s="1323" t="s">
        <v>11666</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11667</v>
      </c>
      <c r="C5116" s="1323" t="s">
        <v>11668</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11669</v>
      </c>
      <c r="C5117" s="1323" t="s">
        <v>11670</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11671</v>
      </c>
      <c r="C5118" s="1323" t="s">
        <v>11668</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11672</v>
      </c>
      <c r="C5119" s="1323" t="s">
        <v>11664</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11673</v>
      </c>
      <c r="C5120" s="1323" t="s">
        <v>11674</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11675</v>
      </c>
      <c r="C5121" s="1323" t="s">
        <v>11676</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11677</v>
      </c>
      <c r="C5122" s="1323" t="s">
        <v>11678</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11679</v>
      </c>
      <c r="C5123" s="1323" t="s">
        <v>11680</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11681</v>
      </c>
      <c r="C5124" s="1323" t="s">
        <v>11682</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11683</v>
      </c>
      <c r="C5125" s="1323" t="s">
        <v>11684</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11685</v>
      </c>
      <c r="C5126" s="1323" t="s">
        <v>11686</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11687</v>
      </c>
      <c r="C5127" s="1323" t="s">
        <v>11688</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11689</v>
      </c>
      <c r="C5128" s="1323" t="s">
        <v>11690</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11691</v>
      </c>
      <c r="C5129" s="1323" t="s">
        <v>11692</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11693</v>
      </c>
      <c r="C5130" s="1323" t="s">
        <v>11694</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11695</v>
      </c>
      <c r="C5131" s="1323" t="s">
        <v>11696</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11697</v>
      </c>
      <c r="C5132" s="1323" t="s">
        <v>11654</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11698</v>
      </c>
      <c r="C5133" s="1323" t="s">
        <v>11699</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11700</v>
      </c>
      <c r="C5134" s="1323" t="s">
        <v>11409</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11701</v>
      </c>
      <c r="C5135" s="1323" t="s">
        <v>11702</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11703</v>
      </c>
      <c r="C5136" s="1323" t="s">
        <v>11704</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11705</v>
      </c>
      <c r="C5137" s="1323" t="s">
        <v>11696</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11706</v>
      </c>
      <c r="C5138" s="1323" t="s">
        <v>11707</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11708</v>
      </c>
      <c r="C5139" s="1323" t="s">
        <v>11709</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11710</v>
      </c>
      <c r="C5140" s="1323" t="s">
        <v>11711</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11712</v>
      </c>
      <c r="C5141" s="1323" t="s">
        <v>11713</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11714</v>
      </c>
      <c r="C5142" s="1323" t="s">
        <v>11666</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11715</v>
      </c>
      <c r="C5143" s="1323" t="s">
        <v>11676</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11716</v>
      </c>
      <c r="C5144" s="1323" t="s">
        <v>11717</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11718</v>
      </c>
      <c r="C5145" s="1323" t="s">
        <v>11719</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11720</v>
      </c>
      <c r="C5146" s="1323" t="s">
        <v>11662</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11721</v>
      </c>
      <c r="C5147" s="1323" t="s">
        <v>11660</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11722</v>
      </c>
      <c r="C5148" s="1323" t="s">
        <v>11723</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11724</v>
      </c>
      <c r="C5149" s="1323" t="s">
        <v>11725</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11726</v>
      </c>
      <c r="C5150" s="1323" t="s">
        <v>11727</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11728</v>
      </c>
      <c r="C5151" s="1323" t="s">
        <v>11725</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11729</v>
      </c>
      <c r="C5152" s="1323" t="s">
        <v>11730</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11731</v>
      </c>
      <c r="C5153" s="1323" t="s">
        <v>11732</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11733</v>
      </c>
      <c r="C5154" s="1323" t="s">
        <v>11734</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11735</v>
      </c>
      <c r="C5155" s="1323" t="s">
        <v>11736</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11737</v>
      </c>
      <c r="C5156" s="1323" t="s">
        <v>11723</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11738</v>
      </c>
      <c r="C5157" s="1323" t="s">
        <v>11739</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11740</v>
      </c>
      <c r="C5158" s="1323" t="s">
        <v>11741</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11742</v>
      </c>
      <c r="C5159" s="1323" t="s">
        <v>11743</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11744</v>
      </c>
      <c r="C5160" s="1323" t="s">
        <v>11745</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11746</v>
      </c>
      <c r="C5161" s="1323" t="s">
        <v>11747</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11748</v>
      </c>
      <c r="C5162" s="1323" t="s">
        <v>11749</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11750</v>
      </c>
      <c r="C5163" s="1323" t="s">
        <v>11741</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11751</v>
      </c>
      <c r="C5164" s="1323" t="s">
        <v>11752</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11753</v>
      </c>
      <c r="C5165" s="1323" t="s">
        <v>11754</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11755</v>
      </c>
      <c r="C5166" s="1323" t="s">
        <v>11756</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11757</v>
      </c>
      <c r="C5167" s="1323" t="s">
        <v>11758</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11759</v>
      </c>
      <c r="C5168" s="1323" t="s">
        <v>11754</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11760</v>
      </c>
      <c r="C5169" s="1323" t="s">
        <v>11754</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11761</v>
      </c>
      <c r="C5170" s="1323" t="s">
        <v>11762</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11763</v>
      </c>
      <c r="C5171" s="1323" t="s">
        <v>11764</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11765</v>
      </c>
      <c r="C5172" s="1323" t="s">
        <v>11752</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11766</v>
      </c>
      <c r="C5173" s="1323" t="s">
        <v>11752</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11767</v>
      </c>
      <c r="C5174" s="1323" t="s">
        <v>11768</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11769</v>
      </c>
      <c r="C5175" s="1323" t="s">
        <v>11770</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11771</v>
      </c>
      <c r="C5176" s="1323" t="s">
        <v>11772</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11773</v>
      </c>
      <c r="C5177" s="1323" t="s">
        <v>11774</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11775</v>
      </c>
      <c r="C5178" s="1323" t="s">
        <v>11776</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11777</v>
      </c>
      <c r="C5179" s="1323" t="s">
        <v>11778</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11779</v>
      </c>
      <c r="C5180" s="1323" t="s">
        <v>11780</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11781</v>
      </c>
      <c r="C5181" s="1323" t="s">
        <v>11782</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11783</v>
      </c>
      <c r="C5182" s="1323" t="s">
        <v>11782</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11784</v>
      </c>
      <c r="C5183" s="1323" t="s">
        <v>11785</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11786</v>
      </c>
      <c r="C5184" s="1323" t="s">
        <v>11787</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11788</v>
      </c>
      <c r="C5185" s="1323" t="s">
        <v>11789</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11790</v>
      </c>
      <c r="C5186" s="1323" t="s">
        <v>11791</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11792</v>
      </c>
      <c r="C5187" s="1323" t="s">
        <v>11793</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11794</v>
      </c>
      <c r="C5188" s="1323" t="s">
        <v>11795</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11796</v>
      </c>
      <c r="C5189" s="1323" t="s">
        <v>11797</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11798</v>
      </c>
      <c r="C5190" s="1323" t="s">
        <v>11799</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11800</v>
      </c>
      <c r="C5191" s="1323" t="s">
        <v>11801</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11802</v>
      </c>
      <c r="C5192" s="1323" t="s">
        <v>11803</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11804</v>
      </c>
      <c r="C5193" s="1323" t="s">
        <v>11803</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11805</v>
      </c>
      <c r="C5194" s="1323" t="s">
        <v>11806</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11807</v>
      </c>
      <c r="C5195" s="1323" t="s">
        <v>11793</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11808</v>
      </c>
      <c r="C5196" s="1323" t="s">
        <v>11803</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11809</v>
      </c>
      <c r="C5197" s="1323" t="s">
        <v>11803</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11810</v>
      </c>
      <c r="C5198" s="1323" t="s">
        <v>11793</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11811</v>
      </c>
      <c r="C5199" s="1323" t="s">
        <v>11812</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11813</v>
      </c>
      <c r="C5200" s="1323" t="s">
        <v>11799</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11814</v>
      </c>
      <c r="C5201" s="1323" t="s">
        <v>11815</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11816</v>
      </c>
      <c r="C5202" s="1323" t="s">
        <v>11817</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11818</v>
      </c>
      <c r="C5203" s="1323" t="s">
        <v>11815</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11819</v>
      </c>
      <c r="C5204" s="1323" t="s">
        <v>11795</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11820</v>
      </c>
      <c r="C5205" s="1323" t="s">
        <v>11821</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11822</v>
      </c>
      <c r="C5206" s="1323" t="s">
        <v>11799</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11823</v>
      </c>
      <c r="C5207" s="1323" t="s">
        <v>11824</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11825</v>
      </c>
      <c r="C5208" s="1323" t="s">
        <v>11791</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11826</v>
      </c>
      <c r="C5209" s="1323" t="s">
        <v>11793</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11827</v>
      </c>
      <c r="C5210" s="1323" t="s">
        <v>11799</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11828</v>
      </c>
      <c r="C5211" s="1323" t="s">
        <v>11793</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11829</v>
      </c>
      <c r="C5212" s="1323" t="s">
        <v>11801</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11830</v>
      </c>
      <c r="C5213" s="1323" t="s">
        <v>11831</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11832</v>
      </c>
      <c r="C5214" s="1323" t="s">
        <v>11787</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11833</v>
      </c>
      <c r="C5215" s="1323" t="s">
        <v>11834</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11835</v>
      </c>
      <c r="C5216" s="1323" t="s">
        <v>11815</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11836</v>
      </c>
      <c r="C5217" s="1323" t="s">
        <v>11837</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11838</v>
      </c>
      <c r="C5218" s="1323" t="s">
        <v>11806</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11839</v>
      </c>
      <c r="C5219" s="1323" t="s">
        <v>11806</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11840</v>
      </c>
      <c r="C5220" s="1323" t="s">
        <v>11806</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11841</v>
      </c>
      <c r="C5221" s="1323" t="s">
        <v>11824</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11842</v>
      </c>
      <c r="C5222" s="1323" t="s">
        <v>11793</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11843</v>
      </c>
      <c r="C5223" s="1323" t="s">
        <v>11844</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11845</v>
      </c>
      <c r="C5224" s="1323" t="s">
        <v>11846</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11847</v>
      </c>
      <c r="C5225" s="1323" t="s">
        <v>11846</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11848</v>
      </c>
      <c r="C5226" s="1323" t="s">
        <v>11849</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11850</v>
      </c>
      <c r="C5227" s="1323" t="s">
        <v>11851</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11852</v>
      </c>
      <c r="C5228" s="1323" t="s">
        <v>11853</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11854</v>
      </c>
      <c r="C5229" s="1323" t="s">
        <v>11855</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11856</v>
      </c>
      <c r="C5230" s="1323" t="s">
        <v>11711</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11857</v>
      </c>
      <c r="C5231" s="1323" t="s">
        <v>11858</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11859</v>
      </c>
      <c r="C5232" s="1323" t="s">
        <v>11860</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11861</v>
      </c>
      <c r="C5233" s="1323" t="s">
        <v>11674</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11862</v>
      </c>
      <c r="C5234" s="1323" t="s">
        <v>11696</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11863</v>
      </c>
      <c r="C5235" s="1323" t="s">
        <v>11719</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11864</v>
      </c>
      <c r="C5236" s="1323" t="s">
        <v>11865</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11866</v>
      </c>
      <c r="C5237" s="1323" t="s">
        <v>11867</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11868</v>
      </c>
      <c r="C5238" s="1323" t="s">
        <v>11662</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11869</v>
      </c>
      <c r="C5239" s="1323" t="s">
        <v>11734</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11870</v>
      </c>
      <c r="C5240" s="1323" t="s">
        <v>11871</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11872</v>
      </c>
      <c r="C5241" s="1323" t="s">
        <v>11873</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11874</v>
      </c>
      <c r="C5242" s="1323" t="s">
        <v>11660</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11875</v>
      </c>
      <c r="C5243" s="1323" t="s">
        <v>11876</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11877</v>
      </c>
      <c r="C5244" s="1323" t="s">
        <v>11878</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11879</v>
      </c>
      <c r="C5245" s="1323" t="s">
        <v>11764</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11880</v>
      </c>
      <c r="C5246" s="1323" t="s">
        <v>11876</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11881</v>
      </c>
      <c r="C5247" s="1323" t="s">
        <v>11743</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11882</v>
      </c>
      <c r="C5248" s="1323" t="s">
        <v>11768</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11883</v>
      </c>
      <c r="C5249" s="1323" t="s">
        <v>11884</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11885</v>
      </c>
      <c r="C5250" s="1323" t="s">
        <v>11886</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11887</v>
      </c>
      <c r="C5251" s="1323" t="s">
        <v>11764</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11888</v>
      </c>
      <c r="C5252" s="1323" t="s">
        <v>11756</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11889</v>
      </c>
      <c r="C5253" s="1323" t="s">
        <v>11890</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11891</v>
      </c>
      <c r="C5254" s="1323" t="s">
        <v>11764</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11892</v>
      </c>
      <c r="C5255" s="1323" t="s">
        <v>11893</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11894</v>
      </c>
      <c r="C5256" s="1323" t="s">
        <v>11895</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11896</v>
      </c>
      <c r="C5257" s="1323" t="s">
        <v>11897</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11898</v>
      </c>
      <c r="C5258" s="1323" t="s">
        <v>11789</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11899</v>
      </c>
      <c r="C5259" s="1323" t="s">
        <v>11900</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11901</v>
      </c>
      <c r="C5260" s="1323" t="s">
        <v>11902</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11903</v>
      </c>
      <c r="C5261" s="1323" t="s">
        <v>11904</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11905</v>
      </c>
      <c r="C5262" s="1323" t="s">
        <v>11906</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11907</v>
      </c>
      <c r="C5263" s="1323" t="s">
        <v>11789</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11908</v>
      </c>
      <c r="C5264" s="1323" t="s">
        <v>11793</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11909</v>
      </c>
      <c r="C5265" s="1323" t="s">
        <v>11910</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11911</v>
      </c>
      <c r="C5266" s="1323" t="s">
        <v>11912</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11913</v>
      </c>
      <c r="C5267" s="1323" t="s">
        <v>11895</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11914</v>
      </c>
      <c r="C5268" s="1323" t="s">
        <v>11915</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11916</v>
      </c>
      <c r="C5269" s="1323" t="s">
        <v>11851</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11917</v>
      </c>
      <c r="C5270" s="1323" t="s">
        <v>11918</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11919</v>
      </c>
      <c r="C5271" s="1323" t="s">
        <v>11806</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11920</v>
      </c>
      <c r="C5272" s="1323" t="s">
        <v>11921</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11922</v>
      </c>
      <c r="C5273" s="1323" t="s">
        <v>11900</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11923</v>
      </c>
      <c r="C5274" s="1323" t="s">
        <v>11921</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11924</v>
      </c>
      <c r="C5275" s="1323" t="s">
        <v>11795</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11925</v>
      </c>
      <c r="C5276" s="1323" t="s">
        <v>11799</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11926</v>
      </c>
      <c r="C5277" s="1323" t="s">
        <v>11789</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11927</v>
      </c>
      <c r="C5278" s="1323" t="s">
        <v>11793</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11928</v>
      </c>
      <c r="C5279" s="1323" t="s">
        <v>11837</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11929</v>
      </c>
      <c r="C5280" s="1323" t="s">
        <v>11930</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11931</v>
      </c>
      <c r="C5281" s="1323" t="s">
        <v>11897</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11932</v>
      </c>
      <c r="C5282" s="1323" t="s">
        <v>11780</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11933</v>
      </c>
      <c r="C5283" s="1323" t="s">
        <v>11831</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11934</v>
      </c>
      <c r="C5284" s="1323" t="s">
        <v>11831</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11935</v>
      </c>
      <c r="C5285" s="1323" t="s">
        <v>11936</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11937</v>
      </c>
      <c r="C5286" s="1323" t="s">
        <v>11831</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11938</v>
      </c>
      <c r="C5287" s="1323" t="s">
        <v>11918</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11939</v>
      </c>
      <c r="C5288" s="1323" t="s">
        <v>11918</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11940</v>
      </c>
      <c r="C5289" s="1323" t="s">
        <v>11941</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11942</v>
      </c>
      <c r="C5290" s="1323" t="s">
        <v>11851</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11943</v>
      </c>
      <c r="C5291" s="1323" t="s">
        <v>11944</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11945</v>
      </c>
      <c r="C5292" s="1323" t="s">
        <v>11946</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11947</v>
      </c>
      <c r="C5293" s="1323" t="s">
        <v>11948</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11949</v>
      </c>
      <c r="C5294" s="1323" t="s">
        <v>11950</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11951</v>
      </c>
      <c r="C5295" s="1323" t="s">
        <v>11952</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11953</v>
      </c>
      <c r="C5296" s="1323" t="s">
        <v>11801</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11954</v>
      </c>
      <c r="C5297" s="1323" t="s">
        <v>11955</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11956</v>
      </c>
      <c r="C5298" s="1323" t="s">
        <v>11957</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11958</v>
      </c>
      <c r="C5299" s="1323" t="s">
        <v>11959</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11960</v>
      </c>
      <c r="C5300" s="1323" t="s">
        <v>11912</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11961</v>
      </c>
      <c r="C5301" s="1323" t="s">
        <v>11962</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11963</v>
      </c>
      <c r="C5302" s="1323" t="s">
        <v>11964</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11965</v>
      </c>
      <c r="C5303" s="1323" t="s">
        <v>11952</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11966</v>
      </c>
      <c r="C5304" s="1323" t="s">
        <v>11967</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11968</v>
      </c>
      <c r="C5305" s="1323" t="s">
        <v>11969</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11970</v>
      </c>
      <c r="C5306" s="1323" t="s">
        <v>11971</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11972</v>
      </c>
      <c r="C5307" s="1323" t="s">
        <v>11973</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11974</v>
      </c>
      <c r="C5308" s="1323" t="s">
        <v>11975</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11976</v>
      </c>
      <c r="C5309" s="1323" t="s">
        <v>11977</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11978</v>
      </c>
      <c r="C5310" s="1323" t="s">
        <v>11979</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11980</v>
      </c>
      <c r="C5311" s="1323" t="s">
        <v>11981</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11982</v>
      </c>
      <c r="C5312" s="1323" t="s">
        <v>11983</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11984</v>
      </c>
      <c r="C5313" s="1323" t="s">
        <v>11985</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11986</v>
      </c>
      <c r="C5314" s="1323" t="s">
        <v>11987</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11988</v>
      </c>
      <c r="C5315" s="1323" t="s">
        <v>11989</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11990</v>
      </c>
      <c r="C5316" s="1323" t="s">
        <v>11991</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11992</v>
      </c>
      <c r="C5317" s="1323" t="s">
        <v>11993</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11994</v>
      </c>
      <c r="C5318" s="1323" t="s">
        <v>11995</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11996</v>
      </c>
      <c r="C5319" s="1323" t="s">
        <v>11989</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11997</v>
      </c>
      <c r="C5320" s="1323" t="s">
        <v>11998</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11999</v>
      </c>
      <c r="C5321" s="1323" t="s">
        <v>12000</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12001</v>
      </c>
      <c r="C5322" s="1323" t="s">
        <v>12002</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12003</v>
      </c>
      <c r="C5323" s="1323" t="s">
        <v>11991</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12004</v>
      </c>
      <c r="C5324" s="1323" t="s">
        <v>12005</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12006</v>
      </c>
      <c r="C5325" s="1323" t="s">
        <v>12007</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12008</v>
      </c>
      <c r="C5326" s="1323" t="s">
        <v>12009</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12010</v>
      </c>
      <c r="C5327" s="1323" t="s">
        <v>12002</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12011</v>
      </c>
      <c r="C5328" s="1323" t="s">
        <v>11998</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12012</v>
      </c>
      <c r="C5329" s="1323" t="s">
        <v>12013</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12014</v>
      </c>
      <c r="C5330" s="1323" t="s">
        <v>12015</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12016</v>
      </c>
      <c r="C5331" s="1323" t="s">
        <v>12017</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12018</v>
      </c>
      <c r="C5332" s="1323" t="s">
        <v>12019</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12020</v>
      </c>
      <c r="C5333" s="1323" t="s">
        <v>12021</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12022</v>
      </c>
      <c r="C5334" s="1323" t="s">
        <v>12023</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12024</v>
      </c>
      <c r="C5335" s="1323" t="s">
        <v>12009</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12025</v>
      </c>
      <c r="C5336" s="1323" t="s">
        <v>12026</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12027</v>
      </c>
      <c r="C5337" s="1323" t="s">
        <v>12028</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12029</v>
      </c>
      <c r="C5338" s="1323" t="s">
        <v>12030</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12031</v>
      </c>
      <c r="C5339" s="1323" t="s">
        <v>12032</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12033</v>
      </c>
      <c r="C5340" s="1323" t="s">
        <v>12034</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12035</v>
      </c>
      <c r="C5341" s="1323" t="s">
        <v>12036</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12037</v>
      </c>
      <c r="C5342" s="1323" t="s">
        <v>12038</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12039</v>
      </c>
      <c r="C5343" s="1323" t="s">
        <v>12040</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12041</v>
      </c>
      <c r="C5344" s="1323" t="s">
        <v>12032</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12042</v>
      </c>
      <c r="C5345" s="1323" t="s">
        <v>12043</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12044</v>
      </c>
      <c r="C5346" s="1323" t="s">
        <v>12045</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12046</v>
      </c>
      <c r="C5347" s="1323" t="s">
        <v>12047</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12048</v>
      </c>
      <c r="C5348" s="1323" t="s">
        <v>12049</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12050</v>
      </c>
      <c r="C5349" s="1323" t="s">
        <v>12051</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12052</v>
      </c>
      <c r="C5350" s="1323" t="s">
        <v>12053</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12054</v>
      </c>
      <c r="C5351" s="1323" t="s">
        <v>12055</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12056</v>
      </c>
      <c r="C5352" s="1323" t="s">
        <v>12057</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12058</v>
      </c>
      <c r="C5353" s="1323" t="s">
        <v>12059</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12060</v>
      </c>
      <c r="C5354" s="1323" t="s">
        <v>12061</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12062</v>
      </c>
      <c r="C5355" s="1323" t="s">
        <v>11998</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12063</v>
      </c>
      <c r="C5356" s="1323" t="s">
        <v>12064</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12065</v>
      </c>
      <c r="C5357" s="1323" t="s">
        <v>12066</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12067</v>
      </c>
      <c r="C5358" s="1323" t="s">
        <v>12068</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12069</v>
      </c>
      <c r="C5359" s="1323" t="s">
        <v>12028</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12070</v>
      </c>
      <c r="C5360" s="1323" t="s">
        <v>12061</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12071</v>
      </c>
      <c r="C5361" s="1323" t="s">
        <v>12026</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12072</v>
      </c>
      <c r="C5362" s="1323" t="s">
        <v>12073</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12074</v>
      </c>
      <c r="C5363" s="1323" t="s">
        <v>12075</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12076</v>
      </c>
      <c r="C5364" s="1323" t="s">
        <v>12009</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12077</v>
      </c>
      <c r="C5365" s="1323" t="s">
        <v>12026</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12078</v>
      </c>
      <c r="C5366" s="1323" t="s">
        <v>12017</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12079</v>
      </c>
      <c r="C5367" s="1323" t="s">
        <v>12061</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12080</v>
      </c>
      <c r="C5368" s="1323" t="s">
        <v>12064</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12081</v>
      </c>
      <c r="C5369" s="1323" t="s">
        <v>12082</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12083</v>
      </c>
      <c r="C5370" s="1323" t="s">
        <v>12007</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12084</v>
      </c>
      <c r="C5371" s="1323" t="s">
        <v>12085</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12086</v>
      </c>
      <c r="C5372" s="1323" t="s">
        <v>12087</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12088</v>
      </c>
      <c r="C5373" s="1323" t="s">
        <v>12089</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12090</v>
      </c>
      <c r="C5374" s="1323" t="s">
        <v>11995</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12091</v>
      </c>
      <c r="C5375" s="1323" t="s">
        <v>11995</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12092</v>
      </c>
      <c r="C5376" s="1323" t="s">
        <v>12093</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12094</v>
      </c>
      <c r="C5377" s="1323" t="s">
        <v>12095</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12096</v>
      </c>
      <c r="C5378" s="1323" t="s">
        <v>11991</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12097</v>
      </c>
      <c r="C5379" s="1323" t="s">
        <v>12098</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12099</v>
      </c>
      <c r="C5380" s="1323" t="s">
        <v>12100</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12101</v>
      </c>
      <c r="C5381" s="1323" t="s">
        <v>11993</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12102</v>
      </c>
      <c r="C5382" s="1323" t="s">
        <v>12059</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12103</v>
      </c>
      <c r="C5383" s="1323" t="s">
        <v>12104</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12105</v>
      </c>
      <c r="C5384" s="1323" t="s">
        <v>12106</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12107</v>
      </c>
      <c r="C5385" s="1323" t="s">
        <v>12108</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12109</v>
      </c>
      <c r="C5386" s="1323" t="s">
        <v>12110</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12111</v>
      </c>
      <c r="C5387" s="1323" t="s">
        <v>12112</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12113</v>
      </c>
      <c r="C5388" s="1323" t="s">
        <v>12114</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12115</v>
      </c>
      <c r="C5389" s="1323" t="s">
        <v>12116</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12117</v>
      </c>
      <c r="C5390" s="1323" t="s">
        <v>12118</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12119</v>
      </c>
      <c r="C5391" s="1323" t="s">
        <v>12118</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12120</v>
      </c>
      <c r="C5392" s="1323" t="s">
        <v>12121</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12122</v>
      </c>
      <c r="C5393" s="1323" t="s">
        <v>12123</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12124</v>
      </c>
      <c r="C5394" s="1323" t="s">
        <v>12125</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12126</v>
      </c>
      <c r="C5395" s="1323" t="s">
        <v>12127</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12128</v>
      </c>
      <c r="C5396" s="1323" t="s">
        <v>12129</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12130</v>
      </c>
      <c r="C5397" s="1323" t="s">
        <v>12131</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12132</v>
      </c>
      <c r="C5398" s="1323" t="s">
        <v>12133</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12134</v>
      </c>
      <c r="C5399" s="1323" t="s">
        <v>12135</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12136</v>
      </c>
      <c r="C5400" s="1323" t="s">
        <v>12137</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12138</v>
      </c>
      <c r="C5401" s="1323" t="s">
        <v>12139</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12140</v>
      </c>
      <c r="C5402" s="1323" t="s">
        <v>12121</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12141</v>
      </c>
      <c r="C5403" s="1323" t="s">
        <v>12142</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12143</v>
      </c>
      <c r="C5404" s="1323" t="s">
        <v>12144</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12145</v>
      </c>
      <c r="C5405" s="1323" t="s">
        <v>12146</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12147</v>
      </c>
      <c r="C5406" s="1323" t="s">
        <v>12148</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12149</v>
      </c>
      <c r="C5407" s="1323" t="s">
        <v>12150</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12151</v>
      </c>
      <c r="C5408" s="1323" t="s">
        <v>12152</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12153</v>
      </c>
      <c r="C5409" s="1323" t="s">
        <v>12154</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12155</v>
      </c>
      <c r="C5410" s="1323" t="s">
        <v>12156</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12157</v>
      </c>
      <c r="C5411" s="1323" t="s">
        <v>12158</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12159</v>
      </c>
      <c r="C5412" s="1323" t="s">
        <v>12160</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12161</v>
      </c>
      <c r="C5413" s="1323" t="s">
        <v>12162</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12163</v>
      </c>
      <c r="C5414" s="1323" t="s">
        <v>12162</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12164</v>
      </c>
      <c r="C5415" s="1323" t="s">
        <v>12165</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12166</v>
      </c>
      <c r="C5416" s="1323" t="s">
        <v>12148</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12167</v>
      </c>
      <c r="C5417" s="1323" t="s">
        <v>12168</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12169</v>
      </c>
      <c r="C5418" s="1323" t="s">
        <v>12170</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12171</v>
      </c>
      <c r="C5419" s="1323" t="s">
        <v>12172</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12173</v>
      </c>
      <c r="C5420" s="1323" t="s">
        <v>12158</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12174</v>
      </c>
      <c r="C5421" s="1323" t="s">
        <v>12175</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12176</v>
      </c>
      <c r="C5422" s="1323" t="s">
        <v>12177</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12178</v>
      </c>
      <c r="C5423" s="1323" t="s">
        <v>12179</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12180</v>
      </c>
      <c r="C5424" s="1323" t="s">
        <v>12181</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12182</v>
      </c>
      <c r="C5425" s="1323" t="s">
        <v>12183</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12184</v>
      </c>
      <c r="C5426" s="1323" t="s">
        <v>12183</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12185</v>
      </c>
      <c r="C5427" s="1323" t="s">
        <v>12181</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12186</v>
      </c>
      <c r="C5428" s="1323" t="s">
        <v>12187</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12188</v>
      </c>
      <c r="C5429" s="1323" t="s">
        <v>12189</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12190</v>
      </c>
      <c r="C5430" s="1323" t="s">
        <v>12191</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12192</v>
      </c>
      <c r="C5431" s="1323" t="s">
        <v>12193</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12194</v>
      </c>
      <c r="C5432" s="1323" t="s">
        <v>12195</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12196</v>
      </c>
      <c r="C5433" s="1323" t="s">
        <v>12197</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12198</v>
      </c>
      <c r="C5434" s="1323" t="s">
        <v>12199</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12200</v>
      </c>
      <c r="C5435" s="1323" t="s">
        <v>12201</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12202</v>
      </c>
      <c r="C5436" s="1323" t="s">
        <v>12203</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12204</v>
      </c>
      <c r="C5437" s="1323" t="s">
        <v>12205</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12206</v>
      </c>
      <c r="C5438" s="1323" t="s">
        <v>12207</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12208</v>
      </c>
      <c r="C5439" s="1323" t="s">
        <v>12209</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12210</v>
      </c>
      <c r="C5440" s="1323" t="s">
        <v>12211</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12212</v>
      </c>
      <c r="C5441" s="1323" t="s">
        <v>12213</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12214</v>
      </c>
      <c r="C5442" s="1323" t="s">
        <v>12215</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12216</v>
      </c>
      <c r="C5443" s="1323" t="s">
        <v>12217</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12218</v>
      </c>
      <c r="C5444" s="1323" t="s">
        <v>12219</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12220</v>
      </c>
      <c r="C5445" s="1323" t="s">
        <v>12221</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12222</v>
      </c>
      <c r="C5446" s="1323" t="s">
        <v>12223</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12224</v>
      </c>
      <c r="C5447" s="1323" t="s">
        <v>12205</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12225</v>
      </c>
      <c r="C5448" s="1323" t="s">
        <v>12226</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12227</v>
      </c>
      <c r="C5449" s="1323" t="s">
        <v>12228</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12229</v>
      </c>
      <c r="C5450" s="1323" t="s">
        <v>12230</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12231</v>
      </c>
      <c r="C5451" s="1323" t="s">
        <v>12232</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12233</v>
      </c>
      <c r="C5452" s="1323" t="s">
        <v>12232</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12234</v>
      </c>
      <c r="C5453" s="1323" t="s">
        <v>12235</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12236</v>
      </c>
      <c r="C5454" s="1323" t="s">
        <v>12237</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12238</v>
      </c>
      <c r="C5455" s="1323" t="s">
        <v>12213</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12239</v>
      </c>
      <c r="C5456" s="1323" t="s">
        <v>12240</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12241</v>
      </c>
      <c r="C5457" s="1323" t="s">
        <v>12242</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12243</v>
      </c>
      <c r="C5458" s="1323" t="s">
        <v>12244</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12245</v>
      </c>
      <c r="C5459" s="1323" t="s">
        <v>12246</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12247</v>
      </c>
      <c r="C5460" s="1323" t="s">
        <v>12248</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12249</v>
      </c>
      <c r="C5461" s="1323" t="s">
        <v>12250</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12251</v>
      </c>
      <c r="C5462" s="1323" t="s">
        <v>12252</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12253</v>
      </c>
      <c r="C5463" s="1323" t="s">
        <v>12254</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12255</v>
      </c>
      <c r="C5464" s="1323" t="s">
        <v>12256</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12257</v>
      </c>
      <c r="C5465" s="1323" t="s">
        <v>12258</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12259</v>
      </c>
      <c r="C5466" s="1323" t="s">
        <v>12260</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12261</v>
      </c>
      <c r="C5467" s="1323" t="s">
        <v>12262</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12263</v>
      </c>
      <c r="C5468" s="1323" t="s">
        <v>12264</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12265</v>
      </c>
      <c r="C5469" s="1323" t="s">
        <v>12266</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12267</v>
      </c>
      <c r="C5470" s="1323" t="s">
        <v>12268</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12269</v>
      </c>
      <c r="C5471" s="1323" t="s">
        <v>12270</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12271</v>
      </c>
      <c r="C5472" s="1323" t="s">
        <v>12272</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12273</v>
      </c>
      <c r="C5473" s="1323" t="s">
        <v>12274</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12275</v>
      </c>
      <c r="C5474" s="1323" t="s">
        <v>12276</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12277</v>
      </c>
      <c r="C5475" s="1323" t="s">
        <v>12278</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12279</v>
      </c>
      <c r="C5476" s="1323" t="s">
        <v>12280</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12281</v>
      </c>
      <c r="C5477" s="1323" t="s">
        <v>12282</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12283</v>
      </c>
      <c r="C5478" s="1323" t="s">
        <v>12284</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12285</v>
      </c>
      <c r="C5479" s="1323" t="s">
        <v>12286</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12287</v>
      </c>
      <c r="C5480" s="1323" t="s">
        <v>12288</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12289</v>
      </c>
      <c r="C5481" s="1323" t="s">
        <v>12290</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12291</v>
      </c>
      <c r="C5482" s="1323" t="s">
        <v>12292</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12293</v>
      </c>
      <c r="C5483" s="1323" t="s">
        <v>12294</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12295</v>
      </c>
      <c r="C5484" s="1323" t="s">
        <v>12296</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12297</v>
      </c>
      <c r="C5485" s="1323" t="s">
        <v>12298</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12299</v>
      </c>
      <c r="C5486" s="1323" t="s">
        <v>12300</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12301</v>
      </c>
      <c r="C5487" s="1323" t="s">
        <v>12302</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12303</v>
      </c>
      <c r="C5488" s="1323" t="s">
        <v>12304</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12305</v>
      </c>
      <c r="C5489" s="1323" t="s">
        <v>12306</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12307</v>
      </c>
      <c r="C5490" s="1323" t="s">
        <v>12308</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12309</v>
      </c>
      <c r="C5491" s="1323" t="s">
        <v>12310</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12311</v>
      </c>
      <c r="C5492" s="1323" t="s">
        <v>12312</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12313</v>
      </c>
      <c r="C5493" s="1323" t="s">
        <v>12314</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12315</v>
      </c>
      <c r="C5494" s="1323" t="s">
        <v>12316</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12317</v>
      </c>
      <c r="C5495" s="1323" t="s">
        <v>12318</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12319</v>
      </c>
      <c r="C5496" s="1323" t="s">
        <v>12320</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12321</v>
      </c>
      <c r="C5497" s="1323" t="s">
        <v>12322</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12323</v>
      </c>
      <c r="C5498" s="1323" t="s">
        <v>12324</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12325</v>
      </c>
      <c r="C5499" s="1323" t="s">
        <v>12326</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12327</v>
      </c>
      <c r="C5500" s="1323" t="s">
        <v>12328</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12329</v>
      </c>
      <c r="C5501" s="1323" t="s">
        <v>12330</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12331</v>
      </c>
      <c r="C5502" s="1323" t="s">
        <v>12332</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12333</v>
      </c>
      <c r="C5503" s="1323" t="s">
        <v>12334</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12335</v>
      </c>
      <c r="C5504" s="1323" t="s">
        <v>12336</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12337</v>
      </c>
      <c r="C5505" s="1323" t="s">
        <v>12338</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12339</v>
      </c>
      <c r="C5506" s="1323" t="s">
        <v>12340</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12341</v>
      </c>
      <c r="C5507" s="1323" t="s">
        <v>12342</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12343</v>
      </c>
      <c r="C5508" s="1323" t="s">
        <v>12340</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12344</v>
      </c>
      <c r="C5509" s="1323" t="s">
        <v>12345</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12346</v>
      </c>
      <c r="C5510" s="1323" t="s">
        <v>12347</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12348</v>
      </c>
      <c r="C5511" s="1323" t="s">
        <v>12349</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12350</v>
      </c>
      <c r="C5512" s="1323" t="s">
        <v>12351</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12352</v>
      </c>
      <c r="C5513" s="1323" t="s">
        <v>12353</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12354</v>
      </c>
      <c r="C5514" s="1323" t="s">
        <v>12355</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12356</v>
      </c>
      <c r="C5515" s="1323" t="s">
        <v>12357</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12358</v>
      </c>
      <c r="C5516" s="1323" t="s">
        <v>12359</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12360</v>
      </c>
      <c r="C5517" s="1323" t="s">
        <v>12361</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12362</v>
      </c>
      <c r="C5518" s="1323" t="s">
        <v>12363</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12364</v>
      </c>
      <c r="C5519" s="1323" t="s">
        <v>12336</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12365</v>
      </c>
      <c r="C5520" s="1323" t="s">
        <v>12366</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12367</v>
      </c>
      <c r="C5521" s="1323" t="s">
        <v>12368</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12369</v>
      </c>
      <c r="C5522" s="1323" t="s">
        <v>12370</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12371</v>
      </c>
      <c r="C5523" s="1323" t="s">
        <v>12372</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12373</v>
      </c>
      <c r="C5524" s="1323" t="s">
        <v>12374</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12375</v>
      </c>
      <c r="C5525" s="1323" t="s">
        <v>12376</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12377</v>
      </c>
      <c r="C5526" s="1323" t="s">
        <v>12378</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12379</v>
      </c>
      <c r="C5527" s="1323" t="s">
        <v>12363</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12380</v>
      </c>
      <c r="C5528" s="1323" t="s">
        <v>12381</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12382</v>
      </c>
      <c r="C5529" s="1323" t="s">
        <v>12376</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12383</v>
      </c>
      <c r="C5530" s="1323" t="s">
        <v>12384</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12385</v>
      </c>
      <c r="C5531" s="1323" t="s">
        <v>12381</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12386</v>
      </c>
      <c r="C5532" s="1323" t="s">
        <v>12376</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12387</v>
      </c>
      <c r="C5533" s="1323" t="s">
        <v>12363</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12388</v>
      </c>
      <c r="C5534" s="1323" t="s">
        <v>12389</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12390</v>
      </c>
      <c r="C5535" s="1323" t="s">
        <v>12378</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12391</v>
      </c>
      <c r="C5536" s="1323" t="s">
        <v>12392</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12393</v>
      </c>
      <c r="C5537" s="1323" t="s">
        <v>12394</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12395</v>
      </c>
      <c r="C5538" s="1323" t="s">
        <v>12396</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12397</v>
      </c>
      <c r="C5539" s="1323" t="s">
        <v>12363</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12398</v>
      </c>
      <c r="C5540" s="1323" t="s">
        <v>12345</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12399</v>
      </c>
      <c r="C5541" s="1323" t="s">
        <v>12400</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12401</v>
      </c>
      <c r="C5542" s="1323" t="s">
        <v>12363</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12402</v>
      </c>
      <c r="C5543" s="1323" t="s">
        <v>12403</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12404</v>
      </c>
      <c r="C5544" s="1323" t="s">
        <v>12405</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12406</v>
      </c>
      <c r="C5545" s="1323" t="s">
        <v>12340</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12407</v>
      </c>
      <c r="C5546" s="1323" t="s">
        <v>12359</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12408</v>
      </c>
      <c r="C5547" s="1323" t="s">
        <v>12409</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12410</v>
      </c>
      <c r="C5548" s="1323" t="s">
        <v>12342</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12411</v>
      </c>
      <c r="C5549" s="1323" t="s">
        <v>12368</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12412</v>
      </c>
      <c r="C5550" s="1323" t="s">
        <v>12413</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12414</v>
      </c>
      <c r="C5551" s="1323" t="s">
        <v>12415</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12416</v>
      </c>
      <c r="C5552" s="1323" t="s">
        <v>12340</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12417</v>
      </c>
      <c r="C5553" s="1323" t="s">
        <v>12338</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12418</v>
      </c>
      <c r="C5554" s="1323" t="s">
        <v>12419</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12420</v>
      </c>
      <c r="C5555" s="1323" t="s">
        <v>12396</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12421</v>
      </c>
      <c r="C5556" s="1323" t="s">
        <v>12361</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12422</v>
      </c>
      <c r="C5557" s="1323" t="s">
        <v>12423</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12424</v>
      </c>
      <c r="C5558" s="1323" t="s">
        <v>12336</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12425</v>
      </c>
      <c r="C5559" s="1323" t="s">
        <v>12426</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12427</v>
      </c>
      <c r="C5560" s="1323" t="s">
        <v>12428</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12429</v>
      </c>
      <c r="C5561" s="1323" t="s">
        <v>12430</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12431</v>
      </c>
      <c r="C5562" s="1323" t="s">
        <v>12432</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12433</v>
      </c>
      <c r="C5563" s="1323" t="s">
        <v>12434</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12435</v>
      </c>
      <c r="C5564" s="1323" t="s">
        <v>12436</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12437</v>
      </c>
      <c r="C5565" s="1323" t="s">
        <v>12438</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12439</v>
      </c>
      <c r="C5566" s="1323" t="s">
        <v>12440</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12441</v>
      </c>
      <c r="C5567" s="1323" t="s">
        <v>12442</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12443</v>
      </c>
      <c r="C5568" s="1323" t="s">
        <v>12442</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12444</v>
      </c>
      <c r="C5569" s="1323" t="s">
        <v>12434</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12445</v>
      </c>
      <c r="C5570" s="1323" t="s">
        <v>12446</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12447</v>
      </c>
      <c r="C5571" s="1323" t="s">
        <v>12448</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12449</v>
      </c>
      <c r="C5572" s="1323" t="s">
        <v>12450</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12451</v>
      </c>
      <c r="C5573" s="1323" t="s">
        <v>12452</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12453</v>
      </c>
      <c r="C5574" s="1323" t="s">
        <v>12306</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12454</v>
      </c>
      <c r="C5575" s="1323" t="s">
        <v>12455</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12456</v>
      </c>
      <c r="C5576" s="1323" t="s">
        <v>12314</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12457</v>
      </c>
      <c r="C5577" s="1323" t="s">
        <v>12458</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12459</v>
      </c>
      <c r="C5578" s="1323" t="s">
        <v>12452</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12460</v>
      </c>
      <c r="C5579" s="1323" t="s">
        <v>12461</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12462</v>
      </c>
      <c r="C5580" s="1323" t="s">
        <v>12463</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12464</v>
      </c>
      <c r="C5581" s="1323" t="s">
        <v>12465</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12466</v>
      </c>
      <c r="C5582" s="1323" t="s">
        <v>12467</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12468</v>
      </c>
      <c r="C5583" s="1323" t="s">
        <v>12461</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12469</v>
      </c>
      <c r="C5584" s="1323" t="s">
        <v>12470</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12471</v>
      </c>
      <c r="C5585" s="1323" t="s">
        <v>12472</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12473</v>
      </c>
      <c r="C5586" s="1323" t="s">
        <v>12474</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12475</v>
      </c>
      <c r="C5587" s="1323" t="s">
        <v>12476</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12477</v>
      </c>
      <c r="C5588" s="1323" t="s">
        <v>12478</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12479</v>
      </c>
      <c r="C5589" s="1323" t="s">
        <v>12480</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12481</v>
      </c>
      <c r="C5590" s="1323" t="s">
        <v>12482</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12483</v>
      </c>
      <c r="C5591" s="1323" t="s">
        <v>12484</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12485</v>
      </c>
      <c r="C5592" s="1323" t="s">
        <v>12292</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12486</v>
      </c>
      <c r="C5593" s="1323" t="s">
        <v>12487</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12488</v>
      </c>
      <c r="C5594" s="1323" t="s">
        <v>12489</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12490</v>
      </c>
      <c r="C5595" s="1323" t="s">
        <v>12491</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12492</v>
      </c>
      <c r="C5596" s="1323" t="s">
        <v>12491</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12493</v>
      </c>
      <c r="C5597" s="1323" t="s">
        <v>12296</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12494</v>
      </c>
      <c r="C5598" s="1323" t="s">
        <v>12495</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12496</v>
      </c>
      <c r="C5599" s="1323" t="s">
        <v>12497</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12498</v>
      </c>
      <c r="C5600" s="1323" t="s">
        <v>12499</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12500</v>
      </c>
      <c r="C5601" s="1323" t="s">
        <v>12501</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12502</v>
      </c>
      <c r="C5602" s="1323" t="s">
        <v>12503</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12504</v>
      </c>
      <c r="C5603" s="1323" t="s">
        <v>12505</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12506</v>
      </c>
      <c r="C5604" s="1323" t="s">
        <v>12507</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12508</v>
      </c>
      <c r="C5605" s="1323" t="s">
        <v>12507</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12509</v>
      </c>
      <c r="C5606" s="1323" t="s">
        <v>12510</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12511</v>
      </c>
      <c r="C5607" s="1323" t="s">
        <v>12512</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12513</v>
      </c>
      <c r="C5608" s="1323" t="s">
        <v>12497</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12514</v>
      </c>
      <c r="C5609" s="1323" t="s">
        <v>12499</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12515</v>
      </c>
      <c r="C5610" s="1323" t="s">
        <v>12516</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12517</v>
      </c>
      <c r="C5611" s="1323" t="s">
        <v>12512</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12518</v>
      </c>
      <c r="C5612" s="1323" t="s">
        <v>12519</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12520</v>
      </c>
      <c r="C5613" s="1323" t="s">
        <v>12521</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12522</v>
      </c>
      <c r="C5614" s="1323" t="s">
        <v>12495</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12523</v>
      </c>
      <c r="C5615" s="1323" t="s">
        <v>12524</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12525</v>
      </c>
      <c r="C5616" s="1323" t="s">
        <v>12526</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12527</v>
      </c>
      <c r="C5617" s="1323" t="s">
        <v>12526</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12528</v>
      </c>
      <c r="C5618" s="1323" t="s">
        <v>12497</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12529</v>
      </c>
      <c r="C5619" s="1323" t="s">
        <v>12530</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12531</v>
      </c>
      <c r="C5620" s="1323" t="s">
        <v>12505</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12532</v>
      </c>
      <c r="C5621" s="1323" t="s">
        <v>12533</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12534</v>
      </c>
      <c r="C5622" s="1323" t="s">
        <v>12535</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12536</v>
      </c>
      <c r="C5623" s="1323" t="s">
        <v>12537</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12538</v>
      </c>
      <c r="C5624" s="1323" t="s">
        <v>12539</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12540</v>
      </c>
      <c r="C5625" s="1323" t="s">
        <v>12526</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12541</v>
      </c>
      <c r="C5626" s="1323" t="s">
        <v>12542</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12543</v>
      </c>
      <c r="C5627" s="1323" t="s">
        <v>12542</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12544</v>
      </c>
      <c r="C5628" s="1323" t="s">
        <v>12545</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12546</v>
      </c>
      <c r="C5629" s="1323" t="s">
        <v>12530</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12547</v>
      </c>
      <c r="C5630" s="1323" t="s">
        <v>12548</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12549</v>
      </c>
      <c r="C5631" s="1323" t="s">
        <v>12550</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12551</v>
      </c>
      <c r="C5632" s="1323" t="s">
        <v>12497</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12552</v>
      </c>
      <c r="C5633" s="1323" t="s">
        <v>12495</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12553</v>
      </c>
      <c r="C5634" s="1323" t="s">
        <v>12526</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12554</v>
      </c>
      <c r="C5635" s="1323" t="s">
        <v>12512</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12555</v>
      </c>
      <c r="C5636" s="1323" t="s">
        <v>12516</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12556</v>
      </c>
      <c r="C5637" s="1323" t="s">
        <v>12557</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12558</v>
      </c>
      <c r="C5638" s="1323" t="s">
        <v>12318</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12559</v>
      </c>
      <c r="C5639" s="1323" t="s">
        <v>12560</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12561</v>
      </c>
      <c r="C5640" s="1323" t="s">
        <v>12562</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12563</v>
      </c>
      <c r="C5641" s="1323" t="s">
        <v>12564</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12565</v>
      </c>
      <c r="C5642" s="1323" t="s">
        <v>12566</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12567</v>
      </c>
      <c r="C5643" s="1323" t="s">
        <v>12296</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12568</v>
      </c>
      <c r="C5644" s="1323" t="s">
        <v>12314</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12569</v>
      </c>
      <c r="C5645" s="1323" t="s">
        <v>12570</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12571</v>
      </c>
      <c r="C5646" s="1323" t="s">
        <v>12306</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12572</v>
      </c>
      <c r="C5647" s="1323" t="s">
        <v>12573</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12574</v>
      </c>
      <c r="C5648" s="1323" t="s">
        <v>12575</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12576</v>
      </c>
      <c r="C5649" s="1323" t="s">
        <v>12304</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12577</v>
      </c>
      <c r="C5650" s="1323" t="s">
        <v>12442</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12578</v>
      </c>
      <c r="C5651" s="1323" t="s">
        <v>12579</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12580</v>
      </c>
      <c r="C5652" s="1323" t="s">
        <v>12581</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12582</v>
      </c>
      <c r="C5653" s="1323" t="s">
        <v>12345</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12583</v>
      </c>
      <c r="C5654" s="1323" t="s">
        <v>12581</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12584</v>
      </c>
      <c r="C5655" s="1323" t="s">
        <v>12378</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12585</v>
      </c>
      <c r="C5656" s="1323" t="s">
        <v>12586</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12587</v>
      </c>
      <c r="C5657" s="1323" t="s">
        <v>12579</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12588</v>
      </c>
      <c r="C5658" s="1323" t="s">
        <v>12589</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12590</v>
      </c>
      <c r="C5659" s="1323" t="s">
        <v>12310</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12591</v>
      </c>
      <c r="C5660" s="1323" t="s">
        <v>12592</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12593</v>
      </c>
      <c r="C5661" s="1323" t="s">
        <v>12594</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12595</v>
      </c>
      <c r="C5662" s="1323" t="s">
        <v>12575</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12596</v>
      </c>
      <c r="C5663" s="1323" t="s">
        <v>12597</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12598</v>
      </c>
      <c r="C5664" s="1323" t="s">
        <v>12599</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12600</v>
      </c>
      <c r="C5665" s="1323" t="s">
        <v>12601</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12602</v>
      </c>
      <c r="C5666" s="1323" t="s">
        <v>12372</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12603</v>
      </c>
      <c r="C5667" s="1323" t="s">
        <v>12604</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12605</v>
      </c>
      <c r="C5668" s="1323" t="s">
        <v>12376</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12606</v>
      </c>
      <c r="C5669" s="1323" t="s">
        <v>12607</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12608</v>
      </c>
      <c r="C5670" s="1323" t="s">
        <v>12609</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12610</v>
      </c>
      <c r="C5671" s="1323" t="s">
        <v>12611</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12612</v>
      </c>
      <c r="C5672" s="1323" t="s">
        <v>12613</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12614</v>
      </c>
      <c r="C5673" s="1323" t="s">
        <v>12615</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12616</v>
      </c>
      <c r="C5674" s="1323" t="s">
        <v>12581</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12617</v>
      </c>
      <c r="C5675" s="1323" t="s">
        <v>12618</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12619</v>
      </c>
      <c r="C5676" s="1323" t="s">
        <v>12620</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12621</v>
      </c>
      <c r="C5677" s="1323" t="s">
        <v>12622</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12623</v>
      </c>
      <c r="C5678" s="1323" t="s">
        <v>12359</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12624</v>
      </c>
      <c r="C5679" s="1323" t="s">
        <v>12394</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12625</v>
      </c>
      <c r="C5680" s="1323" t="s">
        <v>12626</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12627</v>
      </c>
      <c r="C5681" s="1323" t="s">
        <v>12628</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12629</v>
      </c>
      <c r="C5682" s="1323" t="s">
        <v>12630</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12631</v>
      </c>
      <c r="C5683" s="1323" t="s">
        <v>12632</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12633</v>
      </c>
      <c r="C5684" s="1323" t="s">
        <v>12413</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12634</v>
      </c>
      <c r="C5685" s="1323" t="s">
        <v>12635</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12636</v>
      </c>
      <c r="C5686" s="1323" t="s">
        <v>12338</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12637</v>
      </c>
      <c r="C5687" s="1323" t="s">
        <v>12638</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12639</v>
      </c>
      <c r="C5688" s="1323" t="s">
        <v>12374</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12640</v>
      </c>
      <c r="C5689" s="1323" t="s">
        <v>12338</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12641</v>
      </c>
      <c r="C5690" s="1323" t="s">
        <v>12376</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12642</v>
      </c>
      <c r="C5691" s="1323" t="s">
        <v>12374</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12643</v>
      </c>
      <c r="C5692" s="1323" t="s">
        <v>12586</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12644</v>
      </c>
      <c r="C5693" s="1323" t="s">
        <v>12396</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12645</v>
      </c>
      <c r="C5694" s="1323" t="s">
        <v>12646</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12647</v>
      </c>
      <c r="C5695" s="1323" t="s">
        <v>12648</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12649</v>
      </c>
      <c r="C5696" s="1323" t="s">
        <v>12613</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12650</v>
      </c>
      <c r="C5697" s="1323" t="s">
        <v>12426</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12651</v>
      </c>
      <c r="C5698" s="1323" t="s">
        <v>12332</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12652</v>
      </c>
      <c r="C5699" s="1323" t="s">
        <v>12653</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12654</v>
      </c>
      <c r="C5700" s="1323" t="s">
        <v>12440</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12655</v>
      </c>
      <c r="C5701" s="1323" t="s">
        <v>12656</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12657</v>
      </c>
      <c r="C5702" s="1323" t="s">
        <v>12658</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12659</v>
      </c>
      <c r="C5703" s="1323" t="s">
        <v>12338</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12660</v>
      </c>
      <c r="C5704" s="1323" t="s">
        <v>12661</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12662</v>
      </c>
      <c r="C5705" s="1323" t="s">
        <v>12586</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12663</v>
      </c>
      <c r="C5706" s="1323" t="s">
        <v>12664</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12665</v>
      </c>
      <c r="C5707" s="1323" t="s">
        <v>12666</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12667</v>
      </c>
      <c r="C5708" s="1323" t="s">
        <v>12668</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12669</v>
      </c>
      <c r="C5709" s="1323" t="s">
        <v>12372</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12670</v>
      </c>
      <c r="C5710" s="1323" t="s">
        <v>12428</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12671</v>
      </c>
      <c r="C5711" s="1323" t="s">
        <v>12672</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12673</v>
      </c>
      <c r="C5712" s="1323" t="s">
        <v>12575</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12674</v>
      </c>
      <c r="C5713" s="1323" t="s">
        <v>12675</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12676</v>
      </c>
      <c r="C5714" s="1323" t="s">
        <v>12677</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12678</v>
      </c>
      <c r="C5715" s="1323" t="s">
        <v>12679</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12680</v>
      </c>
      <c r="C5716" s="1323" t="s">
        <v>12611</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12681</v>
      </c>
      <c r="C5717" s="1323" t="s">
        <v>12682</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12683</v>
      </c>
      <c r="C5718" s="1323" t="s">
        <v>12436</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12684</v>
      </c>
      <c r="C5719" s="1323" t="s">
        <v>12609</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12685</v>
      </c>
      <c r="C5720" s="1323" t="s">
        <v>12686</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12687</v>
      </c>
      <c r="C5721" s="1323" t="s">
        <v>12688</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12689</v>
      </c>
      <c r="C5722" s="1323" t="s">
        <v>12314</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12690</v>
      </c>
      <c r="C5723" s="1323" t="s">
        <v>12557</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12691</v>
      </c>
      <c r="C5724" s="1323" t="s">
        <v>12318</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12692</v>
      </c>
      <c r="C5725" s="1323" t="s">
        <v>12463</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12693</v>
      </c>
      <c r="C5726" s="1323" t="s">
        <v>12316</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12694</v>
      </c>
      <c r="C5727" s="1323" t="s">
        <v>12695</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12696</v>
      </c>
      <c r="C5728" s="1323" t="s">
        <v>12461</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12697</v>
      </c>
      <c r="C5729" s="1323" t="s">
        <v>12470</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12698</v>
      </c>
      <c r="C5730" s="1323" t="s">
        <v>12470</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12699</v>
      </c>
      <c r="C5731" s="1323" t="s">
        <v>12461</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12700</v>
      </c>
      <c r="C5732" s="1323" t="s">
        <v>12701</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12702</v>
      </c>
      <c r="C5733" s="1323" t="s">
        <v>12467</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12703</v>
      </c>
      <c r="C5734" s="1323" t="s">
        <v>12704</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12705</v>
      </c>
      <c r="C5735" s="1323" t="s">
        <v>12472</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12706</v>
      </c>
      <c r="C5736" s="1323" t="s">
        <v>12300</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12707</v>
      </c>
      <c r="C5737" s="1323" t="s">
        <v>12708</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12709</v>
      </c>
      <c r="C5738" s="1323" t="s">
        <v>12438</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12710</v>
      </c>
      <c r="C5739" s="1323" t="s">
        <v>12436</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12711</v>
      </c>
      <c r="C5740" s="1323" t="s">
        <v>12712</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12713</v>
      </c>
      <c r="C5741" s="1323" t="s">
        <v>12677</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12714</v>
      </c>
      <c r="C5742" s="1323" t="s">
        <v>12611</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12715</v>
      </c>
      <c r="C5743" s="1323" t="s">
        <v>12712</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12716</v>
      </c>
      <c r="C5744" s="1323" t="s">
        <v>12717</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12718</v>
      </c>
      <c r="C5745" s="1323" t="s">
        <v>12302</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12719</v>
      </c>
      <c r="C5746" s="1323" t="s">
        <v>12308</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12720</v>
      </c>
      <c r="C5747" s="1323" t="s">
        <v>12721</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12722</v>
      </c>
      <c r="C5748" s="1323" t="s">
        <v>12446</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12723</v>
      </c>
      <c r="C5749" s="1323" t="s">
        <v>12724</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12725</v>
      </c>
      <c r="C5750" s="1323" t="s">
        <v>12472</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12726</v>
      </c>
      <c r="C5751" s="1323" t="s">
        <v>12727</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12728</v>
      </c>
      <c r="C5752" s="1323" t="s">
        <v>12438</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12729</v>
      </c>
      <c r="C5753" s="1323" t="s">
        <v>12306</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12730</v>
      </c>
      <c r="C5754" s="1323" t="s">
        <v>12467</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12731</v>
      </c>
      <c r="C5755" s="1323" t="s">
        <v>12470</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12732</v>
      </c>
      <c r="C5756" s="1323" t="s">
        <v>12733</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12734</v>
      </c>
      <c r="C5757" s="1323" t="s">
        <v>12735</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12736</v>
      </c>
      <c r="C5758" s="1323" t="s">
        <v>12737</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12738</v>
      </c>
      <c r="C5759" s="1323" t="s">
        <v>12739</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12740</v>
      </c>
      <c r="C5760" s="1323" t="s">
        <v>12741</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12742</v>
      </c>
      <c r="C5761" s="1323" t="s">
        <v>12743</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12744</v>
      </c>
      <c r="C5762" s="1323" t="s">
        <v>12745</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12746</v>
      </c>
      <c r="C5763" s="1323" t="s">
        <v>12512</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12747</v>
      </c>
      <c r="C5764" s="1323" t="s">
        <v>12748</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12749</v>
      </c>
      <c r="C5765" s="1323" t="s">
        <v>12750</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12751</v>
      </c>
      <c r="C5766" s="1323" t="s">
        <v>12512</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12752</v>
      </c>
      <c r="C5767" s="1323" t="s">
        <v>12495</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12753</v>
      </c>
      <c r="C5768" s="1323" t="s">
        <v>12542</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12754</v>
      </c>
      <c r="C5769" s="1323" t="s">
        <v>12755</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12756</v>
      </c>
      <c r="C5770" s="1323" t="s">
        <v>12296</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12757</v>
      </c>
      <c r="C5771" s="1323" t="s">
        <v>12758</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12759</v>
      </c>
      <c r="C5772" s="1323" t="s">
        <v>12760</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12761</v>
      </c>
      <c r="C5773" s="1323" t="s">
        <v>12762</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12763</v>
      </c>
      <c r="C5774" s="1323" t="s">
        <v>12764</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12765</v>
      </c>
      <c r="C5775" s="1323" t="s">
        <v>12766</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12767</v>
      </c>
      <c r="C5776" s="1323" t="s">
        <v>12743</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12768</v>
      </c>
      <c r="C5777" s="1323" t="s">
        <v>12750</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12769</v>
      </c>
      <c r="C5778" s="1323" t="s">
        <v>12298</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12770</v>
      </c>
      <c r="C5779" s="1323" t="s">
        <v>12771</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12772</v>
      </c>
      <c r="C5780" s="1323" t="s">
        <v>12480</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12773</v>
      </c>
      <c r="C5781" s="1323" t="s">
        <v>12774</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12775</v>
      </c>
      <c r="C5782" s="1323" t="s">
        <v>12316</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12776</v>
      </c>
      <c r="C5783" s="1323" t="s">
        <v>12487</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12777</v>
      </c>
      <c r="C5784" s="1323" t="s">
        <v>12778</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12779</v>
      </c>
      <c r="C5785" s="1323" t="s">
        <v>12491</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12780</v>
      </c>
      <c r="C5786" s="1323" t="s">
        <v>12516</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12781</v>
      </c>
      <c r="C5787" s="1323" t="s">
        <v>12519</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12782</v>
      </c>
      <c r="C5788" s="1323" t="s">
        <v>12783</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12784</v>
      </c>
      <c r="C5789" s="1323" t="s">
        <v>12743</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12785</v>
      </c>
      <c r="C5790" s="1323" t="s">
        <v>12516</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12786</v>
      </c>
      <c r="C5791" s="1323" t="s">
        <v>12298</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12787</v>
      </c>
      <c r="C5792" s="1323" t="s">
        <v>12755</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12788</v>
      </c>
      <c r="C5793" s="1323" t="s">
        <v>12487</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12789</v>
      </c>
      <c r="C5794" s="1323" t="s">
        <v>12790</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12791</v>
      </c>
      <c r="C5795" s="1323" t="s">
        <v>12296</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12792</v>
      </c>
      <c r="C5796" s="1323" t="s">
        <v>12793</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12794</v>
      </c>
      <c r="C5797" s="1323" t="s">
        <v>12495</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12795</v>
      </c>
      <c r="C5798" s="1323" t="s">
        <v>12796</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12797</v>
      </c>
      <c r="C5799" s="1323" t="s">
        <v>12798</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12799</v>
      </c>
      <c r="C5800" s="1323" t="s">
        <v>12800</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12801</v>
      </c>
      <c r="C5801" s="1323" t="s">
        <v>12798</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12802</v>
      </c>
      <c r="C5802" s="1323" t="s">
        <v>12803</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12804</v>
      </c>
      <c r="C5803" s="1323" t="s">
        <v>12530</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12805</v>
      </c>
      <c r="C5804" s="1323" t="s">
        <v>12806</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12807</v>
      </c>
      <c r="C5805" s="1323" t="s">
        <v>12806</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12808</v>
      </c>
      <c r="C5806" s="1323" t="s">
        <v>12809</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12810</v>
      </c>
      <c r="C5807" s="1323" t="s">
        <v>12811</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12812</v>
      </c>
      <c r="C5808" s="1323" t="s">
        <v>12813</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12814</v>
      </c>
      <c r="C5809" s="1323" t="s">
        <v>12550</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12815</v>
      </c>
      <c r="C5810" s="1323" t="s">
        <v>12495</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12816</v>
      </c>
      <c r="C5811" s="1323" t="s">
        <v>12526</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12817</v>
      </c>
      <c r="C5812" s="1323" t="s">
        <v>12512</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12818</v>
      </c>
      <c r="C5813" s="1323" t="s">
        <v>12819</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12820</v>
      </c>
      <c r="C5814" s="1323" t="s">
        <v>12499</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12821</v>
      </c>
      <c r="C5815" s="1323" t="s">
        <v>12743</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12822</v>
      </c>
      <c r="C5816" s="1323" t="s">
        <v>12548</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12823</v>
      </c>
      <c r="C5817" s="1323" t="s">
        <v>12824</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12825</v>
      </c>
      <c r="C5818" s="1323" t="s">
        <v>12542</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12826</v>
      </c>
      <c r="C5819" s="1323" t="s">
        <v>12524</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12827</v>
      </c>
      <c r="C5820" s="1323" t="s">
        <v>12495</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12828</v>
      </c>
      <c r="C5821" s="1323" t="s">
        <v>12318</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12829</v>
      </c>
      <c r="C5822" s="1323" t="s">
        <v>12316</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12830</v>
      </c>
      <c r="C5823" s="1323" t="s">
        <v>12318</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12831</v>
      </c>
      <c r="C5824" s="1323" t="s">
        <v>12461</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12832</v>
      </c>
      <c r="C5825" s="1323" t="s">
        <v>12465</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12833</v>
      </c>
      <c r="C5826" s="1323" t="s">
        <v>12470</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12834</v>
      </c>
      <c r="C5827" s="1323" t="s">
        <v>12686</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12835</v>
      </c>
      <c r="C5828" s="1323" t="s">
        <v>12306</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12836</v>
      </c>
      <c r="C5829" s="1323" t="s">
        <v>12837</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12838</v>
      </c>
      <c r="C5830" s="1323" t="s">
        <v>12658</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12839</v>
      </c>
      <c r="C5831" s="1323" t="s">
        <v>12442</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12840</v>
      </c>
      <c r="C5832" s="1323" t="s">
        <v>12841</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12842</v>
      </c>
      <c r="C5833" s="1323" t="s">
        <v>12440</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12843</v>
      </c>
      <c r="C5834" s="1323" t="s">
        <v>12434</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12844</v>
      </c>
      <c r="C5835" s="1323" t="s">
        <v>12845</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12846</v>
      </c>
      <c r="C5836" s="1323" t="s">
        <v>12837</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12847</v>
      </c>
      <c r="C5837" s="1323" t="s">
        <v>12848</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12849</v>
      </c>
      <c r="C5838" s="1323" t="s">
        <v>12658</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12850</v>
      </c>
      <c r="C5839" s="1323" t="s">
        <v>12613</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12851</v>
      </c>
      <c r="C5840" s="1323" t="s">
        <v>12586</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12852</v>
      </c>
      <c r="C5841" s="1323" t="s">
        <v>12436</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12853</v>
      </c>
      <c r="C5842" s="1323" t="s">
        <v>12675</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12854</v>
      </c>
      <c r="C5843" s="1323" t="s">
        <v>12841</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12855</v>
      </c>
      <c r="C5844" s="1323" t="s">
        <v>12601</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12856</v>
      </c>
      <c r="C5845" s="1323" t="s">
        <v>12664</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12857</v>
      </c>
      <c r="C5846" s="1323" t="s">
        <v>12430</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12858</v>
      </c>
      <c r="C5847" s="1323" t="s">
        <v>12594</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12859</v>
      </c>
      <c r="C5848" s="1323" t="s">
        <v>12860</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12861</v>
      </c>
      <c r="C5849" s="1323" t="s">
        <v>12862</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12863</v>
      </c>
      <c r="C5850" s="1323" t="s">
        <v>12609</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12864</v>
      </c>
      <c r="C5851" s="1323" t="s">
        <v>12668</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12865</v>
      </c>
      <c r="C5852" s="1323" t="s">
        <v>12653</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12866</v>
      </c>
      <c r="C5853" s="1323" t="s">
        <v>12601</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12867</v>
      </c>
      <c r="C5854" s="1323" t="s">
        <v>12440</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12868</v>
      </c>
      <c r="C5855" s="1323" t="s">
        <v>12653</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12869</v>
      </c>
      <c r="C5856" s="1323" t="s">
        <v>12870</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12871</v>
      </c>
      <c r="C5857" s="1323" t="s">
        <v>12872</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12873</v>
      </c>
      <c r="C5858" s="1323" t="s">
        <v>12874</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12875</v>
      </c>
      <c r="C5859" s="1323" t="s">
        <v>12874</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12876</v>
      </c>
      <c r="C5860" s="1323" t="s">
        <v>12877</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12878</v>
      </c>
      <c r="C5861" s="1323" t="s">
        <v>12879</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12880</v>
      </c>
      <c r="C5862" s="1323" t="s">
        <v>12351</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12881</v>
      </c>
      <c r="C5863" s="1323" t="s">
        <v>12882</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12883</v>
      </c>
      <c r="C5864" s="1323" t="s">
        <v>12877</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12884</v>
      </c>
      <c r="C5865" s="1323" t="s">
        <v>12877</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12885</v>
      </c>
      <c r="C5866" s="1323" t="s">
        <v>12886</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12887</v>
      </c>
      <c r="C5867" s="1323" t="s">
        <v>12888</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12889</v>
      </c>
      <c r="C5868" s="1323" t="s">
        <v>12890</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12891</v>
      </c>
      <c r="C5869" s="1323" t="s">
        <v>12892</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12893</v>
      </c>
      <c r="C5870" s="1323" t="s">
        <v>12415</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12894</v>
      </c>
      <c r="C5871" s="1323" t="s">
        <v>12895</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12896</v>
      </c>
      <c r="C5872" s="1323" t="s">
        <v>12415</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12897</v>
      </c>
      <c r="C5873" s="1323" t="s">
        <v>12898</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12899</v>
      </c>
      <c r="C5874" s="1323" t="s">
        <v>12900</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12901</v>
      </c>
      <c r="C5875" s="1323" t="s">
        <v>12902</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12903</v>
      </c>
      <c r="C5876" s="1323" t="s">
        <v>12904</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12905</v>
      </c>
      <c r="C5877" s="1323" t="s">
        <v>12904</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12906</v>
      </c>
      <c r="C5878" s="1323" t="s">
        <v>12907</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12908</v>
      </c>
      <c r="C5879" s="1323" t="s">
        <v>12909</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12910</v>
      </c>
      <c r="C5880" s="1323" t="s">
        <v>12911</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12912</v>
      </c>
      <c r="C5881" s="1323" t="s">
        <v>12913</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12914</v>
      </c>
      <c r="C5882" s="1323" t="s">
        <v>12915</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12916</v>
      </c>
      <c r="C5883" s="1323" t="s">
        <v>12917</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12918</v>
      </c>
      <c r="C5884" s="1323" t="s">
        <v>12919</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12920</v>
      </c>
      <c r="C5885" s="1323" t="s">
        <v>12921</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12922</v>
      </c>
      <c r="C5886" s="1323" t="s">
        <v>12923</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12924</v>
      </c>
      <c r="C5887" s="1323" t="s">
        <v>12921</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12925</v>
      </c>
      <c r="C5888" s="1323" t="s">
        <v>12926</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12927</v>
      </c>
      <c r="C5889" s="1323" t="s">
        <v>12928</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12929</v>
      </c>
      <c r="C5890" s="1323" t="s">
        <v>12930</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12931</v>
      </c>
      <c r="C5891" s="1323" t="s">
        <v>12932</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12933</v>
      </c>
      <c r="C5892" s="1323" t="s">
        <v>12934</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12935</v>
      </c>
      <c r="C5893" s="1323" t="s">
        <v>12936</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12937</v>
      </c>
      <c r="C5894" s="1323" t="s">
        <v>12938</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12939</v>
      </c>
      <c r="C5895" s="1323" t="s">
        <v>12940</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12941</v>
      </c>
      <c r="C5896" s="1323" t="s">
        <v>12942</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12943</v>
      </c>
      <c r="C5897" s="1323" t="s">
        <v>12944</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12945</v>
      </c>
      <c r="C5898" s="1323" t="s">
        <v>12946</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12947</v>
      </c>
      <c r="C5899" s="1323" t="s">
        <v>12948</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12949</v>
      </c>
      <c r="C5900" s="1323" t="s">
        <v>12948</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12950</v>
      </c>
      <c r="C5901" s="1323" t="s">
        <v>12951</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12952</v>
      </c>
      <c r="C5902" s="1323" t="s">
        <v>12953</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12954</v>
      </c>
      <c r="C5903" s="1323" t="s">
        <v>12955</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12956</v>
      </c>
      <c r="C5904" s="1323" t="s">
        <v>12957</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12958</v>
      </c>
      <c r="C5905" s="1323" t="s">
        <v>12959</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12960</v>
      </c>
      <c r="C5906" s="1323" t="s">
        <v>12961</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12962</v>
      </c>
      <c r="C5907" s="1323" t="s">
        <v>12963</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12964</v>
      </c>
      <c r="C5908" s="1323" t="s">
        <v>12946</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12965</v>
      </c>
      <c r="C5909" s="1323" t="s">
        <v>12938</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12966</v>
      </c>
      <c r="C5910" s="1323" t="s">
        <v>12967</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12968</v>
      </c>
      <c r="C5911" s="1323" t="s">
        <v>12969</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12970</v>
      </c>
      <c r="C5912" s="1323" t="s">
        <v>12971</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12972</v>
      </c>
      <c r="C5913" s="1323" t="s">
        <v>12973</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12974</v>
      </c>
      <c r="C5914" s="1323" t="s">
        <v>12975</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12976</v>
      </c>
      <c r="C5915" s="1323" t="s">
        <v>12977</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12978</v>
      </c>
      <c r="C5916" s="1323" t="s">
        <v>12979</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12980</v>
      </c>
      <c r="C5917" s="1323" t="s">
        <v>12981</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12982</v>
      </c>
      <c r="C5918" s="1323" t="s">
        <v>12983</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12984</v>
      </c>
      <c r="C5919" s="1323" t="s">
        <v>12985</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12986</v>
      </c>
      <c r="C5920" s="1323" t="s">
        <v>12987</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12988</v>
      </c>
      <c r="C5921" s="1323" t="s">
        <v>12989</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12990</v>
      </c>
      <c r="C5922" s="1323" t="s">
        <v>12991</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12992</v>
      </c>
      <c r="C5923" s="1323" t="s">
        <v>12993</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12994</v>
      </c>
      <c r="C5924" s="1323" t="s">
        <v>12995</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12996</v>
      </c>
      <c r="C5925" s="1323" t="s">
        <v>12997</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12998</v>
      </c>
      <c r="C5926" s="1323" t="s">
        <v>12999</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13000</v>
      </c>
      <c r="C5927" s="1323" t="s">
        <v>12921</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13001</v>
      </c>
      <c r="C5928" s="1323" t="s">
        <v>13002</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13003</v>
      </c>
      <c r="C5929" s="1323" t="s">
        <v>12967</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13004</v>
      </c>
      <c r="C5930" s="1323" t="s">
        <v>13005</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13006</v>
      </c>
      <c r="C5931" s="1323" t="s">
        <v>13007</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13008</v>
      </c>
      <c r="C5932" s="1323" t="s">
        <v>13009</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13010</v>
      </c>
      <c r="C5933" s="1323" t="s">
        <v>13011</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13012</v>
      </c>
      <c r="C5934" s="1323" t="s">
        <v>12995</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13013</v>
      </c>
      <c r="C5935" s="1323" t="s">
        <v>12928</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13014</v>
      </c>
      <c r="C5936" s="1323" t="s">
        <v>13015</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13016</v>
      </c>
      <c r="C5937" s="1323" t="s">
        <v>13017</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13018</v>
      </c>
      <c r="C5938" s="1323" t="s">
        <v>13019</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13020</v>
      </c>
      <c r="C5939" s="1323" t="s">
        <v>13021</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13022</v>
      </c>
      <c r="C5940" s="1323" t="s">
        <v>13023</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13024</v>
      </c>
      <c r="C5941" s="1323" t="s">
        <v>13025</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13026</v>
      </c>
      <c r="C5942" s="1323" t="s">
        <v>13027</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13028</v>
      </c>
      <c r="C5943" s="1323" t="s">
        <v>13029</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13030</v>
      </c>
      <c r="C5944" s="1323" t="s">
        <v>13031</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13032</v>
      </c>
      <c r="C5945" s="1323" t="s">
        <v>13033</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13034</v>
      </c>
      <c r="C5946" s="1323" t="s">
        <v>13035</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13036</v>
      </c>
      <c r="C5947" s="1323" t="s">
        <v>13021</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13037</v>
      </c>
      <c r="C5948" s="1323" t="s">
        <v>13021</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13038</v>
      </c>
      <c r="C5949" s="1323" t="s">
        <v>12977</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13039</v>
      </c>
      <c r="C5950" s="1323" t="s">
        <v>13040</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13041</v>
      </c>
      <c r="C5951" s="1323" t="s">
        <v>13025</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13042</v>
      </c>
      <c r="C5952" s="1323" t="s">
        <v>13043</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13044</v>
      </c>
      <c r="C5953" s="1323" t="s">
        <v>13045</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13046</v>
      </c>
      <c r="C5954" s="1323" t="s">
        <v>13047</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13048</v>
      </c>
      <c r="C5955" s="1323" t="s">
        <v>13049</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13050</v>
      </c>
      <c r="C5956" s="1323" t="s">
        <v>13051</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13052</v>
      </c>
      <c r="C5957" s="1323" t="s">
        <v>13053</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13054</v>
      </c>
      <c r="C5958" s="1323" t="s">
        <v>13019</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13055</v>
      </c>
      <c r="C5959" s="1323" t="s">
        <v>12957</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13056</v>
      </c>
      <c r="C5960" s="1323" t="s">
        <v>13057</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13058</v>
      </c>
      <c r="C5961" s="1323" t="s">
        <v>13059</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13060</v>
      </c>
      <c r="C5962" s="1323" t="s">
        <v>13017</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13061</v>
      </c>
      <c r="C5963" s="1323" t="s">
        <v>12957</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13062</v>
      </c>
      <c r="C5964" s="1323" t="s">
        <v>13057</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13063</v>
      </c>
      <c r="C5965" s="1323" t="s">
        <v>13064</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13065</v>
      </c>
      <c r="C5966" s="1323" t="s">
        <v>13066</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13067</v>
      </c>
      <c r="C5967" s="1323" t="s">
        <v>13068</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13069</v>
      </c>
      <c r="C5968" s="1323" t="s">
        <v>13021</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13070</v>
      </c>
      <c r="C5969" s="1323" t="s">
        <v>12957</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13071</v>
      </c>
      <c r="C5970" s="1323" t="s">
        <v>13059</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13072</v>
      </c>
      <c r="C5971" s="1323" t="s">
        <v>12977</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13073</v>
      </c>
      <c r="C5972" s="1323" t="s">
        <v>12973</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13074</v>
      </c>
      <c r="C5973" s="1323" t="s">
        <v>13075</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13076</v>
      </c>
      <c r="C5974" s="1323" t="s">
        <v>12973</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13077</v>
      </c>
      <c r="C5975" s="1323" t="s">
        <v>13066</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13078</v>
      </c>
      <c r="C5976" s="1323" t="s">
        <v>13079</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13080</v>
      </c>
      <c r="C5977" s="1323" t="s">
        <v>13081</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13082</v>
      </c>
      <c r="C5978" s="1323" t="s">
        <v>13083</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13084</v>
      </c>
      <c r="C5979" s="1323" t="s">
        <v>12942</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13085</v>
      </c>
      <c r="C5980" s="1323" t="s">
        <v>12977</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13086</v>
      </c>
      <c r="C5981" s="1323" t="s">
        <v>13087</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13088</v>
      </c>
      <c r="C5982" s="1323" t="s">
        <v>13089</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13090</v>
      </c>
      <c r="C5983" s="1323" t="s">
        <v>13081</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13091</v>
      </c>
      <c r="C5984" s="1323" t="s">
        <v>13092</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13093</v>
      </c>
      <c r="C5985" s="1323" t="s">
        <v>13066</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13094</v>
      </c>
      <c r="C5986" s="1323" t="s">
        <v>13095</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13096</v>
      </c>
      <c r="C5987" s="1323" t="s">
        <v>13097</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13098</v>
      </c>
      <c r="C5988" s="1323" t="s">
        <v>13099</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13100</v>
      </c>
      <c r="C5989" s="1323" t="s">
        <v>12973</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13101</v>
      </c>
      <c r="C5990" s="1323" t="s">
        <v>13102</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13103</v>
      </c>
      <c r="C5991" s="1323" t="s">
        <v>12985</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13104</v>
      </c>
      <c r="C5992" s="1323" t="s">
        <v>13105</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13106</v>
      </c>
      <c r="C5993" s="1323" t="s">
        <v>13107</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13108</v>
      </c>
      <c r="C5994" s="1323" t="s">
        <v>12930</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13109</v>
      </c>
      <c r="C5995" s="1323" t="s">
        <v>12987</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13110</v>
      </c>
      <c r="C5996" s="1323" t="s">
        <v>12987</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13111</v>
      </c>
      <c r="C5997" s="1323" t="s">
        <v>13112</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13113</v>
      </c>
      <c r="C5998" s="1323" t="s">
        <v>13015</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13114</v>
      </c>
      <c r="C5999" s="1323" t="s">
        <v>13115</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13116</v>
      </c>
      <c r="C6000" s="1323" t="s">
        <v>13117</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13118</v>
      </c>
      <c r="C6001" s="1323" t="s">
        <v>13115</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13119</v>
      </c>
      <c r="C6002" s="1323" t="s">
        <v>13009</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13120</v>
      </c>
      <c r="C6003" s="1323" t="s">
        <v>12930</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13121</v>
      </c>
      <c r="C6004" s="1323" t="s">
        <v>13122</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13123</v>
      </c>
      <c r="C6005" s="1323" t="s">
        <v>13002</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13124</v>
      </c>
      <c r="C6006" s="1323" t="s">
        <v>13125</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13126</v>
      </c>
      <c r="C6007" s="1323" t="s">
        <v>12995</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13127</v>
      </c>
      <c r="C6008" s="1323" t="s">
        <v>13128</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13129</v>
      </c>
      <c r="C6009" s="1323" t="s">
        <v>13130</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13131</v>
      </c>
      <c r="C6010" s="1323" t="s">
        <v>13122</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13132</v>
      </c>
      <c r="C6011" s="1323" t="s">
        <v>13133</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13134</v>
      </c>
      <c r="C6012" s="1323" t="s">
        <v>13135</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13136</v>
      </c>
      <c r="C6013" s="1323" t="s">
        <v>13137</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13138</v>
      </c>
      <c r="C6014" s="1323" t="s">
        <v>12928</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13139</v>
      </c>
      <c r="C6015" s="1323" t="s">
        <v>13140</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13141</v>
      </c>
      <c r="C6016" s="1323" t="s">
        <v>13102</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13142</v>
      </c>
      <c r="C6017" s="1323" t="s">
        <v>13143</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13144</v>
      </c>
      <c r="C6018" s="1323" t="s">
        <v>13145</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13146</v>
      </c>
      <c r="C6019" s="1323" t="s">
        <v>12942</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13147</v>
      </c>
      <c r="C6020" s="1323" t="s">
        <v>13148</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13149</v>
      </c>
      <c r="C6021" s="1323" t="s">
        <v>13133</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13150</v>
      </c>
      <c r="C6022" s="1323" t="s">
        <v>12985</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13151</v>
      </c>
      <c r="C6023" s="1323" t="s">
        <v>13152</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13153</v>
      </c>
      <c r="C6024" s="1323" t="s">
        <v>13130</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13154</v>
      </c>
      <c r="C6025" s="1323" t="s">
        <v>13135</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13155</v>
      </c>
      <c r="C6026" s="1323" t="s">
        <v>13156</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13157</v>
      </c>
      <c r="C6027" s="1323" t="s">
        <v>13158</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13159</v>
      </c>
      <c r="C6028" s="1323" t="s">
        <v>13160</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13161</v>
      </c>
      <c r="C6029" s="1323" t="s">
        <v>13162</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13163</v>
      </c>
      <c r="C6030" s="1323" t="s">
        <v>13164</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13165</v>
      </c>
      <c r="C6031" s="1323" t="s">
        <v>13166</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13167</v>
      </c>
      <c r="C6032" s="1323" t="s">
        <v>13168</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13169</v>
      </c>
      <c r="C6033" s="1323" t="s">
        <v>13170</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13171</v>
      </c>
      <c r="C6034" s="1323" t="s">
        <v>12995</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13172</v>
      </c>
      <c r="C6035" s="1323" t="s">
        <v>12923</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13173</v>
      </c>
      <c r="C6036" s="1323" t="s">
        <v>13174</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13175</v>
      </c>
      <c r="C6037" s="1323" t="s">
        <v>13168</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13176</v>
      </c>
      <c r="C6038" s="1323" t="s">
        <v>13177</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13178</v>
      </c>
      <c r="C6039" s="1323" t="s">
        <v>13179</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13180</v>
      </c>
      <c r="C6040" s="1323" t="s">
        <v>13181</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13182</v>
      </c>
      <c r="C6041" s="1323" t="s">
        <v>13183</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13184</v>
      </c>
      <c r="C6042" s="1323" t="s">
        <v>12993</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13185</v>
      </c>
      <c r="C6043" s="1323" t="s">
        <v>13186</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13187</v>
      </c>
      <c r="C6044" s="1323" t="s">
        <v>13188</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13189</v>
      </c>
      <c r="C6045" s="1323" t="s">
        <v>13190</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13191</v>
      </c>
      <c r="C6046" s="1323" t="s">
        <v>12917</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13192</v>
      </c>
      <c r="C6047" s="1323" t="s">
        <v>13193</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13194</v>
      </c>
      <c r="C6048" s="1323" t="s">
        <v>13195</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13196</v>
      </c>
      <c r="C6049" s="1323" t="s">
        <v>13197</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13198</v>
      </c>
      <c r="C6050" s="1323" t="s">
        <v>13199</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13200</v>
      </c>
      <c r="C6051" s="1323" t="s">
        <v>13201</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13202</v>
      </c>
      <c r="C6052" s="1323" t="s">
        <v>13203</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13204</v>
      </c>
      <c r="C6053" s="1323" t="s">
        <v>13205</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13206</v>
      </c>
      <c r="C6054" s="1323" t="s">
        <v>13207</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13208</v>
      </c>
      <c r="C6055" s="1323" t="s">
        <v>13209</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13210</v>
      </c>
      <c r="C6056" s="1323" t="s">
        <v>13211</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13212</v>
      </c>
      <c r="C6057" s="1323" t="s">
        <v>13213</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13214</v>
      </c>
      <c r="C6058" s="1323" t="s">
        <v>13215</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13216</v>
      </c>
      <c r="C6059" s="1323" t="s">
        <v>13217</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13218</v>
      </c>
      <c r="C6060" s="1323" t="s">
        <v>13219</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13220</v>
      </c>
      <c r="C6061" s="1323" t="s">
        <v>13221</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13222</v>
      </c>
      <c r="C6062" s="1323" t="s">
        <v>13223</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13224</v>
      </c>
      <c r="C6063" s="1323" t="s">
        <v>13225</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13226</v>
      </c>
      <c r="C6064" s="1323" t="s">
        <v>13227</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13228</v>
      </c>
      <c r="C6065" s="1323" t="s">
        <v>13225</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13229</v>
      </c>
      <c r="C6066" s="1323" t="s">
        <v>13225</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13230</v>
      </c>
      <c r="C6067" s="1323" t="s">
        <v>13231</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13232</v>
      </c>
      <c r="C6068" s="1323" t="s">
        <v>13233</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13234</v>
      </c>
      <c r="C6069" s="1323" t="s">
        <v>13225</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13235</v>
      </c>
      <c r="C6070" s="1323" t="s">
        <v>13236</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13237</v>
      </c>
      <c r="C6071" s="1323" t="s">
        <v>13238</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13239</v>
      </c>
      <c r="C6072" s="1323" t="s">
        <v>13240</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13241</v>
      </c>
      <c r="C6073" s="1323" t="s">
        <v>13233</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13242</v>
      </c>
      <c r="C6074" s="1323" t="s">
        <v>13243</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13244</v>
      </c>
      <c r="C6075" s="1323" t="s">
        <v>13236</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13245</v>
      </c>
      <c r="C6076" s="1323" t="s">
        <v>13246</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13247</v>
      </c>
      <c r="C6077" s="1323" t="s">
        <v>13225</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13248</v>
      </c>
      <c r="C6078" s="1323" t="s">
        <v>13227</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13249</v>
      </c>
      <c r="C6079" s="1323" t="s">
        <v>13250</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13251</v>
      </c>
      <c r="C6080" s="1323" t="s">
        <v>13252</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13253</v>
      </c>
      <c r="C6081" s="1323" t="s">
        <v>13254</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13255</v>
      </c>
      <c r="C6082" s="1323" t="s">
        <v>13256</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13257</v>
      </c>
      <c r="C6083" s="1323" t="s">
        <v>13256</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13258</v>
      </c>
      <c r="C6084" s="1323" t="s">
        <v>13259</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13260</v>
      </c>
      <c r="C6085" s="1323" t="s">
        <v>13199</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13261</v>
      </c>
      <c r="C6086" s="1323" t="s">
        <v>13211</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13262</v>
      </c>
      <c r="C6087" s="1323" t="s">
        <v>13263</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13264</v>
      </c>
      <c r="C6088" s="1323" t="s">
        <v>13265</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13266</v>
      </c>
      <c r="C6089" s="1323" t="s">
        <v>13267</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13268</v>
      </c>
      <c r="C6090" s="1323" t="s">
        <v>13269</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13270</v>
      </c>
      <c r="C6091" s="1323" t="s">
        <v>13267</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13271</v>
      </c>
      <c r="C6092" s="1323" t="s">
        <v>13207</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13272</v>
      </c>
      <c r="C6093" s="1323" t="s">
        <v>13273</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13274</v>
      </c>
      <c r="C6094" s="1323" t="s">
        <v>13199</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13275</v>
      </c>
      <c r="C6095" s="1323" t="s">
        <v>13276</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13277</v>
      </c>
      <c r="C6096" s="1323" t="s">
        <v>13269</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13278</v>
      </c>
      <c r="C6097" s="1323" t="s">
        <v>13279</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13280</v>
      </c>
      <c r="C6098" s="1323" t="s">
        <v>13281</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13282</v>
      </c>
      <c r="C6099" s="1323" t="s">
        <v>13283</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13284</v>
      </c>
      <c r="C6100" s="1323" t="s">
        <v>13285</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13286</v>
      </c>
      <c r="C6101" s="1323" t="s">
        <v>13287</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13288</v>
      </c>
      <c r="C6102" s="1323" t="s">
        <v>13289</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13290</v>
      </c>
      <c r="C6103" s="1323" t="s">
        <v>13291</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13292</v>
      </c>
      <c r="C6104" s="1323" t="s">
        <v>13219</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13293</v>
      </c>
      <c r="C6105" s="1323" t="s">
        <v>13223</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13294</v>
      </c>
      <c r="C6106" s="1323" t="s">
        <v>13287</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13295</v>
      </c>
      <c r="C6107" s="1323" t="s">
        <v>13256</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13296</v>
      </c>
      <c r="C6108" s="1323" t="s">
        <v>13297</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13298</v>
      </c>
      <c r="C6109" s="1323" t="s">
        <v>13221</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13299</v>
      </c>
      <c r="C6110" s="1323" t="s">
        <v>13287</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13300</v>
      </c>
      <c r="C6111" s="1323" t="s">
        <v>13301</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13302</v>
      </c>
      <c r="C6112" s="1323" t="s">
        <v>13269</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13303</v>
      </c>
      <c r="C6113" s="1323" t="s">
        <v>13304</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13305</v>
      </c>
      <c r="C6114" s="1323" t="s">
        <v>13297</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13306</v>
      </c>
      <c r="C6115" s="1323" t="s">
        <v>13281</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13307</v>
      </c>
      <c r="C6116" s="1323" t="s">
        <v>13254</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13308</v>
      </c>
      <c r="C6117" s="1323" t="s">
        <v>13309</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13310</v>
      </c>
      <c r="C6118" s="1323" t="s">
        <v>13311</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13312</v>
      </c>
      <c r="C6119" s="1323" t="s">
        <v>13201</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13313</v>
      </c>
      <c r="C6120" s="1323" t="s">
        <v>13314</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13315</v>
      </c>
      <c r="C6121" s="1323" t="s">
        <v>13287</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13316</v>
      </c>
      <c r="C6122" s="1323" t="s">
        <v>13317</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13318</v>
      </c>
      <c r="C6123" s="1323" t="s">
        <v>13301</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13319</v>
      </c>
      <c r="C6124" s="1323" t="s">
        <v>13320</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13321</v>
      </c>
      <c r="C6125" s="1323" t="s">
        <v>13273</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13322</v>
      </c>
      <c r="C6126" s="1323" t="s">
        <v>13323</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13324</v>
      </c>
      <c r="C6127" s="1323" t="s">
        <v>13325</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13326</v>
      </c>
      <c r="C6128" s="1323" t="s">
        <v>13327</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13328</v>
      </c>
      <c r="C6129" s="1323" t="s">
        <v>13329</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13330</v>
      </c>
      <c r="C6130" s="1323" t="s">
        <v>13190</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13331</v>
      </c>
      <c r="C6131" s="1323" t="s">
        <v>13332</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13333</v>
      </c>
      <c r="C6132" s="1323" t="s">
        <v>13188</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13334</v>
      </c>
      <c r="C6133" s="1323" t="s">
        <v>13335</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13336</v>
      </c>
      <c r="C6134" s="1323" t="s">
        <v>13170</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13337</v>
      </c>
      <c r="C6135" s="1323" t="s">
        <v>13338</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13339</v>
      </c>
      <c r="C6136" s="1323" t="s">
        <v>13340</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13341</v>
      </c>
      <c r="C6137" s="1323" t="s">
        <v>13342</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13343</v>
      </c>
      <c r="C6138" s="1323" t="s">
        <v>13344</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13345</v>
      </c>
      <c r="C6139" s="1323" t="s">
        <v>13346</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13347</v>
      </c>
      <c r="C6140" s="1323" t="s">
        <v>13130</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13348</v>
      </c>
      <c r="C6141" s="1323" t="s">
        <v>13133</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13349</v>
      </c>
      <c r="C6142" s="1323" t="s">
        <v>12983</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13350</v>
      </c>
      <c r="C6143" s="1323" t="s">
        <v>13351</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13352</v>
      </c>
      <c r="C6144" s="1323" t="s">
        <v>13353</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13354</v>
      </c>
      <c r="C6145" s="1323" t="s">
        <v>12938</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13355</v>
      </c>
      <c r="C6146" s="1323" t="s">
        <v>13356</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13357</v>
      </c>
      <c r="C6147" s="1323" t="s">
        <v>13099</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13358</v>
      </c>
      <c r="C6148" s="1323" t="s">
        <v>13092</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13359</v>
      </c>
      <c r="C6149" s="1323" t="s">
        <v>13360</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13361</v>
      </c>
      <c r="C6150" s="1323" t="s">
        <v>13362</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13363</v>
      </c>
      <c r="C6151" s="1323" t="s">
        <v>13364</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13365</v>
      </c>
      <c r="C6152" s="1323" t="s">
        <v>12969</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13366</v>
      </c>
      <c r="C6153" s="1323" t="s">
        <v>13005</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13367</v>
      </c>
      <c r="C6154" s="1323" t="s">
        <v>12944</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13368</v>
      </c>
      <c r="C6155" s="1323" t="s">
        <v>13083</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13369</v>
      </c>
      <c r="C6156" s="1323" t="s">
        <v>13059</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13370</v>
      </c>
      <c r="C6157" s="1323" t="s">
        <v>13371</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13372</v>
      </c>
      <c r="C6158" s="1323" t="s">
        <v>13373</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13374</v>
      </c>
      <c r="C6159" s="1323" t="s">
        <v>13375</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13376</v>
      </c>
      <c r="C6160" s="1323" t="s">
        <v>13377</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13378</v>
      </c>
      <c r="C6161" s="1323" t="s">
        <v>13379</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13380</v>
      </c>
      <c r="C6162" s="1323" t="s">
        <v>13381</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13382</v>
      </c>
      <c r="C6163" s="1323" t="s">
        <v>13383</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13384</v>
      </c>
      <c r="C6164" s="1323" t="s">
        <v>13122</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13385</v>
      </c>
      <c r="C6165" s="1323" t="s">
        <v>13386</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13387</v>
      </c>
      <c r="C6166" s="1323" t="s">
        <v>13362</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13388</v>
      </c>
      <c r="C6167" s="1323" t="s">
        <v>12930</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13389</v>
      </c>
      <c r="C6168" s="1323" t="s">
        <v>13011</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13390</v>
      </c>
      <c r="C6169" s="1323" t="s">
        <v>13112</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13391</v>
      </c>
      <c r="C6170" s="1323" t="s">
        <v>13392</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13393</v>
      </c>
      <c r="C6171" s="1323" t="s">
        <v>13133</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13394</v>
      </c>
      <c r="C6172" s="1323" t="s">
        <v>13395</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13396</v>
      </c>
      <c r="C6173" s="1323" t="s">
        <v>13397</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13398</v>
      </c>
      <c r="C6174" s="1323" t="s">
        <v>13399</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13400</v>
      </c>
      <c r="C6175" s="1323" t="s">
        <v>13377</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13401</v>
      </c>
      <c r="C6176" s="1323" t="s">
        <v>12971</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13402</v>
      </c>
      <c r="C6177" s="1323" t="s">
        <v>13403</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13404</v>
      </c>
      <c r="C6178" s="1323" t="s">
        <v>13373</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13405</v>
      </c>
      <c r="C6179" s="1323" t="s">
        <v>13099</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13406</v>
      </c>
      <c r="C6180" s="1323" t="s">
        <v>13346</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13407</v>
      </c>
      <c r="C6181" s="1323" t="s">
        <v>13408</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13409</v>
      </c>
      <c r="C6182" s="1323" t="s">
        <v>12971</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election activeCell="W3" sqref="W3"/>
    </sheetView>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14781</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1512</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14010</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5"/>
  <sheetViews>
    <sheetView workbookViewId="0">
      <selection activeCell="D16" sqref="D16"/>
    </sheetView>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1703</v>
      </c>
      <c r="D3" s="651" t="s">
        <v>1704</v>
      </c>
      <c r="E3" s="42"/>
      <c r="F3" s="42"/>
      <c r="G3" s="42"/>
      <c r="H3" s="42"/>
      <c r="I3" s="42"/>
    </row>
    <row r="4" spans="1:9">
      <c r="A4" s="42" t="s">
        <v>310</v>
      </c>
      <c r="B4" s="42"/>
      <c r="C4" s="42" t="s">
        <v>1706</v>
      </c>
      <c r="D4" s="651" t="s">
        <v>1705</v>
      </c>
      <c r="E4" s="42"/>
      <c r="F4" s="42"/>
      <c r="G4" s="42"/>
      <c r="H4" s="42"/>
      <c r="I4" s="42"/>
    </row>
    <row r="5" spans="1:9">
      <c r="A5" s="42" t="s">
        <v>310</v>
      </c>
      <c r="B5" s="42"/>
      <c r="C5" s="42" t="s">
        <v>1708</v>
      </c>
      <c r="D5" s="1044" t="s">
        <v>1704</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1704</v>
      </c>
      <c r="E9" s="510" t="s">
        <v>355</v>
      </c>
      <c r="F9" s="510" t="s">
        <v>356</v>
      </c>
      <c r="G9" s="651"/>
      <c r="H9" s="653"/>
    </row>
    <row r="10" spans="1:9" s="42" customFormat="1" ht="11.25">
      <c r="B10" s="510" t="s">
        <v>352</v>
      </c>
      <c r="C10" s="419" t="str">
        <f>C4</f>
        <v>CH4RF</v>
      </c>
      <c r="D10" s="1126" t="s">
        <v>1705</v>
      </c>
      <c r="E10" s="510" t="s">
        <v>355</v>
      </c>
      <c r="F10" s="510" t="s">
        <v>356</v>
      </c>
    </row>
    <row r="11" spans="1:9" s="42" customFormat="1" ht="11.25">
      <c r="B11" s="510" t="s">
        <v>352</v>
      </c>
      <c r="C11" s="419" t="s">
        <v>1708</v>
      </c>
      <c r="D11" s="1126" t="s">
        <v>1704</v>
      </c>
      <c r="E11" s="510" t="s">
        <v>355</v>
      </c>
      <c r="F11" s="510" t="s">
        <v>356</v>
      </c>
    </row>
    <row r="12" spans="1:9">
      <c r="B12" s="510" t="s">
        <v>352</v>
      </c>
      <c r="C12" t="s">
        <v>14040</v>
      </c>
      <c r="D12" s="1126" t="s">
        <v>14041</v>
      </c>
      <c r="E12" s="510" t="s">
        <v>355</v>
      </c>
      <c r="F12" s="510" t="s">
        <v>356</v>
      </c>
    </row>
    <row r="13" spans="1:9">
      <c r="B13" s="510" t="s">
        <v>352</v>
      </c>
      <c r="C13" s="1725" t="s">
        <v>14730</v>
      </c>
      <c r="D13" s="1725" t="s">
        <v>14731</v>
      </c>
      <c r="E13" s="510" t="s">
        <v>355</v>
      </c>
      <c r="F13" s="510" t="s">
        <v>356</v>
      </c>
    </row>
    <row r="14" spans="1:9">
      <c r="B14" s="510" t="s">
        <v>352</v>
      </c>
      <c r="C14" s="1725" t="s">
        <v>14732</v>
      </c>
      <c r="D14" s="1725" t="s">
        <v>14733</v>
      </c>
      <c r="E14" s="510" t="s">
        <v>355</v>
      </c>
      <c r="F14" s="510" t="s">
        <v>356</v>
      </c>
    </row>
    <row r="15" spans="1:9">
      <c r="B15" s="510" t="s">
        <v>352</v>
      </c>
      <c r="C15" s="1409" t="s">
        <v>14734</v>
      </c>
      <c r="D15" s="1126" t="s">
        <v>14735</v>
      </c>
      <c r="E15" s="510" t="s">
        <v>355</v>
      </c>
      <c r="F15" s="510" t="s">
        <v>356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topLeftCell="A40" workbookViewId="0">
      <selection activeCell="C58" sqref="C58"/>
    </sheetView>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2173</v>
      </c>
      <c r="AW2" s="1217" t="s">
        <v>2174</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2175</v>
      </c>
      <c r="AW3" s="1217" t="s">
        <v>2176</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2178</v>
      </c>
      <c r="AW4" s="1217" t="s">
        <v>2177</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2179</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2102</v>
      </c>
      <c r="BI6" s="505"/>
    </row>
    <row r="7" spans="1:62">
      <c r="A7" s="495" t="s">
        <v>310</v>
      </c>
      <c r="L7" s="495" t="s">
        <v>1986</v>
      </c>
      <c r="M7" s="495" t="s">
        <v>1987</v>
      </c>
      <c r="N7" s="495" t="s">
        <v>1988</v>
      </c>
      <c r="O7" s="495" t="s">
        <v>1989</v>
      </c>
      <c r="P7" s="495" t="s">
        <v>1990</v>
      </c>
      <c r="Q7" s="495" t="s">
        <v>1991</v>
      </c>
      <c r="R7" s="495" t="s">
        <v>1992</v>
      </c>
      <c r="S7" s="495" t="s">
        <v>1993</v>
      </c>
      <c r="T7" s="495" t="s">
        <v>1994</v>
      </c>
      <c r="U7" s="495" t="s">
        <v>1995</v>
      </c>
      <c r="V7" s="495" t="s">
        <v>1996</v>
      </c>
      <c r="W7" s="495" t="s">
        <v>1997</v>
      </c>
      <c r="X7" s="495" t="s">
        <v>1998</v>
      </c>
      <c r="Y7" s="495" t="s">
        <v>1999</v>
      </c>
      <c r="Z7" s="495" t="s">
        <v>2000</v>
      </c>
      <c r="AA7" s="495" t="s">
        <v>2001</v>
      </c>
      <c r="AB7" s="495" t="s">
        <v>2002</v>
      </c>
      <c r="AC7" s="495" t="s">
        <v>2003</v>
      </c>
      <c r="AD7" s="495" t="s">
        <v>2004</v>
      </c>
      <c r="AE7" s="495" t="s">
        <v>2005</v>
      </c>
      <c r="AF7" s="495" t="s">
        <v>2006</v>
      </c>
      <c r="AG7" s="495" t="s">
        <v>2007</v>
      </c>
      <c r="AH7" s="495" t="s">
        <v>2008</v>
      </c>
      <c r="AI7" s="495" t="s">
        <v>2009</v>
      </c>
      <c r="AJ7" s="495" t="s">
        <v>2010</v>
      </c>
      <c r="AK7" s="495" t="s">
        <v>2011</v>
      </c>
      <c r="AL7" s="495" t="s">
        <v>2012</v>
      </c>
      <c r="AM7" s="495" t="s">
        <v>2013</v>
      </c>
      <c r="AN7" s="495" t="s">
        <v>2014</v>
      </c>
      <c r="AO7" s="495" t="s">
        <v>2015</v>
      </c>
      <c r="AP7" s="495" t="s">
        <v>2016</v>
      </c>
      <c r="AQ7" s="495"/>
      <c r="AR7" s="495"/>
      <c r="AS7" s="495"/>
      <c r="AT7" s="495"/>
      <c r="AU7" s="495"/>
      <c r="AV7" s="738">
        <f>(Index!C5)</f>
        <v>1</v>
      </c>
      <c r="AW7" s="503">
        <v>1</v>
      </c>
      <c r="AX7" s="503">
        <v>2</v>
      </c>
      <c r="AY7" s="1232">
        <v>3</v>
      </c>
      <c r="AZ7" s="503" t="s">
        <v>2180</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1985</v>
      </c>
      <c r="AW8" s="1233">
        <v>11</v>
      </c>
      <c r="AX8" s="1233">
        <v>21</v>
      </c>
      <c r="AY8" s="1234"/>
      <c r="AZ8" s="1233">
        <v>32</v>
      </c>
      <c r="BB8" s="522" t="s">
        <v>1985</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2017</v>
      </c>
      <c r="AW11" s="1233">
        <f>AW8</f>
        <v>11</v>
      </c>
      <c r="AX11" s="1233">
        <f>AX8</f>
        <v>21</v>
      </c>
      <c r="AY11" s="1234"/>
      <c r="AZ11" s="1233">
        <v>11</v>
      </c>
      <c r="BB11" s="522" t="s">
        <v>2017</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1984</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1983</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1707</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2088</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1693</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1692</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1691</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1694</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2089</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2090</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2091</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2092</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1942</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1943</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1863</v>
      </c>
    </row>
    <row r="57" spans="1:10">
      <c r="B57" s="518" t="s">
        <v>357</v>
      </c>
      <c r="C57" s="518" t="s">
        <v>2086</v>
      </c>
      <c r="D57" s="518" t="str">
        <f t="shared" si="0"/>
        <v>CH4SF</v>
      </c>
      <c r="E57" s="518" t="s">
        <v>1806</v>
      </c>
      <c r="F57" s="1043" t="s">
        <v>334</v>
      </c>
      <c r="G57" s="518" t="s">
        <v>337</v>
      </c>
      <c r="H57" s="1043" t="s">
        <v>334</v>
      </c>
      <c r="I57" s="516">
        <v>0</v>
      </c>
      <c r="J57" s="738">
        <f>IF(AV7=1,AW14,IF(AV7=2,AX14,AY14))</f>
        <v>6.9986433062480854E-2</v>
      </c>
    </row>
    <row r="58" spans="1:10">
      <c r="B58" s="518" t="s">
        <v>357</v>
      </c>
      <c r="C58" s="518" t="s">
        <v>1856</v>
      </c>
      <c r="D58" s="518" t="str">
        <f t="shared" si="0"/>
        <v>CH4SF</v>
      </c>
      <c r="E58" s="518" t="s">
        <v>1803</v>
      </c>
      <c r="F58" s="1043" t="s">
        <v>334</v>
      </c>
      <c r="G58" s="518" t="s">
        <v>337</v>
      </c>
      <c r="H58" s="1043" t="s">
        <v>334</v>
      </c>
      <c r="I58" s="516">
        <v>0</v>
      </c>
      <c r="J58" s="738">
        <f t="shared" ref="J58:J63" si="5">J57</f>
        <v>6.9986433062480854E-2</v>
      </c>
    </row>
    <row r="59" spans="1:10">
      <c r="B59" s="518" t="s">
        <v>357</v>
      </c>
      <c r="C59" s="518" t="s">
        <v>1857</v>
      </c>
      <c r="D59" s="518" t="str">
        <f t="shared" si="0"/>
        <v>CH4SF</v>
      </c>
      <c r="E59" s="518" t="s">
        <v>1813</v>
      </c>
      <c r="F59" s="1043" t="s">
        <v>334</v>
      </c>
      <c r="G59" s="518" t="s">
        <v>337</v>
      </c>
      <c r="H59" s="1043" t="s">
        <v>334</v>
      </c>
      <c r="I59" s="516">
        <v>0</v>
      </c>
      <c r="J59" s="738">
        <f t="shared" si="5"/>
        <v>6.9986433062480854E-2</v>
      </c>
    </row>
    <row r="60" spans="1:10">
      <c r="B60" s="518" t="s">
        <v>357</v>
      </c>
      <c r="C60" s="518" t="s">
        <v>1858</v>
      </c>
      <c r="D60" s="518" t="str">
        <f t="shared" si="0"/>
        <v>CH4SF</v>
      </c>
      <c r="E60" s="518" t="s">
        <v>1809</v>
      </c>
      <c r="F60" s="1043" t="s">
        <v>334</v>
      </c>
      <c r="G60" s="518" t="s">
        <v>337</v>
      </c>
      <c r="H60" s="1043" t="s">
        <v>334</v>
      </c>
      <c r="I60" s="516">
        <v>0</v>
      </c>
      <c r="J60" s="738">
        <f t="shared" si="5"/>
        <v>6.9986433062480854E-2</v>
      </c>
    </row>
    <row r="61" spans="1:10">
      <c r="B61" s="518" t="s">
        <v>357</v>
      </c>
      <c r="C61" s="518" t="s">
        <v>1859</v>
      </c>
      <c r="D61" s="518" t="str">
        <f t="shared" si="0"/>
        <v>CH4SF</v>
      </c>
      <c r="E61" s="518" t="s">
        <v>1804</v>
      </c>
      <c r="F61" s="1043" t="s">
        <v>334</v>
      </c>
      <c r="G61" s="518" t="s">
        <v>337</v>
      </c>
      <c r="H61" s="1043" t="s">
        <v>334</v>
      </c>
      <c r="I61" s="516">
        <v>0</v>
      </c>
      <c r="J61" s="738">
        <f t="shared" si="5"/>
        <v>6.9986433062480854E-2</v>
      </c>
    </row>
    <row r="62" spans="1:10">
      <c r="B62" s="518" t="s">
        <v>357</v>
      </c>
      <c r="C62" s="518" t="s">
        <v>1860</v>
      </c>
      <c r="D62" s="518" t="str">
        <f t="shared" si="0"/>
        <v>CH4SF</v>
      </c>
      <c r="E62" s="518" t="s">
        <v>1811</v>
      </c>
      <c r="F62" s="1043" t="s">
        <v>334</v>
      </c>
      <c r="G62" s="518" t="s">
        <v>337</v>
      </c>
      <c r="H62" s="1043" t="s">
        <v>334</v>
      </c>
      <c r="I62" s="516">
        <v>0</v>
      </c>
      <c r="J62" s="738">
        <f t="shared" si="5"/>
        <v>6.9986433062480854E-2</v>
      </c>
    </row>
    <row r="63" spans="1:10">
      <c r="B63" s="518" t="s">
        <v>357</v>
      </c>
      <c r="C63" s="518" t="s">
        <v>1861</v>
      </c>
      <c r="D63" s="518" t="str">
        <f t="shared" si="0"/>
        <v>CH4SF</v>
      </c>
      <c r="E63" s="518" t="s">
        <v>1811</v>
      </c>
      <c r="F63" s="1043" t="s">
        <v>334</v>
      </c>
      <c r="G63" s="518" t="s">
        <v>337</v>
      </c>
      <c r="H63" s="1043" t="s">
        <v>334</v>
      </c>
      <c r="I63" s="516">
        <v>0</v>
      </c>
      <c r="J63" s="738">
        <f t="shared" si="5"/>
        <v>6.9986433062480854E-2</v>
      </c>
    </row>
    <row r="64" spans="1:10">
      <c r="A64" s="503" t="s">
        <v>310</v>
      </c>
      <c r="B64" s="420" t="s">
        <v>1868</v>
      </c>
      <c r="D64" s="518"/>
    </row>
    <row r="65" spans="1:51">
      <c r="B65" s="518" t="s">
        <v>357</v>
      </c>
      <c r="C65" s="518" t="s">
        <v>1866</v>
      </c>
      <c r="D65" s="518" t="str">
        <f t="shared" si="0"/>
        <v>CH4SF</v>
      </c>
      <c r="E65" s="518" t="s">
        <v>1894</v>
      </c>
      <c r="F65" s="1043" t="s">
        <v>334</v>
      </c>
      <c r="G65" s="518" t="s">
        <v>337</v>
      </c>
      <c r="H65" s="1043" t="s">
        <v>334</v>
      </c>
      <c r="I65" s="516">
        <v>0</v>
      </c>
      <c r="J65" s="738">
        <f>J57</f>
        <v>6.9986433062480854E-2</v>
      </c>
    </row>
    <row r="66" spans="1:51">
      <c r="B66" s="518" t="s">
        <v>357</v>
      </c>
      <c r="C66" s="518" t="s">
        <v>1867</v>
      </c>
      <c r="D66" s="518" t="str">
        <f t="shared" si="0"/>
        <v>CH4SF</v>
      </c>
      <c r="E66" s="518" t="s">
        <v>1895</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2111</v>
      </c>
    </row>
    <row r="69" spans="1:51" s="495" customFormat="1">
      <c r="A69" s="503" t="s">
        <v>310</v>
      </c>
      <c r="B69" s="518" t="s">
        <v>839</v>
      </c>
      <c r="C69" s="518" t="s">
        <v>2089</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2093</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2094</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2095</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2091</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2090</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2092</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2096</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2112</v>
      </c>
    </row>
    <row r="78" spans="1:51">
      <c r="A78" s="503" t="s">
        <v>310</v>
      </c>
      <c r="B78" s="518" t="s">
        <v>839</v>
      </c>
      <c r="C78" s="518" t="s">
        <v>2086</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1856</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1857</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1858</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1859</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1860</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1861</v>
      </c>
      <c r="D84" s="518" t="s">
        <v>334</v>
      </c>
      <c r="E84" s="518" t="s">
        <v>334</v>
      </c>
      <c r="F84" s="518" t="s">
        <v>334</v>
      </c>
      <c r="G84" s="518" t="s">
        <v>334</v>
      </c>
      <c r="H84" s="516" t="s">
        <v>334</v>
      </c>
      <c r="I84" s="516">
        <v>0</v>
      </c>
      <c r="J84" s="518">
        <f>zar.2010*54.9026590693257</f>
        <v>71.89010772822904</v>
      </c>
    </row>
    <row r="85" spans="1:51">
      <c r="A85" s="503" t="s">
        <v>310</v>
      </c>
      <c r="B85" s="420" t="s">
        <v>2112</v>
      </c>
    </row>
    <row r="86" spans="1:51">
      <c r="A86" s="503" t="s">
        <v>310</v>
      </c>
      <c r="B86" s="518" t="s">
        <v>332</v>
      </c>
      <c r="C86" s="518" t="s">
        <v>2086</v>
      </c>
      <c r="D86" s="518" t="s">
        <v>334</v>
      </c>
      <c r="E86" s="518" t="s">
        <v>334</v>
      </c>
      <c r="F86" s="518" t="s">
        <v>334</v>
      </c>
      <c r="G86" s="518" t="s">
        <v>334</v>
      </c>
      <c r="H86" s="516" t="s">
        <v>334</v>
      </c>
      <c r="I86" s="516">
        <v>0</v>
      </c>
      <c r="J86" s="1229">
        <f>zar.2010*BI13</f>
        <v>9.3864125109846643</v>
      </c>
    </row>
    <row r="87" spans="1:51">
      <c r="A87" s="503" t="s">
        <v>310</v>
      </c>
      <c r="B87" s="518" t="s">
        <v>332</v>
      </c>
      <c r="C87" s="518" t="s">
        <v>1856</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1857</v>
      </c>
      <c r="D88" s="518" t="s">
        <v>334</v>
      </c>
      <c r="E88" s="518" t="s">
        <v>334</v>
      </c>
      <c r="F88" s="518" t="s">
        <v>334</v>
      </c>
      <c r="G88" s="518" t="s">
        <v>334</v>
      </c>
      <c r="H88" s="516" t="s">
        <v>334</v>
      </c>
      <c r="I88" s="516">
        <v>0</v>
      </c>
      <c r="J88" s="1229">
        <f t="shared" si="6"/>
        <v>9.3864125109846643</v>
      </c>
    </row>
    <row r="89" spans="1:51">
      <c r="A89" s="503" t="s">
        <v>310</v>
      </c>
      <c r="B89" s="518" t="s">
        <v>332</v>
      </c>
      <c r="C89" s="518" t="s">
        <v>1858</v>
      </c>
      <c r="D89" s="518" t="s">
        <v>334</v>
      </c>
      <c r="E89" s="518" t="s">
        <v>334</v>
      </c>
      <c r="F89" s="518" t="s">
        <v>334</v>
      </c>
      <c r="G89" s="518" t="s">
        <v>334</v>
      </c>
      <c r="H89" s="516" t="s">
        <v>334</v>
      </c>
      <c r="I89" s="516">
        <v>0</v>
      </c>
      <c r="J89" s="1229">
        <f t="shared" si="6"/>
        <v>9.3864125109846643</v>
      </c>
    </row>
    <row r="90" spans="1:51">
      <c r="A90" s="503" t="s">
        <v>310</v>
      </c>
      <c r="B90" s="518" t="s">
        <v>332</v>
      </c>
      <c r="C90" s="518" t="s">
        <v>1859</v>
      </c>
      <c r="D90" s="518" t="s">
        <v>334</v>
      </c>
      <c r="E90" s="518" t="s">
        <v>334</v>
      </c>
      <c r="F90" s="518" t="s">
        <v>334</v>
      </c>
      <c r="G90" s="518" t="s">
        <v>334</v>
      </c>
      <c r="H90" s="516" t="s">
        <v>334</v>
      </c>
      <c r="I90" s="516">
        <v>0</v>
      </c>
      <c r="J90" s="1229">
        <f t="shared" si="6"/>
        <v>9.3864125109846643</v>
      </c>
    </row>
    <row r="91" spans="1:51">
      <c r="A91" s="503" t="s">
        <v>310</v>
      </c>
      <c r="B91" s="518" t="s">
        <v>332</v>
      </c>
      <c r="C91" s="518" t="s">
        <v>1860</v>
      </c>
      <c r="D91" s="518" t="s">
        <v>334</v>
      </c>
      <c r="E91" s="518" t="s">
        <v>334</v>
      </c>
      <c r="F91" s="518" t="s">
        <v>334</v>
      </c>
      <c r="G91" s="518" t="s">
        <v>334</v>
      </c>
      <c r="H91" s="516" t="s">
        <v>334</v>
      </c>
      <c r="I91" s="516">
        <v>0</v>
      </c>
      <c r="J91" s="1229">
        <f t="shared" si="6"/>
        <v>9.3864125109846643</v>
      </c>
    </row>
    <row r="92" spans="1:51">
      <c r="A92" s="503" t="s">
        <v>310</v>
      </c>
      <c r="B92" s="518" t="s">
        <v>332</v>
      </c>
      <c r="C92" s="518" t="s">
        <v>1861</v>
      </c>
      <c r="D92" s="518" t="s">
        <v>334</v>
      </c>
      <c r="E92" s="518" t="s">
        <v>334</v>
      </c>
      <c r="F92" s="518" t="s">
        <v>334</v>
      </c>
      <c r="G92" s="518" t="s">
        <v>334</v>
      </c>
      <c r="H92" s="516" t="s">
        <v>334</v>
      </c>
      <c r="I92" s="516">
        <v>0</v>
      </c>
      <c r="J92" s="1229">
        <f t="shared" si="6"/>
        <v>9.3864125109846643</v>
      </c>
    </row>
    <row r="93" spans="1:51">
      <c r="A93" s="503" t="s">
        <v>310</v>
      </c>
      <c r="B93" s="420" t="s">
        <v>2103</v>
      </c>
    </row>
    <row r="94" spans="1:51" s="495" customFormat="1">
      <c r="A94" s="503" t="s">
        <v>310</v>
      </c>
      <c r="B94" s="518" t="s">
        <v>839</v>
      </c>
      <c r="C94" s="518" t="s">
        <v>1693</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1692</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1691</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1694</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2103</v>
      </c>
    </row>
    <row r="99" spans="1:51">
      <c r="A99" s="503" t="s">
        <v>310</v>
      </c>
      <c r="B99" s="518" t="s">
        <v>332</v>
      </c>
      <c r="C99" s="518" t="s">
        <v>1693</v>
      </c>
      <c r="D99" s="518" t="s">
        <v>334</v>
      </c>
      <c r="E99" s="518" t="s">
        <v>334</v>
      </c>
      <c r="F99" s="518" t="s">
        <v>334</v>
      </c>
      <c r="G99" s="518" t="s">
        <v>334</v>
      </c>
      <c r="H99" s="518" t="s">
        <v>334</v>
      </c>
      <c r="I99" s="516">
        <v>0</v>
      </c>
      <c r="J99" s="1230">
        <f>zar.2010*BI14</f>
        <v>101.98335149389622</v>
      </c>
    </row>
    <row r="100" spans="1:51">
      <c r="A100" s="503" t="s">
        <v>310</v>
      </c>
      <c r="B100" s="518" t="s">
        <v>332</v>
      </c>
      <c r="C100" s="518" t="s">
        <v>1692</v>
      </c>
      <c r="D100" s="518" t="s">
        <v>334</v>
      </c>
      <c r="E100" s="518" t="s">
        <v>334</v>
      </c>
      <c r="F100" s="518" t="s">
        <v>334</v>
      </c>
      <c r="G100" s="518" t="s">
        <v>334</v>
      </c>
      <c r="H100" s="518" t="s">
        <v>334</v>
      </c>
      <c r="I100" s="516">
        <v>0</v>
      </c>
      <c r="J100" s="1231">
        <f>J99-J99*5%</f>
        <v>96.884183919201405</v>
      </c>
    </row>
    <row r="101" spans="1:51">
      <c r="A101" s="503" t="s">
        <v>310</v>
      </c>
      <c r="B101" s="518" t="s">
        <v>332</v>
      </c>
      <c r="C101" s="518" t="s">
        <v>1691</v>
      </c>
      <c r="D101" s="518" t="s">
        <v>334</v>
      </c>
      <c r="E101" s="518" t="s">
        <v>334</v>
      </c>
      <c r="F101" s="518" t="s">
        <v>334</v>
      </c>
      <c r="G101" s="518" t="s">
        <v>334</v>
      </c>
      <c r="H101" s="518" t="s">
        <v>334</v>
      </c>
      <c r="I101" s="516">
        <v>0</v>
      </c>
      <c r="J101" s="1230">
        <f>J99</f>
        <v>101.98335149389622</v>
      </c>
    </row>
    <row r="102" spans="1:51">
      <c r="A102" s="503" t="s">
        <v>310</v>
      </c>
      <c r="B102" s="518" t="s">
        <v>332</v>
      </c>
      <c r="C102" s="518" t="s">
        <v>1694</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topLeftCell="A21" workbookViewId="0">
      <selection activeCell="C37" sqref="C37"/>
    </sheetView>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1801</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1800</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1863</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1868</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2043</v>
      </c>
    </row>
    <row r="4" spans="2:23" ht="15.75" thickBot="1">
      <c r="C4" s="1925" t="s">
        <v>2044</v>
      </c>
      <c r="D4" s="1926"/>
      <c r="E4" s="1927"/>
      <c r="F4" s="1214" t="s">
        <v>582</v>
      </c>
      <c r="G4" s="1214" t="s">
        <v>300</v>
      </c>
      <c r="H4" s="1214" t="s">
        <v>301</v>
      </c>
      <c r="I4" s="1214" t="s">
        <v>578</v>
      </c>
      <c r="J4" s="1214" t="s">
        <v>299</v>
      </c>
      <c r="K4" s="1214" t="s">
        <v>2045</v>
      </c>
      <c r="L4" s="1214" t="s">
        <v>254</v>
      </c>
      <c r="M4" s="1215" t="s">
        <v>361</v>
      </c>
      <c r="N4" s="1215" t="s">
        <v>344</v>
      </c>
      <c r="P4" s="1214" t="str">
        <f>F4</f>
        <v>INVCOST</v>
      </c>
      <c r="Q4" s="1214" t="str">
        <f>G4</f>
        <v>FIXOM</v>
      </c>
    </row>
    <row r="5" spans="2:23">
      <c r="B5" s="388" t="s">
        <v>2046</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1903</v>
      </c>
      <c r="F6" s="430" t="s">
        <v>2047</v>
      </c>
      <c r="G6" s="430" t="s">
        <v>2047</v>
      </c>
      <c r="H6" s="430" t="s">
        <v>2047</v>
      </c>
      <c r="I6" s="430" t="s">
        <v>2048</v>
      </c>
      <c r="K6" s="430" t="s">
        <v>2049</v>
      </c>
      <c r="L6" s="430" t="s">
        <v>252</v>
      </c>
      <c r="T6" s="430" t="s">
        <v>708</v>
      </c>
      <c r="U6" s="430" t="s">
        <v>471</v>
      </c>
      <c r="V6" s="430">
        <v>48.247764982110404</v>
      </c>
      <c r="W6" s="430">
        <v>3.1482061030057173</v>
      </c>
    </row>
    <row r="7" spans="2:23">
      <c r="B7" s="430" t="s">
        <v>2051</v>
      </c>
      <c r="C7" s="430" t="s">
        <v>2052</v>
      </c>
      <c r="F7" s="430">
        <v>1.0609638565322098E-2</v>
      </c>
      <c r="G7" s="430">
        <v>9.6514029552160291E-2</v>
      </c>
      <c r="H7" s="430">
        <v>0</v>
      </c>
      <c r="I7" s="430">
        <v>5</v>
      </c>
      <c r="J7" s="430">
        <v>1</v>
      </c>
      <c r="K7" s="430">
        <v>-1.0849728266305149E-2</v>
      </c>
      <c r="M7" s="1212" t="s">
        <v>1804</v>
      </c>
      <c r="N7" s="1212" t="s">
        <v>1896</v>
      </c>
      <c r="P7" s="430">
        <f>F7*$P$2</f>
        <v>7.8564638817174251E-2</v>
      </c>
      <c r="Q7" s="430">
        <f>G7*$P$2</f>
        <v>0.71468880168448568</v>
      </c>
      <c r="T7" s="430" t="s">
        <v>2099</v>
      </c>
      <c r="U7" s="430" t="s">
        <v>1984</v>
      </c>
      <c r="V7" s="430">
        <v>222.37476804093953</v>
      </c>
      <c r="W7" s="430">
        <v>7.168427232336537</v>
      </c>
    </row>
    <row r="8" spans="2:23">
      <c r="B8" s="430" t="s">
        <v>2053</v>
      </c>
      <c r="C8" s="430" t="s">
        <v>2052</v>
      </c>
      <c r="F8" s="430">
        <v>2.1781766635459072E-2</v>
      </c>
      <c r="G8" s="430">
        <v>0</v>
      </c>
      <c r="H8" s="430">
        <v>0</v>
      </c>
      <c r="I8" s="430">
        <v>5</v>
      </c>
      <c r="J8" s="430">
        <v>1</v>
      </c>
      <c r="K8" s="430">
        <v>-9.3307663090224282E-3</v>
      </c>
      <c r="M8" s="1212" t="s">
        <v>1804</v>
      </c>
      <c r="N8" s="1212" t="s">
        <v>1896</v>
      </c>
      <c r="P8" s="430">
        <f t="shared" ref="P8:Q14" si="0">F8*$P$2</f>
        <v>0.1612945264797403</v>
      </c>
      <c r="Q8" s="430">
        <f t="shared" si="0"/>
        <v>0</v>
      </c>
      <c r="T8" s="430" t="s">
        <v>2100</v>
      </c>
      <c r="U8" s="430" t="s">
        <v>2101</v>
      </c>
      <c r="V8" s="430">
        <v>267.2985893883311</v>
      </c>
      <c r="W8" s="430">
        <v>77.884946270820166</v>
      </c>
    </row>
    <row r="9" spans="2:23">
      <c r="B9" s="430" t="s">
        <v>2054</v>
      </c>
      <c r="C9" s="430" t="s">
        <v>2052</v>
      </c>
      <c r="F9" s="430">
        <v>6.1142963010790995E-2</v>
      </c>
      <c r="G9" s="430">
        <v>5.4574299393903007E-2</v>
      </c>
      <c r="H9" s="430">
        <v>0</v>
      </c>
      <c r="I9" s="430">
        <v>5</v>
      </c>
      <c r="J9" s="430">
        <v>1</v>
      </c>
      <c r="K9" s="430">
        <v>-2.1072323481202688E-3</v>
      </c>
      <c r="M9" s="1212" t="s">
        <v>1804</v>
      </c>
      <c r="N9" s="1212" t="s">
        <v>1896</v>
      </c>
      <c r="P9" s="430">
        <f t="shared" si="0"/>
        <v>0.45276516966898256</v>
      </c>
      <c r="Q9" s="430">
        <f t="shared" si="0"/>
        <v>0.4041240513693366</v>
      </c>
    </row>
    <row r="10" spans="2:23">
      <c r="B10" s="430" t="s">
        <v>2055</v>
      </c>
      <c r="C10" s="430" t="s">
        <v>2052</v>
      </c>
      <c r="F10" s="430">
        <v>0</v>
      </c>
      <c r="G10" s="430">
        <v>2.6688786976642865E-3</v>
      </c>
      <c r="H10" s="430">
        <v>0</v>
      </c>
      <c r="I10" s="430">
        <v>5</v>
      </c>
      <c r="J10" s="430">
        <v>1</v>
      </c>
      <c r="K10" s="430">
        <v>-3.021479541028022E-4</v>
      </c>
      <c r="L10" s="430">
        <f>0.000226610965577102*1000</f>
        <v>0.226610965577102</v>
      </c>
      <c r="M10" s="1212" t="s">
        <v>1804</v>
      </c>
      <c r="N10" s="1212" t="s">
        <v>1896</v>
      </c>
      <c r="P10" s="430">
        <f t="shared" si="0"/>
        <v>0</v>
      </c>
      <c r="Q10" s="430">
        <f t="shared" si="0"/>
        <v>1.976311347817148E-2</v>
      </c>
    </row>
    <row r="11" spans="2:23">
      <c r="B11" s="430" t="s">
        <v>2056</v>
      </c>
      <c r="C11" s="430" t="s">
        <v>2052</v>
      </c>
      <c r="F11" s="430">
        <v>0.15704003194271807</v>
      </c>
      <c r="G11" s="430">
        <v>0</v>
      </c>
      <c r="H11" s="430">
        <v>0</v>
      </c>
      <c r="I11" s="430">
        <v>5</v>
      </c>
      <c r="J11" s="430">
        <v>1</v>
      </c>
      <c r="K11" s="430">
        <v>-2.2315169235490682E-3</v>
      </c>
      <c r="L11" s="430">
        <f>0.0016736376926618*1000</f>
        <v>1.6736376926618</v>
      </c>
      <c r="M11" s="1212" t="s">
        <v>1804</v>
      </c>
      <c r="N11" s="1212" t="s">
        <v>1896</v>
      </c>
      <c r="P11" s="430">
        <f t="shared" si="0"/>
        <v>1.1628853625366258</v>
      </c>
      <c r="Q11" s="430">
        <f t="shared" si="0"/>
        <v>0</v>
      </c>
    </row>
    <row r="12" spans="2:23">
      <c r="B12" s="430" t="s">
        <v>2057</v>
      </c>
      <c r="C12" s="430" t="s">
        <v>2052</v>
      </c>
      <c r="F12" s="430">
        <v>7.1251008723919276E-2</v>
      </c>
      <c r="G12" s="430">
        <v>2.375033624130642E-2</v>
      </c>
      <c r="H12" s="430">
        <v>0</v>
      </c>
      <c r="I12" s="430">
        <v>5</v>
      </c>
      <c r="J12" s="430">
        <v>1</v>
      </c>
      <c r="K12" s="430">
        <v>-2.0572287975123796E-4</v>
      </c>
      <c r="M12" s="1212" t="s">
        <v>1804</v>
      </c>
      <c r="N12" s="1212" t="s">
        <v>1896</v>
      </c>
      <c r="P12" s="430">
        <f t="shared" si="0"/>
        <v>0.5276155008758403</v>
      </c>
      <c r="Q12" s="430">
        <f t="shared" si="0"/>
        <v>0.17587183362528006</v>
      </c>
    </row>
    <row r="13" spans="2:23">
      <c r="B13" s="430" t="s">
        <v>2058</v>
      </c>
      <c r="C13" s="430" t="s">
        <v>2052</v>
      </c>
      <c r="F13" s="430">
        <v>6.1981428319475205</v>
      </c>
      <c r="G13" s="430">
        <v>0.24792571327790075</v>
      </c>
      <c r="H13" s="430">
        <v>0</v>
      </c>
      <c r="I13" s="430">
        <v>10</v>
      </c>
      <c r="J13" s="430">
        <v>1</v>
      </c>
      <c r="K13" s="430">
        <v>-2.2232273424066697E-4</v>
      </c>
      <c r="M13" s="1212" t="s">
        <v>1804</v>
      </c>
      <c r="N13" s="1212" t="s">
        <v>1896</v>
      </c>
      <c r="P13" s="430">
        <f t="shared" si="0"/>
        <v>45.897402624142181</v>
      </c>
      <c r="Q13" s="430">
        <f t="shared" si="0"/>
        <v>1.8358961049656868</v>
      </c>
    </row>
    <row r="14" spans="2:23">
      <c r="B14" s="430" t="s">
        <v>2059</v>
      </c>
      <c r="C14" s="430" t="s">
        <v>2052</v>
      </c>
      <c r="F14" s="430">
        <v>4.5418680353163925E-2</v>
      </c>
      <c r="G14" s="430">
        <v>6.6628246971549834E-3</v>
      </c>
      <c r="H14" s="430">
        <v>0</v>
      </c>
      <c r="I14" s="430">
        <v>20</v>
      </c>
      <c r="J14" s="430">
        <v>1</v>
      </c>
      <c r="K14" s="430">
        <v>-7.6654132276810453E-3</v>
      </c>
      <c r="L14" s="430">
        <f>0.00574905992076078*1000</f>
        <v>5.7490599207607804</v>
      </c>
      <c r="M14" s="1212" t="s">
        <v>1804</v>
      </c>
      <c r="N14" s="1212" t="s">
        <v>1896</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2045</v>
      </c>
      <c r="L18" s="1214" t="s">
        <v>254</v>
      </c>
      <c r="M18" s="1216" t="s">
        <v>361</v>
      </c>
      <c r="N18" s="1216" t="s">
        <v>344</v>
      </c>
      <c r="P18" s="1214" t="str">
        <f>F18</f>
        <v>INVCOST</v>
      </c>
      <c r="Q18" s="1214" t="str">
        <f>G18</f>
        <v>FIXOM</v>
      </c>
    </row>
    <row r="19" spans="2:17">
      <c r="B19" s="388" t="s">
        <v>2060</v>
      </c>
      <c r="F19" s="430">
        <v>2010</v>
      </c>
      <c r="G19" s="430">
        <v>2010</v>
      </c>
      <c r="H19" s="430">
        <v>2010</v>
      </c>
      <c r="I19" s="430">
        <v>2010</v>
      </c>
      <c r="J19" s="430">
        <v>2010</v>
      </c>
      <c r="K19" s="430">
        <v>2010</v>
      </c>
      <c r="L19" s="430">
        <v>2010</v>
      </c>
      <c r="M19" s="1212">
        <v>2010</v>
      </c>
      <c r="N19" s="1212">
        <v>2010</v>
      </c>
      <c r="P19" s="430">
        <v>2010</v>
      </c>
      <c r="Q19" s="430">
        <v>2010</v>
      </c>
    </row>
    <row r="20" spans="2:17">
      <c r="B20" s="430" t="s">
        <v>1903</v>
      </c>
      <c r="F20" s="430" t="s">
        <v>2047</v>
      </c>
      <c r="G20" s="430" t="s">
        <v>2047</v>
      </c>
      <c r="H20" s="430" t="s">
        <v>2047</v>
      </c>
      <c r="I20" s="430" t="s">
        <v>2048</v>
      </c>
      <c r="K20" s="430" t="s">
        <v>2049</v>
      </c>
      <c r="L20" s="430" t="s">
        <v>2050</v>
      </c>
      <c r="M20" s="1212" t="s">
        <v>1896</v>
      </c>
      <c r="N20" s="1212" t="s">
        <v>1897</v>
      </c>
    </row>
    <row r="21" spans="2:17">
      <c r="B21" s="430" t="s">
        <v>2061</v>
      </c>
      <c r="C21" s="430" t="s">
        <v>2052</v>
      </c>
      <c r="F21" s="430">
        <v>1.7546317954950218E-2</v>
      </c>
      <c r="G21" s="430">
        <v>0.1596157907933646</v>
      </c>
      <c r="H21" s="430">
        <v>0</v>
      </c>
      <c r="I21" s="430">
        <v>5</v>
      </c>
      <c r="J21" s="430">
        <v>1</v>
      </c>
      <c r="K21" s="430">
        <v>-3.7016329872635225E-3</v>
      </c>
      <c r="L21" s="430">
        <v>0</v>
      </c>
      <c r="M21" s="1212" t="s">
        <v>1896</v>
      </c>
      <c r="N21" s="1212" t="s">
        <v>1897</v>
      </c>
      <c r="P21" s="430">
        <f>F21*$P$2</f>
        <v>0.12993092311435522</v>
      </c>
      <c r="Q21" s="430">
        <f>G21*$P$2</f>
        <v>1.1819589212196346</v>
      </c>
    </row>
    <row r="22" spans="2:17">
      <c r="B22" s="430" t="s">
        <v>2062</v>
      </c>
      <c r="C22" s="430" t="s">
        <v>2052</v>
      </c>
      <c r="F22" s="430">
        <v>3.4673714463469674E-2</v>
      </c>
      <c r="G22" s="430">
        <v>0</v>
      </c>
      <c r="H22" s="430">
        <v>0</v>
      </c>
      <c r="I22" s="430">
        <v>5</v>
      </c>
      <c r="J22" s="430">
        <v>1</v>
      </c>
      <c r="K22" s="430">
        <v>-3.1834043690466291E-3</v>
      </c>
      <c r="L22" s="430">
        <v>0</v>
      </c>
      <c r="M22" s="1212" t="s">
        <v>1896</v>
      </c>
      <c r="N22" s="1212" t="s">
        <v>1897</v>
      </c>
      <c r="P22" s="430">
        <f t="shared" ref="P22:Q38" si="1">F22*$P$2</f>
        <v>0.25675972244485451</v>
      </c>
      <c r="Q22" s="430">
        <f t="shared" si="1"/>
        <v>0</v>
      </c>
    </row>
    <row r="23" spans="2:17">
      <c r="B23" s="430" t="s">
        <v>2063</v>
      </c>
      <c r="C23" s="430" t="s">
        <v>2052</v>
      </c>
      <c r="F23" s="430">
        <v>4.8048561381956326E-3</v>
      </c>
      <c r="G23" s="430">
        <v>0</v>
      </c>
      <c r="H23" s="430">
        <v>0</v>
      </c>
      <c r="I23" s="430">
        <v>5</v>
      </c>
      <c r="J23" s="430">
        <v>1</v>
      </c>
      <c r="K23" s="430">
        <v>-6.8500894062093858E-3</v>
      </c>
      <c r="L23" s="430">
        <v>5.1375670546570393E-3</v>
      </c>
      <c r="M23" s="1212" t="s">
        <v>1896</v>
      </c>
      <c r="N23" s="1212" t="s">
        <v>1897</v>
      </c>
      <c r="P23" s="430">
        <f t="shared" si="1"/>
        <v>3.5580079824742109E-2</v>
      </c>
      <c r="Q23" s="430">
        <f t="shared" si="1"/>
        <v>0</v>
      </c>
    </row>
    <row r="24" spans="2:17">
      <c r="B24" s="430" t="s">
        <v>2064</v>
      </c>
      <c r="C24" s="430" t="s">
        <v>2052</v>
      </c>
      <c r="F24" s="430">
        <v>0.22641229308207547</v>
      </c>
      <c r="G24" s="430">
        <v>1.1928583000565185E-2</v>
      </c>
      <c r="H24" s="430">
        <v>0</v>
      </c>
      <c r="I24" s="430">
        <v>10</v>
      </c>
      <c r="J24" s="430">
        <v>1</v>
      </c>
      <c r="K24" s="430">
        <v>-3.2910747493155017E-3</v>
      </c>
      <c r="L24" s="430">
        <v>2.4683060619866263E-3</v>
      </c>
      <c r="M24" s="1212" t="s">
        <v>1896</v>
      </c>
      <c r="N24" s="1212" t="s">
        <v>1897</v>
      </c>
      <c r="P24" s="430">
        <f t="shared" si="1"/>
        <v>1.6765886905800957</v>
      </c>
      <c r="Q24" s="430">
        <f t="shared" si="1"/>
        <v>8.8331455333760203E-2</v>
      </c>
    </row>
    <row r="25" spans="2:17">
      <c r="B25" s="430" t="s">
        <v>2065</v>
      </c>
      <c r="C25" s="430" t="s">
        <v>2052</v>
      </c>
      <c r="F25" s="430">
        <v>0.23933171435212466</v>
      </c>
      <c r="G25" s="430">
        <v>-6.2824575017432716E-2</v>
      </c>
      <c r="H25" s="430">
        <v>0</v>
      </c>
      <c r="I25" s="430">
        <v>5</v>
      </c>
      <c r="J25" s="430">
        <v>1</v>
      </c>
      <c r="K25" s="430">
        <v>-3.2626353233606497E-3</v>
      </c>
      <c r="L25" s="430">
        <v>0</v>
      </c>
      <c r="M25" s="1212" t="s">
        <v>1896</v>
      </c>
      <c r="N25" s="1212" t="s">
        <v>1897</v>
      </c>
      <c r="P25" s="430">
        <f t="shared" si="1"/>
        <v>1.7722573280703418</v>
      </c>
      <c r="Q25" s="430">
        <f t="shared" si="1"/>
        <v>-0.46521754861846465</v>
      </c>
    </row>
    <row r="26" spans="2:17">
      <c r="B26" s="430" t="s">
        <v>2066</v>
      </c>
      <c r="C26" s="430" t="s">
        <v>2052</v>
      </c>
      <c r="F26" s="430">
        <v>0.41222903310979797</v>
      </c>
      <c r="G26" s="430">
        <v>2.0560889647493665E-2</v>
      </c>
      <c r="H26" s="430">
        <v>0</v>
      </c>
      <c r="I26" s="430">
        <v>20</v>
      </c>
      <c r="J26" s="430">
        <v>1</v>
      </c>
      <c r="K26" s="430">
        <v>-1.8682062016934689E-2</v>
      </c>
      <c r="L26" s="430">
        <v>0</v>
      </c>
      <c r="M26" s="1212" t="s">
        <v>1896</v>
      </c>
      <c r="N26" s="1212" t="s">
        <v>1897</v>
      </c>
      <c r="P26" s="430">
        <f t="shared" si="1"/>
        <v>3.0525662959038815</v>
      </c>
      <c r="Q26" s="430">
        <f t="shared" si="1"/>
        <v>0.15225390186193177</v>
      </c>
    </row>
    <row r="27" spans="2:17">
      <c r="B27" s="430" t="s">
        <v>2067</v>
      </c>
      <c r="C27" s="430" t="s">
        <v>2052</v>
      </c>
      <c r="F27" s="430">
        <v>0.18048240137435967</v>
      </c>
      <c r="G27" s="430">
        <v>6.9864155370719869E-3</v>
      </c>
      <c r="H27" s="430">
        <v>0</v>
      </c>
      <c r="I27" s="430">
        <v>5</v>
      </c>
      <c r="J27" s="430">
        <v>1</v>
      </c>
      <c r="K27" s="430">
        <v>-1.2454708011289792E-3</v>
      </c>
      <c r="L27" s="430">
        <v>0</v>
      </c>
      <c r="M27" s="1212" t="s">
        <v>1896</v>
      </c>
      <c r="N27" s="1212" t="s">
        <v>1897</v>
      </c>
      <c r="P27" s="430">
        <f t="shared" si="1"/>
        <v>1.3364766942371675</v>
      </c>
      <c r="Q27" s="430">
        <f t="shared" si="1"/>
        <v>5.1734581712406483E-2</v>
      </c>
    </row>
    <row r="28" spans="2:17">
      <c r="B28" s="430" t="s">
        <v>2068</v>
      </c>
      <c r="C28" s="430" t="s">
        <v>2052</v>
      </c>
      <c r="F28" s="430">
        <v>0.7886552322644933</v>
      </c>
      <c r="G28" s="430">
        <v>5.6332516590320951E-3</v>
      </c>
      <c r="H28" s="430">
        <v>0</v>
      </c>
      <c r="I28" s="430">
        <v>15</v>
      </c>
      <c r="J28" s="430">
        <v>1</v>
      </c>
      <c r="K28" s="430">
        <v>-2.1292709867636954E-3</v>
      </c>
      <c r="L28" s="430">
        <v>0</v>
      </c>
      <c r="M28" s="1212" t="s">
        <v>1896</v>
      </c>
      <c r="N28" s="1212" t="s">
        <v>1897</v>
      </c>
      <c r="P28" s="430">
        <f t="shared" si="1"/>
        <v>5.840011711299379</v>
      </c>
      <c r="Q28" s="430">
        <f t="shared" si="1"/>
        <v>4.1714369366424135E-2</v>
      </c>
    </row>
    <row r="29" spans="2:17">
      <c r="B29" s="430" t="s">
        <v>2069</v>
      </c>
      <c r="C29" s="430" t="s">
        <v>2052</v>
      </c>
      <c r="F29" s="430">
        <v>27.790965052648904</v>
      </c>
      <c r="G29" s="430">
        <v>0.55581930105297817</v>
      </c>
      <c r="H29" s="430">
        <v>0</v>
      </c>
      <c r="I29" s="430">
        <v>10</v>
      </c>
      <c r="J29" s="430">
        <v>1</v>
      </c>
      <c r="K29" s="430">
        <v>-1.5393165483694449E-3</v>
      </c>
      <c r="L29" s="430">
        <v>0</v>
      </c>
      <c r="M29" s="1212" t="s">
        <v>1896</v>
      </c>
      <c r="N29" s="1212" t="s">
        <v>1897</v>
      </c>
      <c r="P29" s="430">
        <f t="shared" si="1"/>
        <v>205.79279098899144</v>
      </c>
      <c r="Q29" s="430">
        <f t="shared" si="1"/>
        <v>4.1158558197798296</v>
      </c>
    </row>
    <row r="30" spans="2:17">
      <c r="B30" s="430" t="s">
        <v>2070</v>
      </c>
      <c r="C30" s="430" t="s">
        <v>2052</v>
      </c>
      <c r="F30" s="430">
        <v>1.4050048268166471E-3</v>
      </c>
      <c r="G30" s="430">
        <v>4.5963028736816843E-3</v>
      </c>
      <c r="H30" s="430">
        <v>0</v>
      </c>
      <c r="I30" s="430">
        <v>5</v>
      </c>
      <c r="J30" s="430">
        <v>1</v>
      </c>
      <c r="K30" s="430">
        <v>-4.7288691578959948E-4</v>
      </c>
      <c r="L30" s="430">
        <v>0</v>
      </c>
      <c r="M30" s="1212" t="s">
        <v>1896</v>
      </c>
      <c r="N30" s="1212" t="s">
        <v>1897</v>
      </c>
      <c r="P30" s="430">
        <f t="shared" si="1"/>
        <v>1.0404095867697942E-2</v>
      </c>
      <c r="Q30" s="430">
        <f t="shared" si="1"/>
        <v>3.4035737687184708E-2</v>
      </c>
    </row>
    <row r="31" spans="2:17">
      <c r="B31" s="430" t="s">
        <v>2071</v>
      </c>
      <c r="C31" s="430" t="s">
        <v>2052</v>
      </c>
      <c r="F31" s="430">
        <v>1.0017391163845174E-3</v>
      </c>
      <c r="G31" s="430">
        <v>6.010434698307106E-3</v>
      </c>
      <c r="H31" s="430">
        <v>0</v>
      </c>
      <c r="I31" s="430">
        <v>5</v>
      </c>
      <c r="J31" s="430">
        <v>1</v>
      </c>
      <c r="K31" s="430">
        <v>-5.5690516420876942E-4</v>
      </c>
      <c r="L31" s="430">
        <v>0</v>
      </c>
      <c r="M31" s="1212" t="s">
        <v>1896</v>
      </c>
      <c r="N31" s="1212" t="s">
        <v>1897</v>
      </c>
      <c r="P31" s="430">
        <f t="shared" si="1"/>
        <v>7.4179032003052602E-3</v>
      </c>
      <c r="Q31" s="430">
        <f t="shared" si="1"/>
        <v>4.4507419201831572E-2</v>
      </c>
    </row>
    <row r="32" spans="2:17">
      <c r="B32" s="430" t="s">
        <v>2072</v>
      </c>
      <c r="C32" s="430" t="s">
        <v>2052</v>
      </c>
      <c r="F32" s="430">
        <v>9.5299898521379725E-2</v>
      </c>
      <c r="G32" s="430">
        <v>9.5299898521379725E-2</v>
      </c>
      <c r="H32" s="430">
        <v>0</v>
      </c>
      <c r="I32" s="430">
        <v>5</v>
      </c>
      <c r="J32" s="430">
        <v>1</v>
      </c>
      <c r="K32" s="430">
        <v>-8.1527311869353348E-5</v>
      </c>
      <c r="L32" s="430">
        <v>0</v>
      </c>
      <c r="M32" s="1212" t="s">
        <v>1896</v>
      </c>
      <c r="N32" s="1212" t="s">
        <v>1897</v>
      </c>
      <c r="P32" s="430">
        <f t="shared" si="1"/>
        <v>0.70569813104827983</v>
      </c>
      <c r="Q32" s="430">
        <f t="shared" si="1"/>
        <v>0.70569813104827983</v>
      </c>
    </row>
    <row r="33" spans="2:17">
      <c r="B33" s="430" t="s">
        <v>2073</v>
      </c>
      <c r="C33" s="430" t="s">
        <v>2052</v>
      </c>
      <c r="F33" s="430">
        <v>9.4346899536165943E-2</v>
      </c>
      <c r="G33" s="430">
        <v>0.12579586604822121</v>
      </c>
      <c r="H33" s="430">
        <v>0</v>
      </c>
      <c r="I33" s="430">
        <v>5</v>
      </c>
      <c r="J33" s="430">
        <v>1</v>
      </c>
      <c r="K33" s="430">
        <v>-1.2352623010508082E-4</v>
      </c>
      <c r="L33" s="430">
        <v>0</v>
      </c>
      <c r="M33" s="1212" t="s">
        <v>1896</v>
      </c>
      <c r="N33" s="1212" t="s">
        <v>1897</v>
      </c>
      <c r="P33" s="430">
        <f t="shared" si="1"/>
        <v>0.69864114973779712</v>
      </c>
      <c r="Q33" s="430">
        <f t="shared" si="1"/>
        <v>0.93152153298372919</v>
      </c>
    </row>
    <row r="34" spans="2:17">
      <c r="B34" s="430" t="s">
        <v>2074</v>
      </c>
      <c r="C34" s="430" t="s">
        <v>2052</v>
      </c>
      <c r="F34" s="430">
        <v>0.11327999767392577</v>
      </c>
      <c r="G34" s="430">
        <v>3.9115426264721503E-2</v>
      </c>
      <c r="H34" s="430">
        <v>0</v>
      </c>
      <c r="I34" s="430">
        <v>5</v>
      </c>
      <c r="J34" s="430">
        <v>1</v>
      </c>
      <c r="K34" s="430">
        <v>-2.774973093711541E-4</v>
      </c>
      <c r="L34" s="430">
        <v>2.0812298202836556E-4</v>
      </c>
      <c r="M34" s="1212" t="s">
        <v>1896</v>
      </c>
      <c r="N34" s="1212" t="s">
        <v>1897</v>
      </c>
      <c r="P34" s="430">
        <f t="shared" si="1"/>
        <v>0.83884121477536211</v>
      </c>
      <c r="Q34" s="430">
        <f t="shared" si="1"/>
        <v>0.2896507093759193</v>
      </c>
    </row>
    <row r="35" spans="2:17">
      <c r="B35" s="430" t="s">
        <v>2059</v>
      </c>
      <c r="C35" s="430" t="s">
        <v>2052</v>
      </c>
      <c r="F35" s="430">
        <v>7.2300579665080716E-2</v>
      </c>
      <c r="G35" s="430">
        <v>1.0606342678064259E-2</v>
      </c>
      <c r="H35" s="430">
        <v>0</v>
      </c>
      <c r="I35" s="430">
        <v>5</v>
      </c>
      <c r="J35" s="430">
        <v>1</v>
      </c>
      <c r="K35" s="430">
        <v>-1.2202332067428942E-2</v>
      </c>
      <c r="L35" s="430">
        <v>9.1517490505717072E-3</v>
      </c>
      <c r="M35" s="1212" t="s">
        <v>1896</v>
      </c>
      <c r="N35" s="1212" t="s">
        <v>1897</v>
      </c>
      <c r="P35" s="430">
        <f t="shared" si="1"/>
        <v>0.53538759993441432</v>
      </c>
      <c r="Q35" s="430">
        <f t="shared" si="1"/>
        <v>7.8540232689632783E-2</v>
      </c>
    </row>
    <row r="36" spans="2:17">
      <c r="B36" s="430" t="s">
        <v>2075</v>
      </c>
      <c r="C36" s="430" t="s">
        <v>2052</v>
      </c>
      <c r="F36" s="430">
        <v>2.3450328178147701E-2</v>
      </c>
      <c r="G36" s="430">
        <v>2.4491069267003411E-5</v>
      </c>
      <c r="H36" s="430">
        <v>0</v>
      </c>
      <c r="I36" s="430">
        <v>5</v>
      </c>
      <c r="J36" s="430">
        <v>1</v>
      </c>
      <c r="K36" s="430">
        <v>-6.5632650084962435E-5</v>
      </c>
      <c r="L36" s="430">
        <v>0</v>
      </c>
      <c r="M36" s="1212" t="s">
        <v>1896</v>
      </c>
      <c r="N36" s="1212" t="s">
        <v>1897</v>
      </c>
      <c r="P36" s="430">
        <f t="shared" si="1"/>
        <v>0.17365026641738815</v>
      </c>
      <c r="Q36" s="430">
        <f t="shared" si="1"/>
        <v>1.8135698019889192E-4</v>
      </c>
    </row>
    <row r="37" spans="2:17">
      <c r="B37" s="430" t="s">
        <v>2076</v>
      </c>
      <c r="C37" s="430" t="s">
        <v>2052</v>
      </c>
      <c r="F37" s="430">
        <v>1.7665463359561411E-2</v>
      </c>
      <c r="G37" s="430">
        <v>0</v>
      </c>
      <c r="H37" s="430">
        <v>0</v>
      </c>
      <c r="I37" s="430">
        <v>15</v>
      </c>
      <c r="J37" s="430">
        <v>1</v>
      </c>
      <c r="K37" s="430">
        <v>-1.4154151295754598E-2</v>
      </c>
      <c r="L37" s="430">
        <v>0</v>
      </c>
      <c r="M37" s="1212" t="s">
        <v>1896</v>
      </c>
      <c r="N37" s="1212" t="s">
        <v>1897</v>
      </c>
      <c r="P37" s="430">
        <f t="shared" si="1"/>
        <v>0.13081319781413622</v>
      </c>
      <c r="Q37" s="430">
        <f t="shared" si="1"/>
        <v>0</v>
      </c>
    </row>
    <row r="38" spans="2:17">
      <c r="B38" s="430" t="s">
        <v>2077</v>
      </c>
      <c r="C38" s="430" t="s">
        <v>2052</v>
      </c>
      <c r="F38" s="430">
        <v>9.0943832559342106E-3</v>
      </c>
      <c r="G38" s="430">
        <v>1.4430659952938856E-4</v>
      </c>
      <c r="H38" s="430">
        <v>0</v>
      </c>
      <c r="I38" s="430">
        <v>20</v>
      </c>
      <c r="J38" s="430">
        <v>1</v>
      </c>
      <c r="K38" s="430">
        <v>-2.7675597680213234E-3</v>
      </c>
      <c r="L38" s="430">
        <v>0</v>
      </c>
      <c r="M38" s="1212" t="s">
        <v>1896</v>
      </c>
      <c r="N38" s="1212" t="s">
        <v>1897</v>
      </c>
      <c r="P38" s="430">
        <f t="shared" si="1"/>
        <v>6.7344135369774225E-2</v>
      </c>
      <c r="Q38" s="430">
        <f t="shared" si="1"/>
        <v>1.0685939771801103E-3</v>
      </c>
    </row>
    <row r="39" spans="2:17">
      <c r="K39" s="430">
        <f>SUM(K27:K38,K21:K25)</f>
        <v>-5.5904913884091599E-2</v>
      </c>
      <c r="L39" s="430">
        <f>SUM(L21:L38)</f>
        <v>1.696574514924374E-2</v>
      </c>
    </row>
    <row r="41" spans="2:17">
      <c r="B41" s="388" t="s">
        <v>2078</v>
      </c>
      <c r="F41" s="1214" t="s">
        <v>582</v>
      </c>
      <c r="G41" s="1214" t="s">
        <v>300</v>
      </c>
      <c r="H41" s="1214" t="s">
        <v>301</v>
      </c>
      <c r="I41" s="1214" t="s">
        <v>578</v>
      </c>
      <c r="J41" s="1214" t="s">
        <v>299</v>
      </c>
      <c r="K41" s="1214" t="s">
        <v>2045</v>
      </c>
      <c r="L41" s="1214" t="s">
        <v>254</v>
      </c>
      <c r="M41" s="1216" t="s">
        <v>361</v>
      </c>
      <c r="N41" s="1216" t="s">
        <v>344</v>
      </c>
      <c r="P41" s="1214" t="str">
        <f>F41</f>
        <v>INVCOST</v>
      </c>
      <c r="Q41" s="1214" t="str">
        <f>G41</f>
        <v>FIXOM</v>
      </c>
    </row>
    <row r="42" spans="2:17">
      <c r="B42" s="430" t="s">
        <v>2079</v>
      </c>
      <c r="C42" s="430" t="s">
        <v>2052</v>
      </c>
      <c r="E42" s="430" t="s">
        <v>2080</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2081</v>
      </c>
      <c r="C43" s="430" t="s">
        <v>2052</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2082</v>
      </c>
      <c r="C44" s="430" t="s">
        <v>2052</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2083</v>
      </c>
      <c r="C45" s="430" t="s">
        <v>2052</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2084</v>
      </c>
      <c r="C46" s="430" t="s">
        <v>2052</v>
      </c>
      <c r="D46" s="430" t="s">
        <v>2080</v>
      </c>
      <c r="E46" s="430" t="s">
        <v>2080</v>
      </c>
      <c r="F46" s="430">
        <v>23.125308107424441</v>
      </c>
      <c r="G46" s="430">
        <v>1.1562654053712219E-3</v>
      </c>
      <c r="I46" s="430">
        <v>5</v>
      </c>
      <c r="K46" s="430">
        <v>-3.7563811713270641E-3</v>
      </c>
      <c r="P46" s="430">
        <f t="shared" si="2"/>
        <v>171.24348466818066</v>
      </c>
      <c r="Q46" s="430">
        <f t="shared" si="2"/>
        <v>8.5621742334090322E-3</v>
      </c>
    </row>
    <row r="47" spans="2:17">
      <c r="B47" s="430" t="s">
        <v>2085</v>
      </c>
      <c r="C47" s="430" t="s">
        <v>2052</v>
      </c>
      <c r="D47" s="430" t="s">
        <v>2080</v>
      </c>
      <c r="E47" s="430" t="s">
        <v>2080</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2097</v>
      </c>
      <c r="R54" s="430">
        <f>R53</f>
        <v>74.066699999999997</v>
      </c>
      <c r="S54" s="430">
        <f>S53*25</f>
        <v>7.4999999999999997E-2</v>
      </c>
      <c r="T54" s="430">
        <f>SUM(R54:S54)</f>
        <v>74.1417</v>
      </c>
    </row>
    <row r="55" spans="1:25">
      <c r="A55" s="42" t="s">
        <v>310</v>
      </c>
      <c r="B55" s="42"/>
      <c r="C55" s="42"/>
      <c r="D55" s="42"/>
      <c r="E55" s="42"/>
      <c r="F55" s="42"/>
      <c r="G55"/>
      <c r="H55"/>
      <c r="I55"/>
      <c r="Q55" s="430" t="s">
        <v>2098</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1870</v>
      </c>
      <c r="C61" s="422"/>
      <c r="D61" s="422"/>
      <c r="E61" s="510"/>
      <c r="F61" s="510"/>
      <c r="G61"/>
      <c r="H61"/>
      <c r="I61"/>
    </row>
    <row r="62" spans="1:25">
      <c r="A62" s="651"/>
      <c r="B62" s="652" t="s">
        <v>1869</v>
      </c>
      <c r="C62" s="169" t="s">
        <v>1871</v>
      </c>
      <c r="D62" s="169" t="s">
        <v>1874</v>
      </c>
      <c r="E62" s="420" t="str">
        <f>"PJ,"&amp;IF(RIGHT(D58,3)="ELC","GW","PJa")</f>
        <v>PJ,PJa</v>
      </c>
      <c r="F62" s="420" t="str">
        <f>"PRC,PRE,"&amp;IF(RIGHT(D58,3)="ELC","DAYNITE","ANNUAL")</f>
        <v>PRC,PRE,ANNUAL</v>
      </c>
      <c r="H62"/>
      <c r="I62"/>
    </row>
    <row r="63" spans="1:25">
      <c r="A63" s="42"/>
      <c r="B63" s="652" t="s">
        <v>1869</v>
      </c>
      <c r="C63" s="169" t="s">
        <v>1872</v>
      </c>
      <c r="D63" s="169" t="s">
        <v>1875</v>
      </c>
      <c r="E63" s="420" t="str">
        <f>"PJ,"&amp;IF(RIGHT(D59,3)="ELC","GW","PJa")</f>
        <v>PJ,PJa</v>
      </c>
      <c r="F63" s="420" t="str">
        <f>"PRC,PRE,"&amp;IF(RIGHT(D59,3)="ELC","DAYNITE","ANNUAL")</f>
        <v>PRC,PRE,ANNUAL</v>
      </c>
      <c r="H63"/>
      <c r="I63"/>
    </row>
    <row r="64" spans="1:25">
      <c r="A64" s="42"/>
      <c r="B64" s="652" t="s">
        <v>1869</v>
      </c>
      <c r="C64" s="169" t="s">
        <v>1873</v>
      </c>
      <c r="D64" s="169" t="s">
        <v>1876</v>
      </c>
      <c r="E64" s="420" t="str">
        <f>"PJ,"&amp;IF(RIGHT(D60,3)="ELC","GW","PJa")</f>
        <v>PJ,PJa</v>
      </c>
      <c r="F64" s="420" t="str">
        <f>"PRC,PRE,"&amp;IF(RIGHT(D60,3)="ELC","DAYNITE","ANNUAL")</f>
        <v>PRC,PRE,ANNUAL</v>
      </c>
      <c r="H64"/>
      <c r="I64"/>
    </row>
    <row r="65" spans="1:9">
      <c r="A65" s="42" t="s">
        <v>310</v>
      </c>
      <c r="B65" s="510" t="s">
        <v>1877</v>
      </c>
      <c r="C65" s="169"/>
      <c r="D65" s="169"/>
      <c r="E65" s="420"/>
      <c r="F65" s="420"/>
    </row>
    <row r="66" spans="1:9">
      <c r="A66" s="42"/>
      <c r="B66" s="652" t="s">
        <v>1869</v>
      </c>
      <c r="C66" s="419" t="s">
        <v>1878</v>
      </c>
      <c r="D66" s="169" t="s">
        <v>1862</v>
      </c>
      <c r="E66" s="420" t="str">
        <f>"PJ,"&amp;IF(RIGHT(D62,3)="ELC","GW","PJa")</f>
        <v>PJ,PJa</v>
      </c>
      <c r="F66" s="420" t="str">
        <f>"PRC,PRE,"&amp;IF(RIGHT(D62,3)="ELC","DAYNITE","ANNUAL")</f>
        <v>PRC,PRE,ANNUAL</v>
      </c>
    </row>
    <row r="67" spans="1:9">
      <c r="A67" s="42"/>
      <c r="B67" s="652" t="s">
        <v>1869</v>
      </c>
      <c r="C67" s="419" t="s">
        <v>1879</v>
      </c>
      <c r="D67" s="169" t="s">
        <v>1864</v>
      </c>
      <c r="E67" s="420" t="str">
        <f>"PJ,"&amp;IF(RIGHT(D63,3)="ELC","GW","PJa")</f>
        <v>PJ,PJa</v>
      </c>
      <c r="F67" s="420" t="str">
        <f>"PRC,PRE,"&amp;IF(RIGHT(D63,3)="ELC","DAYNITE","ANNUAL")</f>
        <v>PRC,PRE,ANNUAL</v>
      </c>
    </row>
    <row r="68" spans="1:9">
      <c r="A68" s="42"/>
      <c r="B68" s="652" t="s">
        <v>1869</v>
      </c>
      <c r="C68" s="419" t="s">
        <v>1880</v>
      </c>
      <c r="D68" s="169" t="s">
        <v>1865</v>
      </c>
      <c r="E68" s="420" t="str">
        <f>"PJ,"&amp;IF(RIGHT(D64,3)="ELC","GW","PJa")</f>
        <v>PJ,PJa</v>
      </c>
      <c r="F68" s="420" t="str">
        <f>"PRC,PRE,"&amp;IF(RIGHT(D64,3)="ELC","DAYNITE","ANNUAL")</f>
        <v>PRC,PRE,ANNUAL</v>
      </c>
    </row>
    <row r="69" spans="1:9">
      <c r="A69" s="42" t="s">
        <v>310</v>
      </c>
      <c r="B69" s="510" t="s">
        <v>1881</v>
      </c>
      <c r="C69" s="169"/>
      <c r="D69" s="169"/>
      <c r="E69" s="420"/>
      <c r="F69" s="420"/>
    </row>
    <row r="70" spans="1:9">
      <c r="A70" s="42"/>
      <c r="B70" s="652" t="s">
        <v>1869</v>
      </c>
      <c r="C70" s="419" t="s">
        <v>1882</v>
      </c>
      <c r="D70" s="177" t="s">
        <v>1887</v>
      </c>
      <c r="E70" s="420" t="str">
        <f t="shared" ref="E70:E76" si="3">"PJ,"&amp;IF(RIGHT(D66,3)="ELC","GW","PJa")</f>
        <v>PJ,PJa</v>
      </c>
      <c r="F70" s="420" t="str">
        <f t="shared" ref="F70:F76" si="4">"PRC,PRE,"&amp;IF(RIGHT(D66,3)="ELC","DAYNITE","ANNUAL")</f>
        <v>PRC,PRE,ANNUAL</v>
      </c>
    </row>
    <row r="71" spans="1:9">
      <c r="A71" s="42"/>
      <c r="B71" s="652" t="s">
        <v>1869</v>
      </c>
      <c r="C71" s="419" t="s">
        <v>1883</v>
      </c>
      <c r="D71" s="177" t="s">
        <v>1888</v>
      </c>
      <c r="E71" s="420" t="str">
        <f t="shared" si="3"/>
        <v>PJ,PJa</v>
      </c>
      <c r="F71" s="420" t="str">
        <f t="shared" si="4"/>
        <v>PRC,PRE,ANNUAL</v>
      </c>
    </row>
    <row r="72" spans="1:9">
      <c r="A72" s="42"/>
      <c r="B72" s="652" t="s">
        <v>1869</v>
      </c>
      <c r="C72" s="419" t="s">
        <v>1884</v>
      </c>
      <c r="D72" s="177" t="s">
        <v>1889</v>
      </c>
      <c r="E72" s="420" t="str">
        <f t="shared" si="3"/>
        <v>PJ,PJa</v>
      </c>
      <c r="F72" s="420" t="str">
        <f t="shared" si="4"/>
        <v>PRC,PRE,ANNUAL</v>
      </c>
    </row>
    <row r="73" spans="1:9">
      <c r="A73" s="42"/>
      <c r="B73" s="652" t="s">
        <v>1869</v>
      </c>
      <c r="C73" s="419" t="s">
        <v>1885</v>
      </c>
      <c r="D73" s="177" t="s">
        <v>1890</v>
      </c>
      <c r="E73" s="420" t="str">
        <f t="shared" si="3"/>
        <v>PJ,PJa</v>
      </c>
      <c r="F73" s="420" t="str">
        <f t="shared" si="4"/>
        <v>PRC,PRE,ANNUAL</v>
      </c>
    </row>
    <row r="74" spans="1:9">
      <c r="A74" s="883"/>
      <c r="B74" s="652" t="s">
        <v>1869</v>
      </c>
      <c r="C74" s="419" t="s">
        <v>1886</v>
      </c>
      <c r="D74" s="177" t="s">
        <v>1891</v>
      </c>
      <c r="E74" s="420" t="str">
        <f t="shared" si="3"/>
        <v>PJ,PJa</v>
      </c>
      <c r="F74" s="420" t="str">
        <f t="shared" si="4"/>
        <v>PRC,PRE,ANNUAL</v>
      </c>
      <c r="H74"/>
      <c r="I74"/>
    </row>
    <row r="75" spans="1:9">
      <c r="B75" s="652" t="s">
        <v>1869</v>
      </c>
      <c r="C75" s="419" t="s">
        <v>2041</v>
      </c>
      <c r="D75" s="177" t="s">
        <v>1892</v>
      </c>
      <c r="E75" s="420" t="str">
        <f t="shared" si="3"/>
        <v>PJ,PJa</v>
      </c>
      <c r="F75" s="420" t="str">
        <f t="shared" si="4"/>
        <v>PRC,PRE,ANNUAL</v>
      </c>
      <c r="G75"/>
      <c r="H75"/>
      <c r="I75"/>
    </row>
    <row r="76" spans="1:9">
      <c r="B76" s="652" t="s">
        <v>1869</v>
      </c>
      <c r="C76" s="419" t="s">
        <v>2042</v>
      </c>
      <c r="D76" s="177" t="s">
        <v>1893</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election activeCell="D15" sqref="D15"/>
    </sheetView>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2125</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election activeCell="D5" sqref="D5"/>
    </sheetView>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2199</v>
      </c>
    </row>
    <row r="3" spans="1:10">
      <c r="A3" s="430" t="s">
        <v>310</v>
      </c>
      <c r="B3" s="430" t="s">
        <v>2126</v>
      </c>
      <c r="C3" s="430" t="s">
        <v>749</v>
      </c>
      <c r="D3" s="430" t="s">
        <v>2127</v>
      </c>
    </row>
    <row r="4" spans="1:10">
      <c r="A4" s="430" t="s">
        <v>310</v>
      </c>
      <c r="B4" s="430" t="s">
        <v>881</v>
      </c>
      <c r="C4" s="430" t="str">
        <f>Items_TEmiss!C3</f>
        <v>CO2S</v>
      </c>
      <c r="D4" s="430">
        <v>1</v>
      </c>
    </row>
    <row r="5" spans="1:10">
      <c r="A5" s="430" t="s">
        <v>310</v>
      </c>
      <c r="B5" s="430" t="s">
        <v>882</v>
      </c>
      <c r="C5" s="430" t="str">
        <f>Items_TEmiss!C4</f>
        <v>CH4S</v>
      </c>
      <c r="D5" s="3">
        <v>25</v>
      </c>
    </row>
    <row r="6" spans="1:10">
      <c r="A6" s="430" t="s">
        <v>310</v>
      </c>
      <c r="B6" s="430" t="s">
        <v>883</v>
      </c>
      <c r="C6" s="430" t="str">
        <f>Items_TEmiss!C5</f>
        <v>N2OS</v>
      </c>
      <c r="D6" s="3">
        <v>298</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2198</v>
      </c>
      <c r="C14" s="430" t="s">
        <v>334</v>
      </c>
      <c r="D14" s="430" t="str">
        <f>ITEMS_XFEmiss!C11</f>
        <v>CO2SF</v>
      </c>
      <c r="E14" s="430" t="s">
        <v>334</v>
      </c>
      <c r="F14" s="430" t="str">
        <f>Items_TEmiss!$C$2</f>
        <v>CO2EQS</v>
      </c>
      <c r="G14" s="430" t="s">
        <v>334</v>
      </c>
      <c r="H14" s="430" t="s">
        <v>334</v>
      </c>
      <c r="I14" s="430">
        <v>0</v>
      </c>
      <c r="J14" s="430">
        <v>1</v>
      </c>
    </row>
    <row r="15" spans="1:10">
      <c r="B15" s="430" t="s">
        <v>2198</v>
      </c>
      <c r="C15" s="430" t="s">
        <v>334</v>
      </c>
      <c r="D15" s="430" t="str">
        <f>ITEMS_XFEmiss!C9</f>
        <v>CH4SF</v>
      </c>
      <c r="E15" s="430" t="s">
        <v>334</v>
      </c>
      <c r="F15" s="430" t="str">
        <f>Items_TEmiss!$C$2</f>
        <v>CO2EQS</v>
      </c>
      <c r="G15" s="430" t="s">
        <v>334</v>
      </c>
      <c r="H15" s="430" t="s">
        <v>334</v>
      </c>
      <c r="I15" s="430">
        <v>0</v>
      </c>
      <c r="J15" s="430">
        <f>D5</f>
        <v>25</v>
      </c>
    </row>
    <row r="16" spans="1:10">
      <c r="B16" s="430" t="s">
        <v>2198</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2198</v>
      </c>
      <c r="C17" s="430" t="s">
        <v>334</v>
      </c>
      <c r="D17" s="430" t="str">
        <f t="shared" si="0"/>
        <v>CH4S</v>
      </c>
      <c r="E17" s="430" t="s">
        <v>334</v>
      </c>
      <c r="F17" s="430" t="str">
        <f>Items_TEmiss!$C$2</f>
        <v>CO2EQS</v>
      </c>
      <c r="G17" s="430" t="s">
        <v>334</v>
      </c>
      <c r="H17" s="430" t="s">
        <v>334</v>
      </c>
      <c r="I17" s="430">
        <v>0</v>
      </c>
      <c r="J17" s="430">
        <f t="shared" si="1"/>
        <v>25</v>
      </c>
    </row>
    <row r="18" spans="2:54">
      <c r="B18" s="430" t="s">
        <v>2198</v>
      </c>
      <c r="C18" s="430" t="s">
        <v>334</v>
      </c>
      <c r="D18" s="430" t="str">
        <f t="shared" si="0"/>
        <v>N2OS</v>
      </c>
      <c r="E18" s="430" t="s">
        <v>334</v>
      </c>
      <c r="F18" s="430" t="str">
        <f>Items_TEmiss!$C$2</f>
        <v>CO2EQS</v>
      </c>
      <c r="G18" s="430" t="s">
        <v>334</v>
      </c>
      <c r="H18" s="430" t="s">
        <v>334</v>
      </c>
      <c r="I18" s="430">
        <v>0</v>
      </c>
      <c r="J18" s="430">
        <f t="shared" si="1"/>
        <v>298</v>
      </c>
    </row>
    <row r="19" spans="2:54">
      <c r="B19" s="430" t="s">
        <v>2198</v>
      </c>
      <c r="C19" s="430" t="s">
        <v>334</v>
      </c>
      <c r="D19" s="430" t="str">
        <f t="shared" si="0"/>
        <v>SOXS</v>
      </c>
      <c r="E19" s="430" t="s">
        <v>334</v>
      </c>
      <c r="F19" s="430" t="str">
        <f>Items_TEmiss!$C$2</f>
        <v>CO2EQS</v>
      </c>
      <c r="G19" s="430" t="s">
        <v>334</v>
      </c>
      <c r="H19" s="430" t="s">
        <v>334</v>
      </c>
      <c r="I19" s="430">
        <v>0</v>
      </c>
      <c r="J19" s="430">
        <f t="shared" si="1"/>
        <v>0</v>
      </c>
    </row>
    <row r="20" spans="2:54">
      <c r="B20" s="430" t="s">
        <v>2198</v>
      </c>
      <c r="C20" s="430" t="s">
        <v>334</v>
      </c>
      <c r="D20" s="430" t="str">
        <f t="shared" si="0"/>
        <v>NOXS</v>
      </c>
      <c r="E20" s="430" t="s">
        <v>334</v>
      </c>
      <c r="F20" s="430" t="str">
        <f>Items_TEmiss!$C$2</f>
        <v>CO2EQS</v>
      </c>
      <c r="G20" s="430" t="s">
        <v>334</v>
      </c>
      <c r="H20" s="430" t="s">
        <v>334</v>
      </c>
      <c r="I20" s="430">
        <v>0</v>
      </c>
      <c r="J20" s="430">
        <f t="shared" si="1"/>
        <v>0</v>
      </c>
    </row>
    <row r="21" spans="2:54">
      <c r="B21" s="430" t="s">
        <v>2198</v>
      </c>
      <c r="C21" s="430" t="s">
        <v>334</v>
      </c>
      <c r="D21" s="430" t="str">
        <f t="shared" si="0"/>
        <v>CMOX</v>
      </c>
      <c r="E21" s="430" t="s">
        <v>334</v>
      </c>
      <c r="F21" s="430" t="str">
        <f>Items_TEmiss!$C$2</f>
        <v>CO2EQS</v>
      </c>
      <c r="G21" s="430" t="s">
        <v>334</v>
      </c>
      <c r="H21" s="430" t="s">
        <v>334</v>
      </c>
      <c r="I21" s="430">
        <v>0</v>
      </c>
      <c r="J21" s="430">
        <f t="shared" si="1"/>
        <v>0</v>
      </c>
    </row>
    <row r="22" spans="2:54">
      <c r="B22" s="430" t="s">
        <v>2198</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2198</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2198</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2198</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2198</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2198</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2198</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2198</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2198</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2198</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2198</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2198</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2198</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2198</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2198</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2198</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2198</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2198</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2198</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2198</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2198</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2198</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2198</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2198</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2198</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2198</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2198</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2198</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2198</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2198</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2198</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2198</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2198</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2198</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2198</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2198</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2198</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2198</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2198</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2198</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2198</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2198</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2198</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2198</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2198</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2198</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2198</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2198</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2198</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2198</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2198</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2198</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2198</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2198</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13471</v>
      </c>
      <c r="C4" s="161"/>
      <c r="D4" s="41"/>
      <c r="E4" s="41"/>
      <c r="F4" s="41"/>
      <c r="G4" s="41"/>
    </row>
    <row r="5" spans="1:7">
      <c r="A5" s="93" t="s">
        <v>310</v>
      </c>
      <c r="B5" s="41" t="s">
        <v>13479</v>
      </c>
      <c r="C5" s="1349"/>
      <c r="D5" s="1349"/>
      <c r="E5" s="438"/>
      <c r="F5" s="438"/>
    </row>
    <row r="6" spans="1:7">
      <c r="B6" s="438" t="s">
        <v>13472</v>
      </c>
      <c r="C6" s="1349" t="s">
        <v>13480</v>
      </c>
      <c r="D6" s="1349" t="s">
        <v>13482</v>
      </c>
      <c r="E6" s="438" t="s">
        <v>13473</v>
      </c>
      <c r="F6" s="438" t="s">
        <v>13474</v>
      </c>
    </row>
    <row r="7" spans="1:7">
      <c r="B7" s="438" t="s">
        <v>13472</v>
      </c>
      <c r="C7" s="1349" t="s">
        <v>13481</v>
      </c>
      <c r="D7" s="1349" t="s">
        <v>13483</v>
      </c>
      <c r="E7" s="438" t="s">
        <v>13473</v>
      </c>
      <c r="F7" s="438" t="s">
        <v>13474</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13484</v>
      </c>
      <c r="I8" s="1357">
        <v>1</v>
      </c>
    </row>
    <row r="9" spans="1:42">
      <c r="B9" s="1353" t="s">
        <v>13475</v>
      </c>
      <c r="C9" s="1353" t="str">
        <f>'ITEMS UC'!$C$6</f>
        <v>UCACT-ODS</v>
      </c>
      <c r="D9" s="1353" t="s">
        <v>13476</v>
      </c>
      <c r="E9" s="1353" t="str">
        <f>ITEMS_STech!C39</f>
        <v>IMPODS</v>
      </c>
      <c r="F9" s="1353" t="s">
        <v>334</v>
      </c>
      <c r="G9" s="1353" t="s">
        <v>337</v>
      </c>
      <c r="H9" s="1353" t="s">
        <v>334</v>
      </c>
      <c r="I9" s="1354">
        <v>5</v>
      </c>
      <c r="J9" s="1355">
        <v>1</v>
      </c>
      <c r="K9" s="1355" t="s">
        <v>1979</v>
      </c>
      <c r="L9" s="1355" t="s">
        <v>1979</v>
      </c>
      <c r="M9" s="1355" t="s">
        <v>1979</v>
      </c>
      <c r="N9" s="1355" t="s">
        <v>1979</v>
      </c>
      <c r="O9" s="1355" t="s">
        <v>1979</v>
      </c>
      <c r="P9" s="1355" t="s">
        <v>1979</v>
      </c>
      <c r="Q9" s="1355" t="s">
        <v>1979</v>
      </c>
      <c r="R9" s="1355" t="s">
        <v>1979</v>
      </c>
      <c r="S9" s="1355" t="s">
        <v>1979</v>
      </c>
      <c r="T9" s="1355" t="s">
        <v>1979</v>
      </c>
      <c r="U9" s="1355" t="s">
        <v>1979</v>
      </c>
      <c r="V9" s="1355" t="s">
        <v>1979</v>
      </c>
      <c r="W9" s="1355" t="s">
        <v>1979</v>
      </c>
      <c r="X9" s="1355" t="s">
        <v>1979</v>
      </c>
      <c r="Y9" s="1355" t="s">
        <v>1979</v>
      </c>
      <c r="Z9" s="1355" t="s">
        <v>1979</v>
      </c>
      <c r="AA9" s="1355" t="s">
        <v>1979</v>
      </c>
      <c r="AB9" s="1355" t="s">
        <v>1979</v>
      </c>
      <c r="AC9" s="1355" t="s">
        <v>1979</v>
      </c>
      <c r="AD9" s="1355" t="s">
        <v>1979</v>
      </c>
      <c r="AE9" s="1355" t="s">
        <v>1979</v>
      </c>
      <c r="AF9" s="1355" t="s">
        <v>1979</v>
      </c>
      <c r="AG9" s="1355" t="s">
        <v>1979</v>
      </c>
      <c r="AH9" s="1355" t="s">
        <v>1979</v>
      </c>
      <c r="AI9" s="1355"/>
      <c r="AJ9" s="1355"/>
      <c r="AK9" s="1355"/>
      <c r="AL9" s="1355"/>
      <c r="AM9" s="1355"/>
      <c r="AN9" s="1355" t="s">
        <v>1979</v>
      </c>
      <c r="AO9" s="1355" t="s">
        <v>1979</v>
      </c>
      <c r="AP9" s="1355" t="s">
        <v>1979</v>
      </c>
    </row>
    <row r="10" spans="1:42">
      <c r="B10" s="1353" t="s">
        <v>13475</v>
      </c>
      <c r="C10" s="1353" t="str">
        <f>'ITEMS UC'!$C$6</f>
        <v>UCACT-ODS</v>
      </c>
      <c r="D10" s="1353" t="s">
        <v>13476</v>
      </c>
      <c r="E10" s="1353" t="s">
        <v>13485</v>
      </c>
      <c r="F10" s="1353" t="s">
        <v>334</v>
      </c>
      <c r="G10" s="1353" t="s">
        <v>337</v>
      </c>
      <c r="H10" s="1353" t="s">
        <v>334</v>
      </c>
      <c r="I10" s="1354">
        <v>5</v>
      </c>
      <c r="J10" s="1358">
        <f t="shared" ref="J10:J15" si="0">-$I$8</f>
        <v>-1</v>
      </c>
      <c r="K10" s="1355" t="s">
        <v>1979</v>
      </c>
      <c r="L10" s="1355" t="s">
        <v>1979</v>
      </c>
      <c r="M10" s="1355" t="s">
        <v>1979</v>
      </c>
      <c r="N10" s="1355" t="s">
        <v>1979</v>
      </c>
      <c r="O10" s="1355" t="s">
        <v>1979</v>
      </c>
      <c r="P10" s="1355" t="s">
        <v>1979</v>
      </c>
      <c r="Q10" s="1355" t="s">
        <v>1979</v>
      </c>
      <c r="R10" s="1355" t="s">
        <v>1979</v>
      </c>
      <c r="S10" s="1355" t="s">
        <v>1979</v>
      </c>
      <c r="T10" s="1355" t="s">
        <v>1979</v>
      </c>
      <c r="U10" s="1355" t="s">
        <v>1979</v>
      </c>
      <c r="V10" s="1355" t="s">
        <v>1979</v>
      </c>
      <c r="W10" s="1355" t="s">
        <v>1979</v>
      </c>
      <c r="X10" s="1355" t="s">
        <v>1979</v>
      </c>
      <c r="Y10" s="1355" t="s">
        <v>1979</v>
      </c>
      <c r="Z10" s="1355" t="s">
        <v>1979</v>
      </c>
      <c r="AA10" s="1355" t="s">
        <v>1979</v>
      </c>
      <c r="AB10" s="1355" t="s">
        <v>1979</v>
      </c>
      <c r="AC10" s="1355" t="s">
        <v>1979</v>
      </c>
      <c r="AD10" s="1355" t="s">
        <v>1979</v>
      </c>
      <c r="AE10" s="1355" t="s">
        <v>1979</v>
      </c>
      <c r="AF10" s="1355" t="s">
        <v>1979</v>
      </c>
      <c r="AG10" s="1355" t="s">
        <v>1979</v>
      </c>
      <c r="AH10" s="1355" t="s">
        <v>1979</v>
      </c>
      <c r="AI10" s="1355"/>
      <c r="AJ10" s="1355"/>
      <c r="AK10" s="1355"/>
      <c r="AL10" s="1355"/>
      <c r="AM10" s="1355"/>
      <c r="AN10" s="1355" t="s">
        <v>1979</v>
      </c>
      <c r="AO10" s="1355" t="s">
        <v>1979</v>
      </c>
      <c r="AP10" s="1355" t="s">
        <v>1979</v>
      </c>
    </row>
    <row r="11" spans="1:42">
      <c r="B11" s="1353" t="s">
        <v>13475</v>
      </c>
      <c r="C11" s="1353" t="str">
        <f>'ITEMS UC'!$C$6</f>
        <v>UCACT-ODS</v>
      </c>
      <c r="D11" s="1353" t="s">
        <v>13476</v>
      </c>
      <c r="E11" s="1353" t="s">
        <v>13486</v>
      </c>
      <c r="F11" s="1353" t="s">
        <v>334</v>
      </c>
      <c r="G11" s="1353" t="s">
        <v>337</v>
      </c>
      <c r="H11" s="1353" t="s">
        <v>334</v>
      </c>
      <c r="I11" s="1354">
        <v>5</v>
      </c>
      <c r="J11" s="1358">
        <f t="shared" si="0"/>
        <v>-1</v>
      </c>
      <c r="K11" s="1355" t="s">
        <v>1979</v>
      </c>
      <c r="L11" s="1355" t="s">
        <v>1979</v>
      </c>
      <c r="M11" s="1355" t="s">
        <v>1979</v>
      </c>
      <c r="N11" s="1355" t="s">
        <v>1979</v>
      </c>
      <c r="O11" s="1355" t="s">
        <v>1979</v>
      </c>
      <c r="P11" s="1355" t="s">
        <v>1979</v>
      </c>
      <c r="Q11" s="1355" t="s">
        <v>1979</v>
      </c>
      <c r="R11" s="1355" t="s">
        <v>1979</v>
      </c>
      <c r="S11" s="1355" t="s">
        <v>1979</v>
      </c>
      <c r="T11" s="1355" t="s">
        <v>1979</v>
      </c>
      <c r="U11" s="1355" t="s">
        <v>1979</v>
      </c>
      <c r="V11" s="1355" t="s">
        <v>1979</v>
      </c>
      <c r="W11" s="1355" t="s">
        <v>1979</v>
      </c>
      <c r="X11" s="1355" t="s">
        <v>1979</v>
      </c>
      <c r="Y11" s="1355" t="s">
        <v>1979</v>
      </c>
      <c r="Z11" s="1355" t="s">
        <v>1979</v>
      </c>
      <c r="AA11" s="1355" t="s">
        <v>1979</v>
      </c>
      <c r="AB11" s="1355" t="s">
        <v>1979</v>
      </c>
      <c r="AC11" s="1355" t="s">
        <v>1979</v>
      </c>
      <c r="AD11" s="1355" t="s">
        <v>1979</v>
      </c>
      <c r="AE11" s="1355" t="s">
        <v>1979</v>
      </c>
      <c r="AF11" s="1355" t="s">
        <v>1979</v>
      </c>
      <c r="AG11" s="1355" t="s">
        <v>1979</v>
      </c>
      <c r="AH11" s="1355" t="s">
        <v>1979</v>
      </c>
      <c r="AI11" s="1355"/>
      <c r="AJ11" s="1355"/>
      <c r="AK11" s="1355"/>
      <c r="AL11" s="1355"/>
      <c r="AM11" s="1355"/>
      <c r="AN11" s="1355" t="s">
        <v>1979</v>
      </c>
      <c r="AO11" s="1355" t="s">
        <v>1979</v>
      </c>
      <c r="AP11" s="1355" t="s">
        <v>1979</v>
      </c>
    </row>
    <row r="12" spans="1:42">
      <c r="B12" s="1353" t="s">
        <v>13475</v>
      </c>
      <c r="C12" s="1353" t="str">
        <f>'ITEMS UC'!$C$6</f>
        <v>UCACT-ODS</v>
      </c>
      <c r="D12" s="1353" t="s">
        <v>13476</v>
      </c>
      <c r="E12" s="1353" t="s">
        <v>13487</v>
      </c>
      <c r="F12" s="1353" t="s">
        <v>334</v>
      </c>
      <c r="G12" s="1353" t="s">
        <v>337</v>
      </c>
      <c r="H12" s="1353" t="s">
        <v>334</v>
      </c>
      <c r="I12" s="1354">
        <v>5</v>
      </c>
      <c r="J12" s="1358">
        <f t="shared" si="0"/>
        <v>-1</v>
      </c>
      <c r="K12" s="1355" t="s">
        <v>1979</v>
      </c>
      <c r="L12" s="1355" t="s">
        <v>1979</v>
      </c>
      <c r="M12" s="1355" t="s">
        <v>1979</v>
      </c>
      <c r="N12" s="1355" t="s">
        <v>1979</v>
      </c>
      <c r="O12" s="1355" t="s">
        <v>1979</v>
      </c>
      <c r="P12" s="1355" t="s">
        <v>1979</v>
      </c>
      <c r="Q12" s="1355" t="s">
        <v>1979</v>
      </c>
      <c r="R12" s="1355" t="s">
        <v>1979</v>
      </c>
      <c r="S12" s="1355" t="s">
        <v>1979</v>
      </c>
      <c r="T12" s="1355" t="s">
        <v>1979</v>
      </c>
      <c r="U12" s="1355" t="s">
        <v>1979</v>
      </c>
      <c r="V12" s="1355" t="s">
        <v>1979</v>
      </c>
      <c r="W12" s="1355" t="s">
        <v>1979</v>
      </c>
      <c r="X12" s="1355" t="s">
        <v>1979</v>
      </c>
      <c r="Y12" s="1355" t="s">
        <v>1979</v>
      </c>
      <c r="Z12" s="1355" t="s">
        <v>1979</v>
      </c>
      <c r="AA12" s="1355" t="s">
        <v>1979</v>
      </c>
      <c r="AB12" s="1355" t="s">
        <v>1979</v>
      </c>
      <c r="AC12" s="1355" t="s">
        <v>1979</v>
      </c>
      <c r="AD12" s="1355" t="s">
        <v>1979</v>
      </c>
      <c r="AE12" s="1355" t="s">
        <v>1979</v>
      </c>
      <c r="AF12" s="1355" t="s">
        <v>1979</v>
      </c>
      <c r="AG12" s="1355" t="s">
        <v>1979</v>
      </c>
      <c r="AH12" s="1355" t="s">
        <v>1979</v>
      </c>
      <c r="AI12" s="1355"/>
      <c r="AJ12" s="1355"/>
      <c r="AK12" s="1355"/>
      <c r="AL12" s="1355"/>
      <c r="AM12" s="1355"/>
      <c r="AN12" s="1355" t="s">
        <v>1979</v>
      </c>
      <c r="AO12" s="1355" t="s">
        <v>1979</v>
      </c>
      <c r="AP12" s="1355" t="s">
        <v>1979</v>
      </c>
    </row>
    <row r="13" spans="1:42">
      <c r="B13" s="1353" t="s">
        <v>13475</v>
      </c>
      <c r="C13" s="1353" t="str">
        <f>'ITEMS UC'!$C$6</f>
        <v>UCACT-ODS</v>
      </c>
      <c r="D13" s="1353" t="s">
        <v>13476</v>
      </c>
      <c r="E13" s="1353" t="s">
        <v>1696</v>
      </c>
      <c r="F13" s="1353" t="s">
        <v>334</v>
      </c>
      <c r="G13" s="1353" t="s">
        <v>337</v>
      </c>
      <c r="H13" s="1353" t="s">
        <v>334</v>
      </c>
      <c r="I13" s="1354">
        <v>5</v>
      </c>
      <c r="J13" s="1358">
        <f t="shared" si="0"/>
        <v>-1</v>
      </c>
      <c r="K13" s="1355" t="s">
        <v>1979</v>
      </c>
      <c r="L13" s="1355" t="s">
        <v>1979</v>
      </c>
      <c r="M13" s="1355" t="s">
        <v>1979</v>
      </c>
      <c r="N13" s="1355" t="s">
        <v>1979</v>
      </c>
      <c r="O13" s="1355" t="s">
        <v>1979</v>
      </c>
      <c r="P13" s="1355" t="s">
        <v>1979</v>
      </c>
      <c r="Q13" s="1355" t="s">
        <v>1979</v>
      </c>
      <c r="R13" s="1355" t="s">
        <v>1979</v>
      </c>
      <c r="S13" s="1355" t="s">
        <v>1979</v>
      </c>
      <c r="T13" s="1355" t="s">
        <v>1979</v>
      </c>
      <c r="U13" s="1355" t="s">
        <v>1979</v>
      </c>
      <c r="V13" s="1355" t="s">
        <v>1979</v>
      </c>
      <c r="W13" s="1355" t="s">
        <v>1979</v>
      </c>
      <c r="X13" s="1355" t="s">
        <v>1979</v>
      </c>
      <c r="Y13" s="1355" t="s">
        <v>1979</v>
      </c>
      <c r="Z13" s="1355" t="s">
        <v>1979</v>
      </c>
      <c r="AA13" s="1355" t="s">
        <v>1979</v>
      </c>
      <c r="AB13" s="1355" t="s">
        <v>1979</v>
      </c>
      <c r="AC13" s="1355" t="s">
        <v>1979</v>
      </c>
      <c r="AD13" s="1355" t="s">
        <v>1979</v>
      </c>
      <c r="AE13" s="1355" t="s">
        <v>1979</v>
      </c>
      <c r="AF13" s="1355" t="s">
        <v>1979</v>
      </c>
      <c r="AG13" s="1355" t="s">
        <v>1979</v>
      </c>
      <c r="AH13" s="1355" t="s">
        <v>1979</v>
      </c>
      <c r="AI13" s="1355"/>
      <c r="AJ13" s="1355"/>
      <c r="AK13" s="1355"/>
      <c r="AL13" s="1355"/>
      <c r="AM13" s="1355"/>
      <c r="AN13" s="1355" t="s">
        <v>1979</v>
      </c>
      <c r="AO13" s="1355" t="s">
        <v>1979</v>
      </c>
      <c r="AP13" s="1355" t="s">
        <v>1979</v>
      </c>
    </row>
    <row r="14" spans="1:42">
      <c r="A14" s="1350" t="s">
        <v>310</v>
      </c>
      <c r="B14" s="1353" t="s">
        <v>13475</v>
      </c>
      <c r="C14" s="1353" t="str">
        <f>'ITEMS UC'!$C$6</f>
        <v>UCACT-ODS</v>
      </c>
      <c r="D14" s="1353" t="s">
        <v>13476</v>
      </c>
      <c r="E14" s="1353" t="s">
        <v>13488</v>
      </c>
      <c r="F14" s="1353" t="s">
        <v>334</v>
      </c>
      <c r="G14" s="1353" t="s">
        <v>337</v>
      </c>
      <c r="H14" s="1353" t="s">
        <v>334</v>
      </c>
      <c r="I14" s="1354">
        <v>5</v>
      </c>
      <c r="J14" s="1358">
        <f t="shared" si="0"/>
        <v>-1</v>
      </c>
      <c r="K14" s="1355" t="s">
        <v>1979</v>
      </c>
      <c r="L14" s="1355" t="s">
        <v>1979</v>
      </c>
      <c r="M14" s="1355" t="s">
        <v>1979</v>
      </c>
      <c r="N14" s="1355" t="s">
        <v>1979</v>
      </c>
      <c r="O14" s="1355" t="s">
        <v>1979</v>
      </c>
      <c r="P14" s="1355" t="s">
        <v>1979</v>
      </c>
      <c r="Q14" s="1355" t="s">
        <v>1979</v>
      </c>
      <c r="R14" s="1355" t="s">
        <v>1979</v>
      </c>
      <c r="S14" s="1355" t="s">
        <v>1979</v>
      </c>
      <c r="T14" s="1355" t="s">
        <v>1979</v>
      </c>
      <c r="U14" s="1355" t="s">
        <v>1979</v>
      </c>
      <c r="V14" s="1355" t="s">
        <v>1979</v>
      </c>
      <c r="W14" s="1355" t="s">
        <v>1979</v>
      </c>
      <c r="X14" s="1355" t="s">
        <v>1979</v>
      </c>
      <c r="Y14" s="1355" t="s">
        <v>1979</v>
      </c>
      <c r="Z14" s="1355" t="s">
        <v>1979</v>
      </c>
      <c r="AA14" s="1355" t="s">
        <v>1979</v>
      </c>
      <c r="AB14" s="1355" t="s">
        <v>1979</v>
      </c>
      <c r="AC14" s="1355" t="s">
        <v>1979</v>
      </c>
      <c r="AD14" s="1355" t="s">
        <v>1979</v>
      </c>
      <c r="AE14" s="1355" t="s">
        <v>1979</v>
      </c>
      <c r="AF14" s="1355" t="s">
        <v>1979</v>
      </c>
      <c r="AG14" s="1355" t="s">
        <v>1979</v>
      </c>
      <c r="AH14" s="1355" t="s">
        <v>1979</v>
      </c>
      <c r="AI14" s="1355"/>
      <c r="AJ14" s="1355"/>
      <c r="AK14" s="1355"/>
      <c r="AL14" s="1355"/>
      <c r="AM14" s="1355"/>
      <c r="AN14" s="1355" t="s">
        <v>1979</v>
      </c>
      <c r="AO14" s="1355" t="s">
        <v>1979</v>
      </c>
      <c r="AP14" s="1355" t="s">
        <v>1979</v>
      </c>
    </row>
    <row r="15" spans="1:42">
      <c r="A15" s="1350" t="s">
        <v>310</v>
      </c>
      <c r="B15" s="1353" t="s">
        <v>13475</v>
      </c>
      <c r="C15" s="1353" t="str">
        <f>'ITEMS UC'!$C$6</f>
        <v>UCACT-ODS</v>
      </c>
      <c r="D15" s="1353" t="s">
        <v>13476</v>
      </c>
      <c r="E15" s="1353" t="s">
        <v>13489</v>
      </c>
      <c r="F15" s="1353" t="s">
        <v>334</v>
      </c>
      <c r="G15" s="1353" t="s">
        <v>337</v>
      </c>
      <c r="H15" s="1353" t="s">
        <v>334</v>
      </c>
      <c r="I15" s="1354">
        <v>5</v>
      </c>
      <c r="J15" s="1358">
        <f t="shared" si="0"/>
        <v>-1</v>
      </c>
      <c r="K15" s="1355" t="s">
        <v>1979</v>
      </c>
      <c r="L15" s="1355" t="s">
        <v>1979</v>
      </c>
      <c r="M15" s="1355" t="s">
        <v>1979</v>
      </c>
      <c r="N15" s="1355" t="s">
        <v>1979</v>
      </c>
      <c r="O15" s="1355" t="s">
        <v>1979</v>
      </c>
      <c r="P15" s="1355" t="s">
        <v>1979</v>
      </c>
      <c r="Q15" s="1355" t="s">
        <v>1979</v>
      </c>
      <c r="R15" s="1355" t="s">
        <v>1979</v>
      </c>
      <c r="S15" s="1355" t="s">
        <v>1979</v>
      </c>
      <c r="T15" s="1355" t="s">
        <v>1979</v>
      </c>
      <c r="U15" s="1355" t="s">
        <v>1979</v>
      </c>
      <c r="V15" s="1355" t="s">
        <v>1979</v>
      </c>
      <c r="W15" s="1355" t="s">
        <v>1979</v>
      </c>
      <c r="X15" s="1355" t="s">
        <v>1979</v>
      </c>
      <c r="Y15" s="1355" t="s">
        <v>1979</v>
      </c>
      <c r="Z15" s="1355" t="s">
        <v>1979</v>
      </c>
      <c r="AA15" s="1355" t="s">
        <v>1979</v>
      </c>
      <c r="AB15" s="1355" t="s">
        <v>1979</v>
      </c>
      <c r="AC15" s="1355" t="s">
        <v>1979</v>
      </c>
      <c r="AD15" s="1355" t="s">
        <v>1979</v>
      </c>
      <c r="AE15" s="1355" t="s">
        <v>1979</v>
      </c>
      <c r="AF15" s="1355" t="s">
        <v>1979</v>
      </c>
      <c r="AG15" s="1355" t="s">
        <v>1979</v>
      </c>
      <c r="AH15" s="1355" t="s">
        <v>1979</v>
      </c>
      <c r="AI15" s="1355"/>
      <c r="AJ15" s="1355"/>
      <c r="AK15" s="1355"/>
      <c r="AL15" s="1355"/>
      <c r="AM15" s="1355"/>
      <c r="AN15" s="1355" t="s">
        <v>1979</v>
      </c>
      <c r="AO15" s="1355" t="s">
        <v>1979</v>
      </c>
      <c r="AP15" s="1355" t="s">
        <v>1979</v>
      </c>
    </row>
    <row r="16" spans="1:42">
      <c r="B16" s="1353" t="s">
        <v>13477</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13484</v>
      </c>
      <c r="I17" s="1357">
        <v>1</v>
      </c>
    </row>
    <row r="18" spans="1:42">
      <c r="B18" s="1353" t="s">
        <v>13475</v>
      </c>
      <c r="C18" s="1353" t="str">
        <f>'ITEMS UC'!$C$7</f>
        <v>UCACT-OGS</v>
      </c>
      <c r="D18" s="1353" t="s">
        <v>13476</v>
      </c>
      <c r="E18" s="1353" t="str">
        <f>ITEMS_STech!C40</f>
        <v>IMPOGS</v>
      </c>
      <c r="F18" s="1353" t="s">
        <v>334</v>
      </c>
      <c r="G18" s="1353" t="s">
        <v>337</v>
      </c>
      <c r="H18" s="1353" t="s">
        <v>334</v>
      </c>
      <c r="I18" s="1354">
        <v>5</v>
      </c>
      <c r="J18" s="1355">
        <v>1</v>
      </c>
      <c r="K18" s="1355" t="s">
        <v>1979</v>
      </c>
      <c r="L18" s="1355" t="s">
        <v>1979</v>
      </c>
      <c r="M18" s="1355" t="s">
        <v>1979</v>
      </c>
      <c r="N18" s="1355" t="s">
        <v>1979</v>
      </c>
      <c r="O18" s="1355" t="s">
        <v>1979</v>
      </c>
      <c r="P18" s="1355" t="s">
        <v>1979</v>
      </c>
      <c r="Q18" s="1355" t="s">
        <v>1979</v>
      </c>
      <c r="R18" s="1355" t="s">
        <v>1979</v>
      </c>
      <c r="S18" s="1355" t="s">
        <v>1979</v>
      </c>
      <c r="T18" s="1355" t="s">
        <v>1979</v>
      </c>
      <c r="U18" s="1355" t="s">
        <v>1979</v>
      </c>
      <c r="V18" s="1355" t="s">
        <v>1979</v>
      </c>
      <c r="W18" s="1355" t="s">
        <v>1979</v>
      </c>
      <c r="X18" s="1355" t="s">
        <v>1979</v>
      </c>
      <c r="Y18" s="1355" t="s">
        <v>1979</v>
      </c>
      <c r="Z18" s="1355" t="s">
        <v>1979</v>
      </c>
      <c r="AA18" s="1355" t="s">
        <v>1979</v>
      </c>
      <c r="AB18" s="1355" t="s">
        <v>1979</v>
      </c>
      <c r="AC18" s="1355" t="s">
        <v>1979</v>
      </c>
      <c r="AD18" s="1355" t="s">
        <v>1979</v>
      </c>
      <c r="AE18" s="1355" t="s">
        <v>1979</v>
      </c>
      <c r="AF18" s="1355" t="s">
        <v>1979</v>
      </c>
      <c r="AG18" s="1355" t="s">
        <v>1979</v>
      </c>
      <c r="AH18" s="1355" t="s">
        <v>1979</v>
      </c>
      <c r="AI18" s="1355"/>
      <c r="AJ18" s="1355"/>
      <c r="AK18" s="1355"/>
      <c r="AL18" s="1355"/>
      <c r="AM18" s="1355"/>
      <c r="AN18" s="1355" t="s">
        <v>1979</v>
      </c>
      <c r="AO18" s="1355" t="s">
        <v>1979</v>
      </c>
      <c r="AP18" s="1355" t="s">
        <v>1979</v>
      </c>
    </row>
    <row r="19" spans="1:42">
      <c r="B19" s="1353" t="s">
        <v>13475</v>
      </c>
      <c r="C19" s="1353" t="str">
        <f>'ITEMS UC'!$C$7</f>
        <v>UCACT-OGS</v>
      </c>
      <c r="D19" s="1353" t="s">
        <v>13476</v>
      </c>
      <c r="E19" s="1353" t="s">
        <v>13490</v>
      </c>
      <c r="F19" s="1353" t="s">
        <v>334</v>
      </c>
      <c r="G19" s="1353" t="s">
        <v>337</v>
      </c>
      <c r="H19" s="1353" t="s">
        <v>334</v>
      </c>
      <c r="I19" s="1354">
        <v>5</v>
      </c>
      <c r="J19" s="1358">
        <f t="shared" ref="J19:J24" si="1">-$I$17</f>
        <v>-1</v>
      </c>
      <c r="K19" s="1355" t="s">
        <v>1979</v>
      </c>
      <c r="L19" s="1355" t="s">
        <v>1979</v>
      </c>
      <c r="M19" s="1355" t="s">
        <v>1979</v>
      </c>
      <c r="N19" s="1355" t="s">
        <v>1979</v>
      </c>
      <c r="O19" s="1355" t="s">
        <v>1979</v>
      </c>
      <c r="P19" s="1355" t="s">
        <v>1979</v>
      </c>
      <c r="Q19" s="1355" t="s">
        <v>1979</v>
      </c>
      <c r="R19" s="1355" t="s">
        <v>1979</v>
      </c>
      <c r="S19" s="1355" t="s">
        <v>1979</v>
      </c>
      <c r="T19" s="1355" t="s">
        <v>1979</v>
      </c>
      <c r="U19" s="1355" t="s">
        <v>1979</v>
      </c>
      <c r="V19" s="1355" t="s">
        <v>1979</v>
      </c>
      <c r="W19" s="1355" t="s">
        <v>1979</v>
      </c>
      <c r="X19" s="1355" t="s">
        <v>1979</v>
      </c>
      <c r="Y19" s="1355" t="s">
        <v>1979</v>
      </c>
      <c r="Z19" s="1355" t="s">
        <v>1979</v>
      </c>
      <c r="AA19" s="1355" t="s">
        <v>1979</v>
      </c>
      <c r="AB19" s="1355" t="s">
        <v>1979</v>
      </c>
      <c r="AC19" s="1355" t="s">
        <v>1979</v>
      </c>
      <c r="AD19" s="1355" t="s">
        <v>1979</v>
      </c>
      <c r="AE19" s="1355" t="s">
        <v>1979</v>
      </c>
      <c r="AF19" s="1355" t="s">
        <v>1979</v>
      </c>
      <c r="AG19" s="1355" t="s">
        <v>1979</v>
      </c>
      <c r="AH19" s="1355" t="s">
        <v>1979</v>
      </c>
      <c r="AI19" s="1355"/>
      <c r="AJ19" s="1355"/>
      <c r="AK19" s="1355"/>
      <c r="AL19" s="1355"/>
      <c r="AM19" s="1355"/>
      <c r="AN19" s="1355" t="s">
        <v>1979</v>
      </c>
      <c r="AO19" s="1355" t="s">
        <v>1979</v>
      </c>
      <c r="AP19" s="1355" t="s">
        <v>1979</v>
      </c>
    </row>
    <row r="20" spans="1:42">
      <c r="B20" s="1353" t="s">
        <v>13475</v>
      </c>
      <c r="C20" s="1353" t="str">
        <f>'ITEMS UC'!$C$7</f>
        <v>UCACT-OGS</v>
      </c>
      <c r="D20" s="1353" t="s">
        <v>13476</v>
      </c>
      <c r="E20" s="1353" t="s">
        <v>13491</v>
      </c>
      <c r="F20" s="1353" t="s">
        <v>334</v>
      </c>
      <c r="G20" s="1353" t="s">
        <v>337</v>
      </c>
      <c r="H20" s="1353" t="s">
        <v>334</v>
      </c>
      <c r="I20" s="1354">
        <v>5</v>
      </c>
      <c r="J20" s="1358">
        <f t="shared" si="1"/>
        <v>-1</v>
      </c>
      <c r="K20" s="1355" t="s">
        <v>1979</v>
      </c>
      <c r="L20" s="1355" t="s">
        <v>1979</v>
      </c>
      <c r="M20" s="1355" t="s">
        <v>1979</v>
      </c>
      <c r="N20" s="1355" t="s">
        <v>1979</v>
      </c>
      <c r="O20" s="1355" t="s">
        <v>1979</v>
      </c>
      <c r="P20" s="1355" t="s">
        <v>1979</v>
      </c>
      <c r="Q20" s="1355" t="s">
        <v>1979</v>
      </c>
      <c r="R20" s="1355" t="s">
        <v>1979</v>
      </c>
      <c r="S20" s="1355" t="s">
        <v>1979</v>
      </c>
      <c r="T20" s="1355" t="s">
        <v>1979</v>
      </c>
      <c r="U20" s="1355" t="s">
        <v>1979</v>
      </c>
      <c r="V20" s="1355" t="s">
        <v>1979</v>
      </c>
      <c r="W20" s="1355" t="s">
        <v>1979</v>
      </c>
      <c r="X20" s="1355" t="s">
        <v>1979</v>
      </c>
      <c r="Y20" s="1355" t="s">
        <v>1979</v>
      </c>
      <c r="Z20" s="1355" t="s">
        <v>1979</v>
      </c>
      <c r="AA20" s="1355" t="s">
        <v>1979</v>
      </c>
      <c r="AB20" s="1355" t="s">
        <v>1979</v>
      </c>
      <c r="AC20" s="1355" t="s">
        <v>1979</v>
      </c>
      <c r="AD20" s="1355" t="s">
        <v>1979</v>
      </c>
      <c r="AE20" s="1355" t="s">
        <v>1979</v>
      </c>
      <c r="AF20" s="1355" t="s">
        <v>1979</v>
      </c>
      <c r="AG20" s="1355" t="s">
        <v>1979</v>
      </c>
      <c r="AH20" s="1355" t="s">
        <v>1979</v>
      </c>
      <c r="AI20" s="1355"/>
      <c r="AJ20" s="1355"/>
      <c r="AK20" s="1355"/>
      <c r="AL20" s="1355"/>
      <c r="AM20" s="1355"/>
      <c r="AN20" s="1355" t="s">
        <v>1979</v>
      </c>
      <c r="AO20" s="1355" t="s">
        <v>1979</v>
      </c>
      <c r="AP20" s="1355" t="s">
        <v>1979</v>
      </c>
    </row>
    <row r="21" spans="1:42">
      <c r="B21" s="1353" t="s">
        <v>13475</v>
      </c>
      <c r="C21" s="1353" t="str">
        <f>'ITEMS UC'!$C$7</f>
        <v>UCACT-OGS</v>
      </c>
      <c r="D21" s="1353" t="s">
        <v>13476</v>
      </c>
      <c r="E21" s="1353" t="s">
        <v>13492</v>
      </c>
      <c r="F21" s="1353" t="s">
        <v>334</v>
      </c>
      <c r="G21" s="1353" t="s">
        <v>337</v>
      </c>
      <c r="H21" s="1353" t="s">
        <v>334</v>
      </c>
      <c r="I21" s="1354">
        <v>5</v>
      </c>
      <c r="J21" s="1358">
        <f t="shared" si="1"/>
        <v>-1</v>
      </c>
      <c r="K21" s="1355" t="s">
        <v>1979</v>
      </c>
      <c r="L21" s="1355" t="s">
        <v>1979</v>
      </c>
      <c r="M21" s="1355" t="s">
        <v>1979</v>
      </c>
      <c r="N21" s="1355" t="s">
        <v>1979</v>
      </c>
      <c r="O21" s="1355" t="s">
        <v>1979</v>
      </c>
      <c r="P21" s="1355" t="s">
        <v>1979</v>
      </c>
      <c r="Q21" s="1355" t="s">
        <v>1979</v>
      </c>
      <c r="R21" s="1355" t="s">
        <v>1979</v>
      </c>
      <c r="S21" s="1355" t="s">
        <v>1979</v>
      </c>
      <c r="T21" s="1355" t="s">
        <v>1979</v>
      </c>
      <c r="U21" s="1355" t="s">
        <v>1979</v>
      </c>
      <c r="V21" s="1355" t="s">
        <v>1979</v>
      </c>
      <c r="W21" s="1355" t="s">
        <v>1979</v>
      </c>
      <c r="X21" s="1355" t="s">
        <v>1979</v>
      </c>
      <c r="Y21" s="1355" t="s">
        <v>1979</v>
      </c>
      <c r="Z21" s="1355" t="s">
        <v>1979</v>
      </c>
      <c r="AA21" s="1355" t="s">
        <v>1979</v>
      </c>
      <c r="AB21" s="1355" t="s">
        <v>1979</v>
      </c>
      <c r="AC21" s="1355" t="s">
        <v>1979</v>
      </c>
      <c r="AD21" s="1355" t="s">
        <v>1979</v>
      </c>
      <c r="AE21" s="1355" t="s">
        <v>1979</v>
      </c>
      <c r="AF21" s="1355" t="s">
        <v>1979</v>
      </c>
      <c r="AG21" s="1355" t="s">
        <v>1979</v>
      </c>
      <c r="AH21" s="1355" t="s">
        <v>1979</v>
      </c>
      <c r="AI21" s="1355"/>
      <c r="AJ21" s="1355"/>
      <c r="AK21" s="1355"/>
      <c r="AL21" s="1355"/>
      <c r="AM21" s="1355"/>
      <c r="AN21" s="1355" t="s">
        <v>1979</v>
      </c>
      <c r="AO21" s="1355" t="s">
        <v>1979</v>
      </c>
      <c r="AP21" s="1355" t="s">
        <v>1979</v>
      </c>
    </row>
    <row r="22" spans="1:42">
      <c r="B22" s="1353" t="s">
        <v>13475</v>
      </c>
      <c r="C22" s="1353" t="str">
        <f>'ITEMS UC'!$C$7</f>
        <v>UCACT-OGS</v>
      </c>
      <c r="D22" s="1353" t="s">
        <v>13476</v>
      </c>
      <c r="E22" s="1353" t="s">
        <v>1695</v>
      </c>
      <c r="F22" s="1353" t="s">
        <v>334</v>
      </c>
      <c r="G22" s="1353" t="s">
        <v>337</v>
      </c>
      <c r="H22" s="1353" t="s">
        <v>334</v>
      </c>
      <c r="I22" s="1354">
        <v>5</v>
      </c>
      <c r="J22" s="1358">
        <f t="shared" si="1"/>
        <v>-1</v>
      </c>
      <c r="K22" s="1355" t="s">
        <v>1979</v>
      </c>
      <c r="L22" s="1355" t="s">
        <v>1979</v>
      </c>
      <c r="M22" s="1355" t="s">
        <v>1979</v>
      </c>
      <c r="N22" s="1355" t="s">
        <v>1979</v>
      </c>
      <c r="O22" s="1355" t="s">
        <v>1979</v>
      </c>
      <c r="P22" s="1355" t="s">
        <v>1979</v>
      </c>
      <c r="Q22" s="1355" t="s">
        <v>1979</v>
      </c>
      <c r="R22" s="1355" t="s">
        <v>1979</v>
      </c>
      <c r="S22" s="1355" t="s">
        <v>1979</v>
      </c>
      <c r="T22" s="1355" t="s">
        <v>1979</v>
      </c>
      <c r="U22" s="1355" t="s">
        <v>1979</v>
      </c>
      <c r="V22" s="1355" t="s">
        <v>1979</v>
      </c>
      <c r="W22" s="1355" t="s">
        <v>1979</v>
      </c>
      <c r="X22" s="1355" t="s">
        <v>1979</v>
      </c>
      <c r="Y22" s="1355" t="s">
        <v>1979</v>
      </c>
      <c r="Z22" s="1355" t="s">
        <v>1979</v>
      </c>
      <c r="AA22" s="1355" t="s">
        <v>1979</v>
      </c>
      <c r="AB22" s="1355" t="s">
        <v>1979</v>
      </c>
      <c r="AC22" s="1355" t="s">
        <v>1979</v>
      </c>
      <c r="AD22" s="1355" t="s">
        <v>1979</v>
      </c>
      <c r="AE22" s="1355" t="s">
        <v>1979</v>
      </c>
      <c r="AF22" s="1355" t="s">
        <v>1979</v>
      </c>
      <c r="AG22" s="1355" t="s">
        <v>1979</v>
      </c>
      <c r="AH22" s="1355" t="s">
        <v>1979</v>
      </c>
      <c r="AI22" s="1355"/>
      <c r="AJ22" s="1355"/>
      <c r="AK22" s="1355"/>
      <c r="AL22" s="1355"/>
      <c r="AM22" s="1355"/>
      <c r="AN22" s="1355" t="s">
        <v>1979</v>
      </c>
      <c r="AO22" s="1355" t="s">
        <v>1979</v>
      </c>
      <c r="AP22" s="1355" t="s">
        <v>1979</v>
      </c>
    </row>
    <row r="23" spans="1:42">
      <c r="A23" s="1350" t="s">
        <v>310</v>
      </c>
      <c r="B23" s="1353" t="s">
        <v>13475</v>
      </c>
      <c r="C23" s="1353" t="str">
        <f>'ITEMS UC'!$C$7</f>
        <v>UCACT-OGS</v>
      </c>
      <c r="D23" s="1353" t="s">
        <v>13476</v>
      </c>
      <c r="E23" s="1353" t="s">
        <v>13493</v>
      </c>
      <c r="F23" s="1353" t="s">
        <v>334</v>
      </c>
      <c r="G23" s="1353" t="s">
        <v>337</v>
      </c>
      <c r="H23" s="1353" t="s">
        <v>334</v>
      </c>
      <c r="I23" s="1354">
        <v>5</v>
      </c>
      <c r="J23" s="1358">
        <f t="shared" si="1"/>
        <v>-1</v>
      </c>
      <c r="K23" s="1355" t="s">
        <v>1979</v>
      </c>
      <c r="L23" s="1355" t="s">
        <v>1979</v>
      </c>
      <c r="M23" s="1355" t="s">
        <v>1979</v>
      </c>
      <c r="N23" s="1355" t="s">
        <v>1979</v>
      </c>
      <c r="O23" s="1355" t="s">
        <v>1979</v>
      </c>
      <c r="P23" s="1355" t="s">
        <v>1979</v>
      </c>
      <c r="Q23" s="1355" t="s">
        <v>1979</v>
      </c>
      <c r="R23" s="1355" t="s">
        <v>1979</v>
      </c>
      <c r="S23" s="1355" t="s">
        <v>1979</v>
      </c>
      <c r="T23" s="1355" t="s">
        <v>1979</v>
      </c>
      <c r="U23" s="1355" t="s">
        <v>1979</v>
      </c>
      <c r="V23" s="1355" t="s">
        <v>1979</v>
      </c>
      <c r="W23" s="1355" t="s">
        <v>1979</v>
      </c>
      <c r="X23" s="1355" t="s">
        <v>1979</v>
      </c>
      <c r="Y23" s="1355" t="s">
        <v>1979</v>
      </c>
      <c r="Z23" s="1355" t="s">
        <v>1979</v>
      </c>
      <c r="AA23" s="1355" t="s">
        <v>1979</v>
      </c>
      <c r="AB23" s="1355" t="s">
        <v>1979</v>
      </c>
      <c r="AC23" s="1355" t="s">
        <v>1979</v>
      </c>
      <c r="AD23" s="1355" t="s">
        <v>1979</v>
      </c>
      <c r="AE23" s="1355" t="s">
        <v>1979</v>
      </c>
      <c r="AF23" s="1355" t="s">
        <v>1979</v>
      </c>
      <c r="AG23" s="1355" t="s">
        <v>1979</v>
      </c>
      <c r="AH23" s="1355" t="s">
        <v>1979</v>
      </c>
      <c r="AI23" s="1355"/>
      <c r="AJ23" s="1355"/>
      <c r="AK23" s="1355"/>
      <c r="AL23" s="1355"/>
      <c r="AM23" s="1355"/>
      <c r="AN23" s="1355" t="s">
        <v>1979</v>
      </c>
      <c r="AO23" s="1355" t="s">
        <v>1979</v>
      </c>
      <c r="AP23" s="1355" t="s">
        <v>1979</v>
      </c>
    </row>
    <row r="24" spans="1:42">
      <c r="A24" s="1350" t="s">
        <v>310</v>
      </c>
      <c r="B24" s="1353" t="s">
        <v>13475</v>
      </c>
      <c r="C24" s="1353" t="str">
        <f>'ITEMS UC'!$C$7</f>
        <v>UCACT-OGS</v>
      </c>
      <c r="D24" s="1353" t="s">
        <v>13476</v>
      </c>
      <c r="E24" s="1353" t="s">
        <v>13494</v>
      </c>
      <c r="F24" s="1353" t="s">
        <v>334</v>
      </c>
      <c r="G24" s="1353" t="s">
        <v>337</v>
      </c>
      <c r="H24" s="1353" t="s">
        <v>334</v>
      </c>
      <c r="I24" s="1354">
        <v>5</v>
      </c>
      <c r="J24" s="1358">
        <f t="shared" si="1"/>
        <v>-1</v>
      </c>
      <c r="K24" s="1355" t="s">
        <v>1979</v>
      </c>
      <c r="L24" s="1355" t="s">
        <v>1979</v>
      </c>
      <c r="M24" s="1355" t="s">
        <v>1979</v>
      </c>
      <c r="N24" s="1355" t="s">
        <v>1979</v>
      </c>
      <c r="O24" s="1355" t="s">
        <v>1979</v>
      </c>
      <c r="P24" s="1355" t="s">
        <v>1979</v>
      </c>
      <c r="Q24" s="1355" t="s">
        <v>1979</v>
      </c>
      <c r="R24" s="1355" t="s">
        <v>1979</v>
      </c>
      <c r="S24" s="1355" t="s">
        <v>1979</v>
      </c>
      <c r="T24" s="1355" t="s">
        <v>1979</v>
      </c>
      <c r="U24" s="1355" t="s">
        <v>1979</v>
      </c>
      <c r="V24" s="1355" t="s">
        <v>1979</v>
      </c>
      <c r="W24" s="1355" t="s">
        <v>1979</v>
      </c>
      <c r="X24" s="1355" t="s">
        <v>1979</v>
      </c>
      <c r="Y24" s="1355" t="s">
        <v>1979</v>
      </c>
      <c r="Z24" s="1355" t="s">
        <v>1979</v>
      </c>
      <c r="AA24" s="1355" t="s">
        <v>1979</v>
      </c>
      <c r="AB24" s="1355" t="s">
        <v>1979</v>
      </c>
      <c r="AC24" s="1355" t="s">
        <v>1979</v>
      </c>
      <c r="AD24" s="1355" t="s">
        <v>1979</v>
      </c>
      <c r="AE24" s="1355" t="s">
        <v>1979</v>
      </c>
      <c r="AF24" s="1355" t="s">
        <v>1979</v>
      </c>
      <c r="AG24" s="1355" t="s">
        <v>1979</v>
      </c>
      <c r="AH24" s="1355" t="s">
        <v>1979</v>
      </c>
      <c r="AI24" s="1355"/>
      <c r="AJ24" s="1355"/>
      <c r="AK24" s="1355"/>
      <c r="AL24" s="1355"/>
      <c r="AM24" s="1355"/>
      <c r="AN24" s="1355" t="s">
        <v>1979</v>
      </c>
      <c r="AO24" s="1355" t="s">
        <v>1979</v>
      </c>
      <c r="AP24" s="1355" t="s">
        <v>1979</v>
      </c>
    </row>
    <row r="25" spans="1:42">
      <c r="B25" s="1353" t="s">
        <v>13477</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05"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7905" r:id="rId4" name="cmdCheckTSandTIDDataSheet"/>
      </mc:Fallback>
    </mc:AlternateContent>
    <mc:AlternateContent xmlns:mc="http://schemas.openxmlformats.org/markup-compatibility/2006">
      <mc:Choice Requires="x14">
        <control shapeId="2427906"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7906" r:id="rId6" name="cmdSpecifyParameter"/>
      </mc:Fallback>
    </mc:AlternateContent>
    <mc:AlternateContent xmlns:mc="http://schemas.openxmlformats.org/markup-compatibility/2006">
      <mc:Choice Requires="x14">
        <control shapeId="2427907"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7907" r:id="rId8" name="cmdSpecifyArg1"/>
      </mc:Fallback>
    </mc:AlternateContent>
    <mc:AlternateContent xmlns:mc="http://schemas.openxmlformats.org/markup-compatibility/2006">
      <mc:Choice Requires="x14">
        <control shapeId="2427908" r:id="rId10" name="cmdSpecifyArg2">
          <controlPr defaultSize="0" autoLine="0" r:id="rId11">
            <anchor moveWithCells="1">
              <from>
                <xdr:col>3</xdr:col>
                <xdr:colOff>0</xdr:colOff>
                <xdr:row>3</xdr:row>
                <xdr:rowOff>0</xdr:rowOff>
              </from>
              <to>
                <xdr:col>4</xdr:col>
                <xdr:colOff>0</xdr:colOff>
                <xdr:row>4</xdr:row>
                <xdr:rowOff>104775</xdr:rowOff>
              </to>
            </anchor>
          </controlPr>
        </control>
      </mc:Choice>
      <mc:Fallback>
        <control shapeId="2427908" r:id="rId10" name="cmdSpecifyArg2"/>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10"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7910" r:id="rId14" name="cmdSpecifyArg4"/>
      </mc:Fallback>
    </mc:AlternateContent>
    <mc:AlternateContent xmlns:mc="http://schemas.openxmlformats.org/markup-compatibility/2006">
      <mc:Choice Requires="x14">
        <control shapeId="2427911"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7911" r:id="rId16" name="cmdSpecifyArg5"/>
      </mc:Fallback>
    </mc:AlternateContent>
    <mc:AlternateContent xmlns:mc="http://schemas.openxmlformats.org/markup-compatibility/2006">
      <mc:Choice Requires="x14">
        <control shapeId="2427912"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7912" r:id="rId18" name="cmdSpecifyArg6"/>
      </mc:Fallback>
    </mc:AlternateContent>
    <mc:AlternateContent xmlns:mc="http://schemas.openxmlformats.org/markup-compatibility/2006">
      <mc:Choice Requires="x14">
        <control shapeId="2427913"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2427913" r:id="rId20" name="cmdSpecifyIEOptcode"/>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13478</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13478</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29"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2428929" r:id="rId4" name="cmdCheckTSandTIDDataSheet"/>
      </mc:Fallback>
    </mc:AlternateContent>
    <mc:AlternateContent xmlns:mc="http://schemas.openxmlformats.org/markup-compatibility/2006">
      <mc:Choice Requires="x14">
        <control shapeId="2428930"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2428930" r:id="rId6" name="cmdSpecifyParameter"/>
      </mc:Fallback>
    </mc:AlternateContent>
    <mc:AlternateContent xmlns:mc="http://schemas.openxmlformats.org/markup-compatibility/2006">
      <mc:Choice Requires="x14">
        <control shapeId="2428931"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2428931" r:id="rId8" name="cmdSpecifyArg1"/>
      </mc:Fallback>
    </mc:AlternateContent>
    <mc:AlternateContent xmlns:mc="http://schemas.openxmlformats.org/markup-compatibility/2006">
      <mc:Choice Requires="x14">
        <control shapeId="2428932"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2428932" r:id="rId10" name="cmdSpecifyArg2"/>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4" r:id="rId14" name="cmdSpecifyArg4">
          <controlPr defaultSize="0" autoLine="0" r:id="rId15">
            <anchor moveWithCells="1">
              <from>
                <xdr:col>5</xdr:col>
                <xdr:colOff>0</xdr:colOff>
                <xdr:row>3</xdr:row>
                <xdr:rowOff>0</xdr:rowOff>
              </from>
              <to>
                <xdr:col>6</xdr:col>
                <xdr:colOff>0</xdr:colOff>
                <xdr:row>4</xdr:row>
                <xdr:rowOff>104775</xdr:rowOff>
              </to>
            </anchor>
          </controlPr>
        </control>
      </mc:Choice>
      <mc:Fallback>
        <control shapeId="2428934" r:id="rId14" name="cmdSpecifyArg4"/>
      </mc:Fallback>
    </mc:AlternateContent>
    <mc:AlternateContent xmlns:mc="http://schemas.openxmlformats.org/markup-compatibility/2006">
      <mc:Choice Requires="x14">
        <control shapeId="2428935" r:id="rId16" name="cmdSpecifyArg5">
          <controlPr defaultSize="0" autoLine="0" r:id="rId17">
            <anchor moveWithCells="1">
              <from>
                <xdr:col>6</xdr:col>
                <xdr:colOff>0</xdr:colOff>
                <xdr:row>3</xdr:row>
                <xdr:rowOff>0</xdr:rowOff>
              </from>
              <to>
                <xdr:col>7</xdr:col>
                <xdr:colOff>0</xdr:colOff>
                <xdr:row>4</xdr:row>
                <xdr:rowOff>104775</xdr:rowOff>
              </to>
            </anchor>
          </controlPr>
        </control>
      </mc:Choice>
      <mc:Fallback>
        <control shapeId="2428935" r:id="rId16" name="cmdSpecifyArg5"/>
      </mc:Fallback>
    </mc:AlternateContent>
    <mc:AlternateContent xmlns:mc="http://schemas.openxmlformats.org/markup-compatibility/2006">
      <mc:Choice Requires="x14">
        <control shapeId="2428936" r:id="rId18" name="cmdSpecifyArg6">
          <controlPr defaultSize="0" autoLine="0" r:id="rId19">
            <anchor moveWithCells="1">
              <from>
                <xdr:col>7</xdr:col>
                <xdr:colOff>0</xdr:colOff>
                <xdr:row>3</xdr:row>
                <xdr:rowOff>0</xdr:rowOff>
              </from>
              <to>
                <xdr:col>8</xdr:col>
                <xdr:colOff>0</xdr:colOff>
                <xdr:row>4</xdr:row>
                <xdr:rowOff>104775</xdr:rowOff>
              </to>
            </anchor>
          </controlPr>
        </control>
      </mc:Choice>
      <mc:Fallback>
        <control shapeId="2428936" r:id="rId18" name="cmdSpecifyArg6"/>
      </mc:Fallback>
    </mc:AlternateContent>
    <mc:AlternateContent xmlns:mc="http://schemas.openxmlformats.org/markup-compatibility/2006">
      <mc:Choice Requires="x14">
        <control shapeId="2428937" r:id="rId20" name="cmdSpecifyIEOptcode">
          <controlPr defaultSize="0" autoLine="0" r:id="rId21">
            <anchor moveWithCells="1">
              <from>
                <xdr:col>8</xdr:col>
                <xdr:colOff>0</xdr:colOff>
                <xdr:row>3</xdr:row>
                <xdr:rowOff>0</xdr:rowOff>
              </from>
              <to>
                <xdr:col>8</xdr:col>
                <xdr:colOff>419100</xdr:colOff>
                <xdr:row>4</xdr:row>
                <xdr:rowOff>104775</xdr:rowOff>
              </to>
            </anchor>
          </controlPr>
        </control>
      </mc:Choice>
      <mc:Fallback>
        <control shapeId="2428937" r:id="rId20" name="cmdSpecifyIEOptcode"/>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13496</v>
      </c>
      <c r="D2" s="430" t="s">
        <v>13497</v>
      </c>
      <c r="E2" s="430" t="s">
        <v>248</v>
      </c>
      <c r="F2" s="430" t="s">
        <v>599</v>
      </c>
    </row>
    <row r="3" spans="1:6">
      <c r="B3" s="430" t="s">
        <v>598</v>
      </c>
      <c r="C3" s="430" t="s">
        <v>13498</v>
      </c>
      <c r="D3" s="430" t="s">
        <v>13499</v>
      </c>
      <c r="F3" s="430" t="s">
        <v>599</v>
      </c>
    </row>
    <row r="4" spans="1:6">
      <c r="B4" s="430" t="s">
        <v>598</v>
      </c>
      <c r="C4" s="430" t="s">
        <v>13500</v>
      </c>
      <c r="D4" s="430" t="s">
        <v>13501</v>
      </c>
      <c r="F4" s="430" t="s">
        <v>599</v>
      </c>
    </row>
    <row r="5" spans="1:6">
      <c r="B5" s="430" t="s">
        <v>598</v>
      </c>
      <c r="C5" s="430" t="s">
        <v>13502</v>
      </c>
      <c r="D5" s="430" t="s">
        <v>13503</v>
      </c>
      <c r="F5" s="430" t="s">
        <v>599</v>
      </c>
    </row>
    <row r="6" spans="1:6">
      <c r="B6" s="430" t="s">
        <v>598</v>
      </c>
      <c r="C6" s="430" t="s">
        <v>13504</v>
      </c>
      <c r="D6" s="430" t="s">
        <v>13505</v>
      </c>
      <c r="F6" s="430" t="s">
        <v>599</v>
      </c>
    </row>
    <row r="7" spans="1:6">
      <c r="B7" s="430" t="s">
        <v>598</v>
      </c>
      <c r="C7" s="430" t="s">
        <v>13506</v>
      </c>
      <c r="D7" s="430" t="s">
        <v>13507</v>
      </c>
      <c r="F7" s="430" t="s">
        <v>599</v>
      </c>
    </row>
    <row r="8" spans="1:6">
      <c r="B8" s="430" t="s">
        <v>598</v>
      </c>
      <c r="C8" s="430" t="s">
        <v>13508</v>
      </c>
      <c r="D8" s="430" t="s">
        <v>13509</v>
      </c>
      <c r="E8" s="430" t="s">
        <v>248</v>
      </c>
      <c r="F8" s="430" t="s">
        <v>599</v>
      </c>
    </row>
    <row r="9" spans="1:6">
      <c r="B9" s="430" t="s">
        <v>598</v>
      </c>
      <c r="C9" s="430" t="s">
        <v>13510</v>
      </c>
      <c r="D9" s="430" t="s">
        <v>13510</v>
      </c>
      <c r="F9" s="430" t="s">
        <v>599</v>
      </c>
    </row>
    <row r="10" spans="1:6">
      <c r="B10" s="430" t="s">
        <v>598</v>
      </c>
      <c r="C10" s="430" t="s">
        <v>13511</v>
      </c>
      <c r="D10" s="430" t="s">
        <v>13511</v>
      </c>
      <c r="F10" s="430" t="s">
        <v>599</v>
      </c>
    </row>
    <row r="11" spans="1:6">
      <c r="B11" s="430" t="s">
        <v>352</v>
      </c>
      <c r="C11" s="430" t="s">
        <v>13512</v>
      </c>
      <c r="D11" s="430" t="s">
        <v>13513</v>
      </c>
      <c r="E11" s="430" t="s">
        <v>248</v>
      </c>
      <c r="F11" s="430" t="s">
        <v>353</v>
      </c>
    </row>
    <row r="12" spans="1:6">
      <c r="B12" s="430" t="s">
        <v>352</v>
      </c>
      <c r="C12" s="430" t="s">
        <v>13514</v>
      </c>
      <c r="D12" s="430" t="s">
        <v>13515</v>
      </c>
      <c r="E12" s="430" t="s">
        <v>248</v>
      </c>
      <c r="F12" s="430" t="s">
        <v>353</v>
      </c>
    </row>
    <row r="13" spans="1:6">
      <c r="B13" s="430" t="s">
        <v>352</v>
      </c>
      <c r="C13" s="430" t="s">
        <v>13516</v>
      </c>
      <c r="D13" s="430" t="s">
        <v>13517</v>
      </c>
      <c r="E13" s="430" t="s">
        <v>248</v>
      </c>
      <c r="F13" s="430" t="s">
        <v>353</v>
      </c>
    </row>
    <row r="14" spans="1:6">
      <c r="B14" s="430" t="s">
        <v>352</v>
      </c>
      <c r="C14" s="430" t="s">
        <v>13518</v>
      </c>
      <c r="D14" s="430" t="s">
        <v>13519</v>
      </c>
      <c r="E14" s="430" t="s">
        <v>248</v>
      </c>
      <c r="F14" s="430" t="s">
        <v>353</v>
      </c>
    </row>
    <row r="15" spans="1:6">
      <c r="B15" s="430" t="s">
        <v>352</v>
      </c>
      <c r="C15" s="430" t="s">
        <v>13520</v>
      </c>
      <c r="D15" s="430" t="s">
        <v>13521</v>
      </c>
      <c r="E15" s="430" t="s">
        <v>248</v>
      </c>
      <c r="F15" s="430" t="s">
        <v>353</v>
      </c>
    </row>
    <row r="16" spans="1:6">
      <c r="B16" s="430" t="s">
        <v>1869</v>
      </c>
      <c r="C16" s="430" t="s">
        <v>13522</v>
      </c>
      <c r="D16" s="430" t="s">
        <v>13523</v>
      </c>
      <c r="E16" s="430" t="s">
        <v>318</v>
      </c>
      <c r="F16" s="430" t="s">
        <v>565</v>
      </c>
    </row>
    <row r="17" spans="2:6">
      <c r="B17" s="430" t="s">
        <v>1869</v>
      </c>
      <c r="C17" s="430" t="s">
        <v>13524</v>
      </c>
      <c r="D17" s="430" t="s">
        <v>13525</v>
      </c>
      <c r="E17" s="430" t="s">
        <v>318</v>
      </c>
      <c r="F17" s="430" t="s">
        <v>565</v>
      </c>
    </row>
    <row r="18" spans="2:6">
      <c r="B18" s="430" t="s">
        <v>1869</v>
      </c>
      <c r="C18" s="430" t="s">
        <v>13526</v>
      </c>
      <c r="D18" s="430" t="s">
        <v>13527</v>
      </c>
      <c r="E18" s="430" t="s">
        <v>318</v>
      </c>
      <c r="F18" s="430" t="s">
        <v>565</v>
      </c>
    </row>
    <row r="19" spans="2:6">
      <c r="B19" s="430" t="s">
        <v>1869</v>
      </c>
      <c r="C19" s="430" t="s">
        <v>13528</v>
      </c>
      <c r="D19" s="430" t="s">
        <v>13529</v>
      </c>
      <c r="E19" s="430" t="s">
        <v>318</v>
      </c>
      <c r="F19" s="430" t="s">
        <v>565</v>
      </c>
    </row>
    <row r="20" spans="2:6">
      <c r="B20" s="430" t="s">
        <v>1869</v>
      </c>
      <c r="C20" s="430" t="s">
        <v>13530</v>
      </c>
      <c r="D20" s="430" t="s">
        <v>13531</v>
      </c>
      <c r="E20" s="430" t="s">
        <v>318</v>
      </c>
      <c r="F20" s="430" t="s">
        <v>565</v>
      </c>
    </row>
    <row r="21" spans="2:6">
      <c r="B21" s="430" t="s">
        <v>1869</v>
      </c>
      <c r="C21" s="430" t="s">
        <v>13532</v>
      </c>
      <c r="D21" s="430" t="s">
        <v>13533</v>
      </c>
      <c r="E21" s="430" t="s">
        <v>318</v>
      </c>
      <c r="F21" s="430" t="s">
        <v>565</v>
      </c>
    </row>
    <row r="22" spans="2:6">
      <c r="B22" s="430" t="s">
        <v>1869</v>
      </c>
      <c r="C22" s="430" t="s">
        <v>13534</v>
      </c>
      <c r="D22" s="430" t="s">
        <v>13535</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topLeftCell="A10" workbookViewId="0">
      <selection activeCell="B27" sqref="B27"/>
    </sheetView>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13555</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13546</v>
      </c>
      <c r="D4" s="387" t="s">
        <v>334</v>
      </c>
      <c r="E4" s="387" t="s">
        <v>334</v>
      </c>
      <c r="F4" s="387" t="s">
        <v>334</v>
      </c>
      <c r="G4" s="387" t="s">
        <v>337</v>
      </c>
      <c r="H4" s="387" t="s">
        <v>338</v>
      </c>
      <c r="I4" s="1359">
        <v>5</v>
      </c>
      <c r="J4" s="985">
        <v>0</v>
      </c>
      <c r="K4" s="985" t="s">
        <v>13536</v>
      </c>
      <c r="L4" s="985" t="s">
        <v>13536</v>
      </c>
      <c r="M4" s="985" t="s">
        <v>13536</v>
      </c>
      <c r="N4" s="985" t="s">
        <v>13536</v>
      </c>
      <c r="O4" s="985" t="s">
        <v>13536</v>
      </c>
      <c r="P4" s="985" t="s">
        <v>13536</v>
      </c>
      <c r="Q4" s="985" t="s">
        <v>13536</v>
      </c>
      <c r="R4" s="985" t="s">
        <v>13536</v>
      </c>
      <c r="S4" s="985" t="s">
        <v>13536</v>
      </c>
      <c r="T4" s="985" t="s">
        <v>13536</v>
      </c>
      <c r="U4" s="985" t="s">
        <v>13536</v>
      </c>
      <c r="V4" s="985" t="s">
        <v>13536</v>
      </c>
      <c r="W4" s="985" t="s">
        <v>13536</v>
      </c>
      <c r="X4" s="985" t="s">
        <v>13536</v>
      </c>
      <c r="Y4" s="985" t="s">
        <v>13536</v>
      </c>
      <c r="Z4" s="985" t="s">
        <v>13536</v>
      </c>
      <c r="AA4" s="985" t="s">
        <v>13536</v>
      </c>
      <c r="AB4" s="985" t="s">
        <v>13536</v>
      </c>
      <c r="AC4" s="985" t="s">
        <v>13536</v>
      </c>
      <c r="AD4" s="985" t="s">
        <v>13536</v>
      </c>
      <c r="AE4" s="985" t="s">
        <v>13536</v>
      </c>
      <c r="AF4" s="985" t="s">
        <v>13536</v>
      </c>
      <c r="AG4" s="985" t="s">
        <v>13536</v>
      </c>
      <c r="AH4" s="985" t="s">
        <v>13536</v>
      </c>
      <c r="AI4" s="985" t="s">
        <v>13536</v>
      </c>
      <c r="AJ4" s="985" t="s">
        <v>13536</v>
      </c>
      <c r="AK4" s="985" t="s">
        <v>13536</v>
      </c>
      <c r="AL4" s="985" t="s">
        <v>13536</v>
      </c>
      <c r="AM4" s="985" t="s">
        <v>13536</v>
      </c>
      <c r="AN4" s="985" t="s">
        <v>13536</v>
      </c>
      <c r="AO4" s="985" t="s">
        <v>13536</v>
      </c>
      <c r="AP4" s="985" t="s">
        <v>13536</v>
      </c>
    </row>
    <row r="5" spans="1:42" s="1092" customFormat="1">
      <c r="B5" s="1092" t="s">
        <v>13545</v>
      </c>
      <c r="C5" s="1092" t="s">
        <v>13547</v>
      </c>
      <c r="D5" s="1092" t="s">
        <v>334</v>
      </c>
      <c r="E5" s="1092" t="s">
        <v>334</v>
      </c>
      <c r="F5" s="1092" t="s">
        <v>334</v>
      </c>
      <c r="G5" s="1092" t="s">
        <v>334</v>
      </c>
      <c r="H5" s="1092" t="s">
        <v>338</v>
      </c>
      <c r="I5" s="1360">
        <v>5</v>
      </c>
      <c r="J5" s="1361">
        <v>0</v>
      </c>
      <c r="K5" s="1361" t="s">
        <v>13536</v>
      </c>
      <c r="L5" s="1361" t="s">
        <v>13536</v>
      </c>
      <c r="M5" s="1361" t="s">
        <v>13536</v>
      </c>
      <c r="N5" s="1361" t="s">
        <v>13536</v>
      </c>
      <c r="O5" s="1361" t="s">
        <v>13536</v>
      </c>
      <c r="P5" s="1361" t="s">
        <v>13536</v>
      </c>
      <c r="Q5" s="1361" t="s">
        <v>13536</v>
      </c>
      <c r="R5" s="1361" t="s">
        <v>13536</v>
      </c>
      <c r="S5" s="1361" t="s">
        <v>13536</v>
      </c>
      <c r="T5" s="1361" t="s">
        <v>13536</v>
      </c>
      <c r="U5" s="1361" t="s">
        <v>13536</v>
      </c>
      <c r="V5" s="1361" t="s">
        <v>13536</v>
      </c>
      <c r="W5" s="1361" t="s">
        <v>13536</v>
      </c>
      <c r="X5" s="1361" t="s">
        <v>13536</v>
      </c>
      <c r="Y5" s="1361" t="s">
        <v>13536</v>
      </c>
      <c r="Z5" s="1361" t="s">
        <v>13536</v>
      </c>
      <c r="AA5" s="1361" t="s">
        <v>13536</v>
      </c>
      <c r="AB5" s="1361" t="s">
        <v>13536</v>
      </c>
      <c r="AC5" s="1361" t="s">
        <v>13536</v>
      </c>
      <c r="AD5" s="1361" t="s">
        <v>13536</v>
      </c>
      <c r="AE5" s="1361" t="s">
        <v>13536</v>
      </c>
      <c r="AF5" s="1361" t="s">
        <v>13536</v>
      </c>
      <c r="AG5" s="1361" t="s">
        <v>13536</v>
      </c>
      <c r="AH5" s="1361" t="s">
        <v>13536</v>
      </c>
      <c r="AI5" s="1361" t="s">
        <v>13536</v>
      </c>
      <c r="AJ5" s="1361" t="s">
        <v>13536</v>
      </c>
      <c r="AK5" s="1361" t="s">
        <v>13536</v>
      </c>
      <c r="AL5" s="1361" t="s">
        <v>13536</v>
      </c>
      <c r="AM5" s="1361" t="s">
        <v>13536</v>
      </c>
      <c r="AN5" s="1361" t="s">
        <v>13536</v>
      </c>
      <c r="AO5" s="1361" t="s">
        <v>13536</v>
      </c>
      <c r="AP5" s="1361" t="s">
        <v>13536</v>
      </c>
    </row>
    <row r="6" spans="1:42" s="1092" customFormat="1">
      <c r="B6" s="1092" t="s">
        <v>336</v>
      </c>
      <c r="C6" s="1092" t="s">
        <v>13553</v>
      </c>
      <c r="D6" s="1092" t="s">
        <v>334</v>
      </c>
      <c r="E6" s="1092" t="s">
        <v>334</v>
      </c>
      <c r="F6" s="1092" t="s">
        <v>334</v>
      </c>
      <c r="G6" s="1092" t="s">
        <v>337</v>
      </c>
      <c r="H6" s="1092" t="s">
        <v>338</v>
      </c>
      <c r="I6" s="1360">
        <v>5</v>
      </c>
      <c r="J6" s="1361">
        <v>0</v>
      </c>
      <c r="K6" s="1361" t="s">
        <v>13536</v>
      </c>
      <c r="L6" s="1361" t="s">
        <v>13536</v>
      </c>
      <c r="M6" s="1361" t="s">
        <v>13536</v>
      </c>
      <c r="N6" s="1361" t="s">
        <v>13536</v>
      </c>
      <c r="O6" s="1361" t="s">
        <v>13536</v>
      </c>
      <c r="P6" s="1361" t="s">
        <v>13536</v>
      </c>
      <c r="Q6" s="1361" t="s">
        <v>13536</v>
      </c>
      <c r="R6" s="1361" t="s">
        <v>13536</v>
      </c>
      <c r="S6" s="1361" t="s">
        <v>13536</v>
      </c>
      <c r="T6" s="1361" t="s">
        <v>13536</v>
      </c>
      <c r="U6" s="1361" t="s">
        <v>13536</v>
      </c>
      <c r="V6" s="1361" t="s">
        <v>13536</v>
      </c>
      <c r="W6" s="1361" t="s">
        <v>13536</v>
      </c>
      <c r="X6" s="1361" t="s">
        <v>13536</v>
      </c>
      <c r="Y6" s="1361" t="s">
        <v>13536</v>
      </c>
      <c r="Z6" s="1361" t="s">
        <v>13536</v>
      </c>
      <c r="AA6" s="1361" t="s">
        <v>13536</v>
      </c>
      <c r="AB6" s="1361" t="s">
        <v>13536</v>
      </c>
      <c r="AC6" s="1361" t="s">
        <v>13536</v>
      </c>
      <c r="AD6" s="1361" t="s">
        <v>13536</v>
      </c>
      <c r="AE6" s="1361" t="s">
        <v>13536</v>
      </c>
      <c r="AF6" s="1361" t="s">
        <v>13536</v>
      </c>
      <c r="AG6" s="1361" t="s">
        <v>13536</v>
      </c>
      <c r="AH6" s="1361" t="s">
        <v>13536</v>
      </c>
      <c r="AI6" s="1361" t="s">
        <v>13536</v>
      </c>
      <c r="AJ6" s="1361" t="s">
        <v>13536</v>
      </c>
      <c r="AK6" s="1361" t="s">
        <v>13536</v>
      </c>
      <c r="AL6" s="1361" t="s">
        <v>13536</v>
      </c>
      <c r="AM6" s="1361" t="s">
        <v>13536</v>
      </c>
      <c r="AN6" s="1361" t="s">
        <v>13536</v>
      </c>
      <c r="AO6" s="1361" t="s">
        <v>13536</v>
      </c>
      <c r="AP6" s="1361" t="s">
        <v>13536</v>
      </c>
    </row>
    <row r="7" spans="1:42" s="1092" customFormat="1">
      <c r="B7" s="1092" t="s">
        <v>336</v>
      </c>
      <c r="C7" s="1092" t="s">
        <v>13554</v>
      </c>
      <c r="D7" s="1092" t="s">
        <v>334</v>
      </c>
      <c r="E7" s="1092" t="s">
        <v>334</v>
      </c>
      <c r="F7" s="1092" t="s">
        <v>334</v>
      </c>
      <c r="G7" s="1092" t="s">
        <v>337</v>
      </c>
      <c r="H7" s="1092" t="s">
        <v>338</v>
      </c>
      <c r="I7" s="1360">
        <v>5</v>
      </c>
      <c r="J7" s="1361">
        <v>0</v>
      </c>
      <c r="K7" s="1361" t="s">
        <v>13536</v>
      </c>
      <c r="L7" s="1361" t="s">
        <v>13536</v>
      </c>
      <c r="M7" s="1361" t="s">
        <v>13536</v>
      </c>
      <c r="N7" s="1361" t="s">
        <v>13536</v>
      </c>
      <c r="O7" s="1361" t="s">
        <v>13536</v>
      </c>
      <c r="P7" s="1361" t="s">
        <v>13536</v>
      </c>
      <c r="Q7" s="1361" t="s">
        <v>13536</v>
      </c>
      <c r="R7" s="1361" t="s">
        <v>13536</v>
      </c>
      <c r="S7" s="1361" t="s">
        <v>13536</v>
      </c>
      <c r="T7" s="1361" t="s">
        <v>13536</v>
      </c>
      <c r="U7" s="1361" t="s">
        <v>13536</v>
      </c>
      <c r="V7" s="1361" t="s">
        <v>13536</v>
      </c>
      <c r="W7" s="1361" t="s">
        <v>13536</v>
      </c>
      <c r="X7" s="1361" t="s">
        <v>13536</v>
      </c>
      <c r="Y7" s="1361" t="s">
        <v>13536</v>
      </c>
      <c r="Z7" s="1361" t="s">
        <v>13536</v>
      </c>
      <c r="AA7" s="1361" t="s">
        <v>13536</v>
      </c>
      <c r="AB7" s="1361" t="s">
        <v>13536</v>
      </c>
      <c r="AC7" s="1361" t="s">
        <v>13536</v>
      </c>
      <c r="AD7" s="1361" t="s">
        <v>13536</v>
      </c>
      <c r="AE7" s="1361" t="s">
        <v>13536</v>
      </c>
      <c r="AF7" s="1361" t="s">
        <v>13536</v>
      </c>
      <c r="AG7" s="1361" t="s">
        <v>13536</v>
      </c>
      <c r="AH7" s="1361" t="s">
        <v>13536</v>
      </c>
      <c r="AI7" s="1361" t="s">
        <v>13536</v>
      </c>
      <c r="AJ7" s="1361" t="s">
        <v>13536</v>
      </c>
      <c r="AK7" s="1361" t="s">
        <v>13536</v>
      </c>
      <c r="AL7" s="1361" t="s">
        <v>13536</v>
      </c>
      <c r="AM7" s="1361" t="s">
        <v>13536</v>
      </c>
      <c r="AN7" s="1361" t="s">
        <v>13536</v>
      </c>
      <c r="AO7" s="1361" t="s">
        <v>13536</v>
      </c>
      <c r="AP7" s="1361" t="s">
        <v>13536</v>
      </c>
    </row>
    <row r="8" spans="1:42">
      <c r="B8" s="430" t="s">
        <v>332</v>
      </c>
      <c r="C8" s="430" t="s">
        <v>13534</v>
      </c>
      <c r="D8" s="430" t="s">
        <v>334</v>
      </c>
      <c r="E8" s="430" t="s">
        <v>334</v>
      </c>
      <c r="F8" s="430" t="s">
        <v>334</v>
      </c>
      <c r="G8" s="430" t="s">
        <v>334</v>
      </c>
      <c r="H8" s="430" t="s">
        <v>334</v>
      </c>
      <c r="I8" s="503">
        <v>0</v>
      </c>
      <c r="J8" s="433">
        <v>15.1728567709002</v>
      </c>
      <c r="K8" s="433" t="s">
        <v>13536</v>
      </c>
      <c r="L8" s="433" t="s">
        <v>13536</v>
      </c>
      <c r="M8" s="433" t="s">
        <v>13536</v>
      </c>
      <c r="N8" s="433" t="s">
        <v>13536</v>
      </c>
      <c r="O8" s="433" t="s">
        <v>13536</v>
      </c>
      <c r="P8" s="433" t="s">
        <v>13536</v>
      </c>
      <c r="Q8" s="433" t="s">
        <v>13536</v>
      </c>
      <c r="R8" s="433" t="s">
        <v>13536</v>
      </c>
      <c r="S8" s="433" t="s">
        <v>13536</v>
      </c>
      <c r="T8" s="433" t="s">
        <v>13536</v>
      </c>
      <c r="U8" s="433" t="s">
        <v>13536</v>
      </c>
      <c r="V8" s="433" t="s">
        <v>13536</v>
      </c>
      <c r="W8" s="433" t="s">
        <v>13536</v>
      </c>
      <c r="X8" s="433" t="s">
        <v>13536</v>
      </c>
      <c r="Y8" s="433" t="s">
        <v>13536</v>
      </c>
      <c r="Z8" s="433" t="s">
        <v>13536</v>
      </c>
      <c r="AA8" s="433" t="s">
        <v>13536</v>
      </c>
      <c r="AB8" s="433" t="s">
        <v>13536</v>
      </c>
      <c r="AC8" s="433" t="s">
        <v>13536</v>
      </c>
      <c r="AD8" s="433" t="s">
        <v>13536</v>
      </c>
      <c r="AE8" s="433" t="s">
        <v>13536</v>
      </c>
      <c r="AF8" s="433" t="s">
        <v>13536</v>
      </c>
      <c r="AG8" s="433" t="s">
        <v>13536</v>
      </c>
      <c r="AH8" s="433" t="s">
        <v>13536</v>
      </c>
      <c r="AI8" s="433" t="s">
        <v>13536</v>
      </c>
      <c r="AJ8" s="433" t="s">
        <v>13536</v>
      </c>
      <c r="AK8" s="433" t="s">
        <v>13536</v>
      </c>
      <c r="AL8" s="433" t="s">
        <v>13536</v>
      </c>
      <c r="AM8" s="433" t="s">
        <v>13536</v>
      </c>
      <c r="AN8" s="433" t="s">
        <v>13536</v>
      </c>
      <c r="AO8" s="433" t="s">
        <v>13536</v>
      </c>
      <c r="AP8" s="433" t="s">
        <v>13536</v>
      </c>
    </row>
    <row r="9" spans="1:42">
      <c r="B9" s="430" t="s">
        <v>602</v>
      </c>
      <c r="C9" s="430" t="s">
        <v>13534</v>
      </c>
      <c r="D9" s="430" t="s">
        <v>334</v>
      </c>
      <c r="E9" s="430" t="s">
        <v>334</v>
      </c>
      <c r="F9" s="430" t="s">
        <v>334</v>
      </c>
      <c r="G9" s="430" t="s">
        <v>334</v>
      </c>
      <c r="H9" s="458" t="str">
        <f>TS_TTech!H47</f>
        <v>UP</v>
      </c>
      <c r="I9" s="503">
        <f>TS_TTech!I47</f>
        <v>3</v>
      </c>
      <c r="J9" s="458">
        <f ca="1">TS_TTech!J47</f>
        <v>0.95890410958904104</v>
      </c>
      <c r="K9" s="433" t="s">
        <v>13536</v>
      </c>
      <c r="L9" s="433" t="s">
        <v>13536</v>
      </c>
      <c r="M9" s="433" t="s">
        <v>13536</v>
      </c>
      <c r="N9" s="433" t="s">
        <v>13536</v>
      </c>
      <c r="O9" s="433" t="s">
        <v>13536</v>
      </c>
      <c r="P9" s="433" t="s">
        <v>13536</v>
      </c>
      <c r="Q9" s="433" t="s">
        <v>13536</v>
      </c>
      <c r="R9" s="433" t="s">
        <v>13536</v>
      </c>
      <c r="S9" s="433" t="s">
        <v>13536</v>
      </c>
      <c r="T9" s="433" t="s">
        <v>13536</v>
      </c>
      <c r="U9" s="433" t="s">
        <v>13536</v>
      </c>
      <c r="V9" s="433" t="s">
        <v>13536</v>
      </c>
      <c r="W9" s="433" t="s">
        <v>13536</v>
      </c>
      <c r="X9" s="433" t="s">
        <v>13536</v>
      </c>
      <c r="Y9" s="433" t="s">
        <v>13536</v>
      </c>
      <c r="Z9" s="433" t="s">
        <v>13536</v>
      </c>
      <c r="AA9" s="433" t="s">
        <v>13536</v>
      </c>
      <c r="AB9" s="433" t="s">
        <v>13536</v>
      </c>
      <c r="AC9" s="433" t="s">
        <v>13536</v>
      </c>
      <c r="AD9" s="433" t="s">
        <v>13536</v>
      </c>
      <c r="AE9" s="433" t="s">
        <v>13536</v>
      </c>
      <c r="AF9" s="433" t="s">
        <v>13536</v>
      </c>
      <c r="AG9" s="433" t="s">
        <v>13536</v>
      </c>
      <c r="AH9" s="433" t="s">
        <v>13536</v>
      </c>
      <c r="AI9" s="433" t="s">
        <v>13536</v>
      </c>
      <c r="AJ9" s="433" t="s">
        <v>13536</v>
      </c>
      <c r="AK9" s="433" t="s">
        <v>13536</v>
      </c>
      <c r="AL9" s="433" t="s">
        <v>13536</v>
      </c>
      <c r="AM9" s="433" t="s">
        <v>13536</v>
      </c>
      <c r="AN9" s="433" t="s">
        <v>13536</v>
      </c>
      <c r="AO9" s="433" t="s">
        <v>13536</v>
      </c>
      <c r="AP9" s="433" t="s">
        <v>13536</v>
      </c>
    </row>
    <row r="10" spans="1:42">
      <c r="B10" s="430" t="s">
        <v>602</v>
      </c>
      <c r="C10" s="430" t="s">
        <v>13534</v>
      </c>
      <c r="D10" s="430" t="s">
        <v>334</v>
      </c>
      <c r="E10" s="430" t="s">
        <v>334</v>
      </c>
      <c r="F10" s="430" t="s">
        <v>334</v>
      </c>
      <c r="G10" s="430" t="s">
        <v>334</v>
      </c>
      <c r="H10" s="458" t="str">
        <f>TS_TTech!H48</f>
        <v>LO</v>
      </c>
      <c r="I10" s="503">
        <f>TS_TTech!I48</f>
        <v>3</v>
      </c>
      <c r="J10" s="458">
        <f ca="1">TS_TTech!J48</f>
        <v>0.91095890410958891</v>
      </c>
      <c r="K10" s="433" t="s">
        <v>13536</v>
      </c>
      <c r="L10" s="433" t="s">
        <v>13536</v>
      </c>
      <c r="M10" s="433" t="s">
        <v>13536</v>
      </c>
      <c r="N10" s="433" t="s">
        <v>13536</v>
      </c>
      <c r="O10" s="433" t="s">
        <v>13536</v>
      </c>
      <c r="P10" s="433" t="s">
        <v>13536</v>
      </c>
      <c r="Q10" s="433" t="s">
        <v>13536</v>
      </c>
      <c r="R10" s="433" t="s">
        <v>13536</v>
      </c>
      <c r="S10" s="433" t="s">
        <v>13536</v>
      </c>
      <c r="T10" s="433" t="s">
        <v>13536</v>
      </c>
      <c r="U10" s="433" t="s">
        <v>13536</v>
      </c>
      <c r="V10" s="433" t="s">
        <v>13536</v>
      </c>
      <c r="W10" s="433" t="s">
        <v>13536</v>
      </c>
      <c r="X10" s="433" t="s">
        <v>13536</v>
      </c>
      <c r="Y10" s="433" t="s">
        <v>13536</v>
      </c>
      <c r="Z10" s="433" t="s">
        <v>13536</v>
      </c>
      <c r="AA10" s="433" t="s">
        <v>13536</v>
      </c>
      <c r="AB10" s="433" t="s">
        <v>13536</v>
      </c>
      <c r="AC10" s="433" t="s">
        <v>13536</v>
      </c>
      <c r="AD10" s="433" t="s">
        <v>13536</v>
      </c>
      <c r="AE10" s="433" t="s">
        <v>13536</v>
      </c>
      <c r="AF10" s="433" t="s">
        <v>13536</v>
      </c>
      <c r="AG10" s="433" t="s">
        <v>13536</v>
      </c>
      <c r="AH10" s="433" t="s">
        <v>13536</v>
      </c>
      <c r="AI10" s="433" t="s">
        <v>13536</v>
      </c>
      <c r="AJ10" s="433" t="s">
        <v>13536</v>
      </c>
      <c r="AK10" s="433" t="s">
        <v>13536</v>
      </c>
      <c r="AL10" s="433" t="s">
        <v>13536</v>
      </c>
      <c r="AM10" s="433" t="s">
        <v>13536</v>
      </c>
      <c r="AN10" s="433" t="s">
        <v>13536</v>
      </c>
      <c r="AO10" s="433" t="s">
        <v>13536</v>
      </c>
      <c r="AP10" s="433" t="s">
        <v>13536</v>
      </c>
    </row>
    <row r="11" spans="1:42">
      <c r="B11" s="430" t="s">
        <v>850</v>
      </c>
      <c r="C11" s="430" t="s">
        <v>13534</v>
      </c>
      <c r="D11" s="430" t="s">
        <v>334</v>
      </c>
      <c r="E11" s="430" t="s">
        <v>334</v>
      </c>
      <c r="F11" s="430" t="s">
        <v>334</v>
      </c>
      <c r="G11" s="430" t="s">
        <v>334</v>
      </c>
      <c r="H11" s="430" t="s">
        <v>338</v>
      </c>
      <c r="I11" s="503">
        <v>3</v>
      </c>
      <c r="J11" s="433">
        <v>0</v>
      </c>
      <c r="K11" s="433" t="s">
        <v>13536</v>
      </c>
      <c r="L11" s="433" t="s">
        <v>13536</v>
      </c>
      <c r="M11" s="433" t="s">
        <v>13536</v>
      </c>
      <c r="N11" s="433" t="s">
        <v>13536</v>
      </c>
      <c r="O11" s="433" t="s">
        <v>13536</v>
      </c>
      <c r="P11" s="433" t="s">
        <v>13536</v>
      </c>
      <c r="Q11" s="433" t="s">
        <v>13536</v>
      </c>
      <c r="R11" s="433" t="s">
        <v>13536</v>
      </c>
      <c r="S11" s="433" t="s">
        <v>13536</v>
      </c>
      <c r="T11" s="433" t="s">
        <v>13536</v>
      </c>
      <c r="U11" s="433" t="s">
        <v>13536</v>
      </c>
      <c r="V11" s="433" t="s">
        <v>13536</v>
      </c>
      <c r="W11" s="433" t="s">
        <v>13536</v>
      </c>
      <c r="X11" s="433" t="s">
        <v>13536</v>
      </c>
      <c r="Y11" s="433" t="s">
        <v>13536</v>
      </c>
      <c r="Z11" s="433" t="s">
        <v>13536</v>
      </c>
      <c r="AA11" s="433" t="s">
        <v>13536</v>
      </c>
      <c r="AB11" s="433" t="s">
        <v>13536</v>
      </c>
      <c r="AC11" s="433" t="s">
        <v>13536</v>
      </c>
      <c r="AD11" s="433" t="s">
        <v>13536</v>
      </c>
      <c r="AE11" s="433" t="s">
        <v>13536</v>
      </c>
      <c r="AF11" s="433" t="s">
        <v>13536</v>
      </c>
      <c r="AG11" s="433" t="s">
        <v>13536</v>
      </c>
      <c r="AH11" s="433" t="s">
        <v>13536</v>
      </c>
      <c r="AI11" s="433" t="s">
        <v>13536</v>
      </c>
      <c r="AJ11" s="433" t="s">
        <v>13536</v>
      </c>
      <c r="AK11" s="433" t="s">
        <v>13536</v>
      </c>
      <c r="AL11" s="433" t="s">
        <v>13536</v>
      </c>
      <c r="AM11" s="433" t="s">
        <v>13536</v>
      </c>
      <c r="AN11" s="433" t="s">
        <v>13536</v>
      </c>
      <c r="AO11" s="433" t="s">
        <v>13536</v>
      </c>
      <c r="AP11" s="433" t="s">
        <v>13536</v>
      </c>
    </row>
    <row r="12" spans="1:42">
      <c r="B12" s="430" t="s">
        <v>849</v>
      </c>
      <c r="C12" s="430" t="s">
        <v>13534</v>
      </c>
      <c r="D12" s="430" t="s">
        <v>334</v>
      </c>
      <c r="E12" s="430" t="s">
        <v>334</v>
      </c>
      <c r="F12" s="430" t="s">
        <v>334</v>
      </c>
      <c r="G12" s="430" t="s">
        <v>334</v>
      </c>
      <c r="H12" s="430" t="s">
        <v>334</v>
      </c>
      <c r="I12" s="503">
        <v>0</v>
      </c>
      <c r="J12" s="433">
        <v>0</v>
      </c>
      <c r="K12" s="433" t="s">
        <v>13536</v>
      </c>
      <c r="L12" s="433" t="s">
        <v>13536</v>
      </c>
      <c r="M12" s="433" t="s">
        <v>13536</v>
      </c>
      <c r="N12" s="433" t="s">
        <v>13536</v>
      </c>
      <c r="O12" s="433" t="s">
        <v>13536</v>
      </c>
      <c r="P12" s="433" t="s">
        <v>13536</v>
      </c>
      <c r="Q12" s="433" t="s">
        <v>13536</v>
      </c>
      <c r="R12" s="433" t="s">
        <v>13536</v>
      </c>
      <c r="S12" s="433" t="s">
        <v>13536</v>
      </c>
      <c r="T12" s="433" t="s">
        <v>13536</v>
      </c>
      <c r="U12" s="433" t="s">
        <v>13536</v>
      </c>
      <c r="V12" s="433" t="s">
        <v>13536</v>
      </c>
      <c r="W12" s="433" t="s">
        <v>13536</v>
      </c>
      <c r="X12" s="433" t="s">
        <v>13536</v>
      </c>
      <c r="Y12" s="433" t="s">
        <v>13536</v>
      </c>
      <c r="Z12" s="433" t="s">
        <v>13536</v>
      </c>
      <c r="AA12" s="433" t="s">
        <v>13536</v>
      </c>
      <c r="AB12" s="433" t="s">
        <v>13536</v>
      </c>
      <c r="AC12" s="433" t="s">
        <v>13536</v>
      </c>
      <c r="AD12" s="433" t="s">
        <v>13536</v>
      </c>
      <c r="AE12" s="433" t="s">
        <v>13536</v>
      </c>
      <c r="AF12" s="433" t="s">
        <v>13536</v>
      </c>
      <c r="AG12" s="433" t="s">
        <v>13536</v>
      </c>
      <c r="AH12" s="433" t="s">
        <v>13536</v>
      </c>
      <c r="AI12" s="433" t="s">
        <v>13536</v>
      </c>
      <c r="AJ12" s="433" t="s">
        <v>13536</v>
      </c>
      <c r="AK12" s="433" t="s">
        <v>13536</v>
      </c>
      <c r="AL12" s="433" t="s">
        <v>13536</v>
      </c>
      <c r="AM12" s="433" t="s">
        <v>13536</v>
      </c>
      <c r="AN12" s="433" t="s">
        <v>13536</v>
      </c>
      <c r="AO12" s="433" t="s">
        <v>13536</v>
      </c>
      <c r="AP12" s="433" t="s">
        <v>13536</v>
      </c>
    </row>
    <row r="13" spans="1:42">
      <c r="B13" s="430" t="s">
        <v>860</v>
      </c>
      <c r="C13" s="430" t="s">
        <v>13534</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13534</v>
      </c>
      <c r="D14" s="430" t="s">
        <v>334</v>
      </c>
      <c r="E14" s="430" t="s">
        <v>13510</v>
      </c>
      <c r="F14" s="430" t="s">
        <v>13511</v>
      </c>
      <c r="G14" s="430" t="s">
        <v>337</v>
      </c>
      <c r="H14" s="430" t="s">
        <v>334</v>
      </c>
      <c r="I14" s="503">
        <v>0</v>
      </c>
      <c r="J14" s="433">
        <v>0.96</v>
      </c>
      <c r="K14" s="433" t="s">
        <v>13536</v>
      </c>
      <c r="L14" s="433" t="s">
        <v>13536</v>
      </c>
      <c r="M14" s="433" t="s">
        <v>13536</v>
      </c>
      <c r="N14" s="433" t="s">
        <v>13536</v>
      </c>
      <c r="O14" s="433" t="s">
        <v>13536</v>
      </c>
      <c r="P14" s="433" t="s">
        <v>13536</v>
      </c>
      <c r="Q14" s="433" t="s">
        <v>13536</v>
      </c>
      <c r="R14" s="433" t="s">
        <v>13536</v>
      </c>
      <c r="S14" s="433" t="s">
        <v>13536</v>
      </c>
      <c r="T14" s="433" t="s">
        <v>13536</v>
      </c>
      <c r="U14" s="433" t="s">
        <v>13536</v>
      </c>
      <c r="V14" s="433" t="s">
        <v>13536</v>
      </c>
      <c r="W14" s="433" t="s">
        <v>13536</v>
      </c>
      <c r="X14" s="433" t="s">
        <v>13536</v>
      </c>
      <c r="Y14" s="433" t="s">
        <v>13536</v>
      </c>
      <c r="Z14" s="433" t="s">
        <v>13536</v>
      </c>
      <c r="AA14" s="433" t="s">
        <v>13536</v>
      </c>
      <c r="AB14" s="433" t="s">
        <v>13536</v>
      </c>
      <c r="AC14" s="433" t="s">
        <v>13536</v>
      </c>
      <c r="AD14" s="433" t="s">
        <v>13536</v>
      </c>
      <c r="AE14" s="433" t="s">
        <v>13536</v>
      </c>
      <c r="AF14" s="433" t="s">
        <v>13536</v>
      </c>
      <c r="AG14" s="433" t="s">
        <v>13536</v>
      </c>
      <c r="AH14" s="433" t="s">
        <v>13536</v>
      </c>
      <c r="AI14" s="433" t="s">
        <v>13536</v>
      </c>
      <c r="AJ14" s="433" t="s">
        <v>13536</v>
      </c>
      <c r="AK14" s="433" t="s">
        <v>13536</v>
      </c>
      <c r="AL14" s="433" t="s">
        <v>13536</v>
      </c>
      <c r="AM14" s="433" t="s">
        <v>13536</v>
      </c>
      <c r="AN14" s="433" t="s">
        <v>13536</v>
      </c>
      <c r="AO14" s="433" t="s">
        <v>13536</v>
      </c>
      <c r="AP14" s="433" t="s">
        <v>13536</v>
      </c>
    </row>
    <row r="15" spans="1:42">
      <c r="B15" s="430" t="s">
        <v>855</v>
      </c>
      <c r="C15" s="430" t="s">
        <v>13534</v>
      </c>
      <c r="D15" s="430" t="s">
        <v>13537</v>
      </c>
      <c r="E15" s="430" t="s">
        <v>13510</v>
      </c>
      <c r="F15" s="430" t="s">
        <v>334</v>
      </c>
      <c r="G15" s="430" t="s">
        <v>337</v>
      </c>
      <c r="H15" s="430" t="s">
        <v>856</v>
      </c>
      <c r="I15" s="503">
        <v>3</v>
      </c>
      <c r="J15" s="433">
        <v>5.70189174426039E-3</v>
      </c>
      <c r="K15" s="433" t="s">
        <v>13536</v>
      </c>
      <c r="L15" s="433" t="s">
        <v>13536</v>
      </c>
      <c r="M15" s="433" t="s">
        <v>13536</v>
      </c>
      <c r="N15" s="433" t="s">
        <v>13536</v>
      </c>
      <c r="O15" s="433" t="s">
        <v>13536</v>
      </c>
      <c r="P15" s="433" t="s">
        <v>13536</v>
      </c>
      <c r="Q15" s="433" t="s">
        <v>13536</v>
      </c>
      <c r="R15" s="433" t="s">
        <v>13536</v>
      </c>
      <c r="S15" s="433" t="s">
        <v>13536</v>
      </c>
      <c r="T15" s="433" t="s">
        <v>13536</v>
      </c>
      <c r="U15" s="433" t="s">
        <v>13536</v>
      </c>
      <c r="V15" s="433" t="s">
        <v>13536</v>
      </c>
      <c r="W15" s="433" t="s">
        <v>13536</v>
      </c>
      <c r="X15" s="433" t="s">
        <v>13536</v>
      </c>
      <c r="Y15" s="433" t="s">
        <v>13536</v>
      </c>
      <c r="Z15" s="433" t="s">
        <v>13536</v>
      </c>
      <c r="AA15" s="433" t="s">
        <v>13536</v>
      </c>
      <c r="AB15" s="433" t="s">
        <v>13536</v>
      </c>
      <c r="AC15" s="433" t="s">
        <v>13536</v>
      </c>
      <c r="AD15" s="433" t="s">
        <v>13536</v>
      </c>
      <c r="AE15" s="433" t="s">
        <v>13536</v>
      </c>
      <c r="AF15" s="433" t="s">
        <v>13536</v>
      </c>
      <c r="AG15" s="433" t="s">
        <v>13536</v>
      </c>
      <c r="AH15" s="433" t="s">
        <v>13536</v>
      </c>
      <c r="AI15" s="433" t="s">
        <v>13536</v>
      </c>
      <c r="AJ15" s="433" t="s">
        <v>13536</v>
      </c>
      <c r="AK15" s="433" t="s">
        <v>13536</v>
      </c>
      <c r="AL15" s="433" t="s">
        <v>13536</v>
      </c>
      <c r="AM15" s="433" t="s">
        <v>13536</v>
      </c>
      <c r="AN15" s="433" t="s">
        <v>13536</v>
      </c>
      <c r="AO15" s="433" t="s">
        <v>13536</v>
      </c>
      <c r="AP15" s="433" t="s">
        <v>13536</v>
      </c>
    </row>
    <row r="16" spans="1:42">
      <c r="B16" s="430" t="s">
        <v>855</v>
      </c>
      <c r="C16" s="430" t="s">
        <v>13534</v>
      </c>
      <c r="D16" s="430" t="s">
        <v>1894</v>
      </c>
      <c r="E16" s="430" t="s">
        <v>13510</v>
      </c>
      <c r="F16" s="430" t="s">
        <v>334</v>
      </c>
      <c r="G16" s="430" t="s">
        <v>337</v>
      </c>
      <c r="H16" s="430" t="s">
        <v>856</v>
      </c>
      <c r="I16" s="503">
        <v>3</v>
      </c>
      <c r="J16" s="433">
        <v>0</v>
      </c>
      <c r="K16" s="433" t="s">
        <v>13536</v>
      </c>
      <c r="L16" s="433" t="s">
        <v>13536</v>
      </c>
      <c r="M16" s="433" t="s">
        <v>13536</v>
      </c>
      <c r="N16" s="433" t="s">
        <v>13536</v>
      </c>
      <c r="O16" s="433" t="s">
        <v>13536</v>
      </c>
      <c r="P16" s="433" t="s">
        <v>13536</v>
      </c>
      <c r="Q16" s="433" t="s">
        <v>13536</v>
      </c>
      <c r="R16" s="433" t="s">
        <v>13536</v>
      </c>
      <c r="S16" s="433" t="s">
        <v>13536</v>
      </c>
      <c r="T16" s="433" t="s">
        <v>13536</v>
      </c>
      <c r="U16" s="433" t="s">
        <v>13536</v>
      </c>
      <c r="V16" s="433" t="s">
        <v>13536</v>
      </c>
      <c r="W16" s="433" t="s">
        <v>13536</v>
      </c>
      <c r="X16" s="433" t="s">
        <v>13536</v>
      </c>
      <c r="Y16" s="433" t="s">
        <v>13536</v>
      </c>
      <c r="Z16" s="433" t="s">
        <v>13536</v>
      </c>
      <c r="AA16" s="433" t="s">
        <v>13536</v>
      </c>
      <c r="AB16" s="433" t="s">
        <v>13536</v>
      </c>
      <c r="AC16" s="433" t="s">
        <v>13536</v>
      </c>
      <c r="AD16" s="433" t="s">
        <v>13536</v>
      </c>
      <c r="AE16" s="433" t="s">
        <v>13536</v>
      </c>
      <c r="AF16" s="433" t="s">
        <v>13536</v>
      </c>
      <c r="AG16" s="433" t="s">
        <v>13536</v>
      </c>
      <c r="AH16" s="433" t="s">
        <v>13536</v>
      </c>
      <c r="AI16" s="433" t="s">
        <v>13536</v>
      </c>
      <c r="AJ16" s="433" t="s">
        <v>13536</v>
      </c>
      <c r="AK16" s="433" t="s">
        <v>13536</v>
      </c>
      <c r="AL16" s="433" t="s">
        <v>13536</v>
      </c>
      <c r="AM16" s="433" t="s">
        <v>13536</v>
      </c>
      <c r="AN16" s="433" t="s">
        <v>13536</v>
      </c>
      <c r="AO16" s="433" t="s">
        <v>13536</v>
      </c>
      <c r="AP16" s="433" t="s">
        <v>13536</v>
      </c>
    </row>
    <row r="17" spans="2:42">
      <c r="B17" s="430" t="s">
        <v>855</v>
      </c>
      <c r="C17" s="430" t="s">
        <v>13534</v>
      </c>
      <c r="D17" s="430" t="s">
        <v>13548</v>
      </c>
      <c r="E17" s="430" t="s">
        <v>13510</v>
      </c>
      <c r="F17" s="430" t="s">
        <v>334</v>
      </c>
      <c r="G17" s="430" t="s">
        <v>337</v>
      </c>
      <c r="H17" s="430" t="s">
        <v>856</v>
      </c>
      <c r="I17" s="503">
        <v>3</v>
      </c>
      <c r="J17" s="433">
        <v>0.99429810825574005</v>
      </c>
      <c r="K17" s="433" t="s">
        <v>13536</v>
      </c>
      <c r="L17" s="433" t="s">
        <v>13536</v>
      </c>
      <c r="M17" s="433" t="s">
        <v>13536</v>
      </c>
      <c r="N17" s="433" t="s">
        <v>13536</v>
      </c>
      <c r="O17" s="433" t="s">
        <v>13536</v>
      </c>
      <c r="P17" s="433" t="s">
        <v>13536</v>
      </c>
      <c r="Q17" s="433" t="s">
        <v>13536</v>
      </c>
      <c r="R17" s="433" t="s">
        <v>13536</v>
      </c>
      <c r="S17" s="433" t="s">
        <v>13536</v>
      </c>
      <c r="T17" s="433" t="s">
        <v>13536</v>
      </c>
      <c r="U17" s="433" t="s">
        <v>13536</v>
      </c>
      <c r="V17" s="433" t="s">
        <v>13536</v>
      </c>
      <c r="W17" s="433" t="s">
        <v>13536</v>
      </c>
      <c r="X17" s="433" t="s">
        <v>13536</v>
      </c>
      <c r="Y17" s="433" t="s">
        <v>13536</v>
      </c>
      <c r="Z17" s="433" t="s">
        <v>13536</v>
      </c>
      <c r="AA17" s="433" t="s">
        <v>13536</v>
      </c>
      <c r="AB17" s="433" t="s">
        <v>13536</v>
      </c>
      <c r="AC17" s="433" t="s">
        <v>13536</v>
      </c>
      <c r="AD17" s="433" t="s">
        <v>13536</v>
      </c>
      <c r="AE17" s="433" t="s">
        <v>13536</v>
      </c>
      <c r="AF17" s="433" t="s">
        <v>13536</v>
      </c>
      <c r="AG17" s="433" t="s">
        <v>13536</v>
      </c>
      <c r="AH17" s="433" t="s">
        <v>13536</v>
      </c>
      <c r="AI17" s="433" t="s">
        <v>13536</v>
      </c>
      <c r="AJ17" s="433" t="s">
        <v>13536</v>
      </c>
      <c r="AK17" s="433" t="s">
        <v>13536</v>
      </c>
      <c r="AL17" s="433" t="s">
        <v>13536</v>
      </c>
      <c r="AM17" s="433" t="s">
        <v>13536</v>
      </c>
      <c r="AN17" s="433" t="s">
        <v>13536</v>
      </c>
      <c r="AO17" s="433" t="s">
        <v>13536</v>
      </c>
      <c r="AP17" s="433" t="s">
        <v>13536</v>
      </c>
    </row>
    <row r="18" spans="2:42">
      <c r="B18" s="430" t="s">
        <v>357</v>
      </c>
      <c r="C18" s="430" t="s">
        <v>13534</v>
      </c>
      <c r="D18" s="430" t="s">
        <v>13539</v>
      </c>
      <c r="E18" s="430" t="s">
        <v>13511</v>
      </c>
      <c r="F18" s="430" t="s">
        <v>334</v>
      </c>
      <c r="G18" s="430" t="s">
        <v>337</v>
      </c>
      <c r="H18" s="430" t="s">
        <v>334</v>
      </c>
      <c r="I18" s="503">
        <v>0</v>
      </c>
      <c r="J18" s="433">
        <v>0</v>
      </c>
      <c r="K18" s="433" t="s">
        <v>13536</v>
      </c>
      <c r="L18" s="433" t="s">
        <v>13536</v>
      </c>
      <c r="M18" s="433" t="s">
        <v>13536</v>
      </c>
      <c r="N18" s="433" t="s">
        <v>13536</v>
      </c>
      <c r="O18" s="433" t="s">
        <v>13536</v>
      </c>
      <c r="P18" s="433" t="s">
        <v>13536</v>
      </c>
      <c r="Q18" s="433" t="s">
        <v>13536</v>
      </c>
      <c r="R18" s="433" t="s">
        <v>13536</v>
      </c>
      <c r="S18" s="433" t="s">
        <v>13536</v>
      </c>
      <c r="T18" s="433" t="s">
        <v>13536</v>
      </c>
      <c r="U18" s="433" t="s">
        <v>13536</v>
      </c>
      <c r="V18" s="433" t="s">
        <v>13536</v>
      </c>
      <c r="W18" s="433" t="s">
        <v>13536</v>
      </c>
      <c r="X18" s="433" t="s">
        <v>13536</v>
      </c>
      <c r="Y18" s="433" t="s">
        <v>13536</v>
      </c>
      <c r="Z18" s="433" t="s">
        <v>13536</v>
      </c>
      <c r="AA18" s="433" t="s">
        <v>13536</v>
      </c>
      <c r="AB18" s="433" t="s">
        <v>13536</v>
      </c>
      <c r="AC18" s="433" t="s">
        <v>13536</v>
      </c>
      <c r="AD18" s="433" t="s">
        <v>13536</v>
      </c>
      <c r="AE18" s="433" t="s">
        <v>13536</v>
      </c>
      <c r="AF18" s="433" t="s">
        <v>13536</v>
      </c>
      <c r="AG18" s="433" t="s">
        <v>13536</v>
      </c>
      <c r="AH18" s="433" t="s">
        <v>13536</v>
      </c>
      <c r="AI18" s="433" t="s">
        <v>13536</v>
      </c>
      <c r="AJ18" s="433" t="s">
        <v>13536</v>
      </c>
      <c r="AK18" s="433" t="s">
        <v>13536</v>
      </c>
      <c r="AL18" s="433" t="s">
        <v>13536</v>
      </c>
      <c r="AM18" s="433" t="s">
        <v>13536</v>
      </c>
      <c r="AN18" s="433" t="s">
        <v>13536</v>
      </c>
      <c r="AO18" s="433" t="s">
        <v>13536</v>
      </c>
      <c r="AP18" s="433" t="s">
        <v>13536</v>
      </c>
    </row>
    <row r="19" spans="2:42">
      <c r="B19" s="430" t="s">
        <v>357</v>
      </c>
      <c r="C19" s="430" t="s">
        <v>13534</v>
      </c>
      <c r="D19" s="430" t="s">
        <v>13540</v>
      </c>
      <c r="E19" s="430" t="s">
        <v>13511</v>
      </c>
      <c r="F19" s="430" t="s">
        <v>334</v>
      </c>
      <c r="G19" s="430" t="s">
        <v>337</v>
      </c>
      <c r="H19" s="430" t="s">
        <v>334</v>
      </c>
      <c r="I19" s="503">
        <v>0</v>
      </c>
      <c r="J19" s="433">
        <v>6.8668592614205197</v>
      </c>
      <c r="K19" s="433" t="s">
        <v>13536</v>
      </c>
      <c r="L19" s="433" t="s">
        <v>13536</v>
      </c>
      <c r="M19" s="433" t="s">
        <v>13536</v>
      </c>
      <c r="N19" s="433" t="s">
        <v>13536</v>
      </c>
      <c r="O19" s="433" t="s">
        <v>13536</v>
      </c>
      <c r="P19" s="433" t="s">
        <v>13536</v>
      </c>
      <c r="Q19" s="433" t="s">
        <v>13536</v>
      </c>
      <c r="R19" s="433" t="s">
        <v>13536</v>
      </c>
      <c r="S19" s="433" t="s">
        <v>13536</v>
      </c>
      <c r="T19" s="433" t="s">
        <v>13536</v>
      </c>
      <c r="U19" s="433" t="s">
        <v>13536</v>
      </c>
      <c r="V19" s="433" t="s">
        <v>13536</v>
      </c>
      <c r="W19" s="433" t="s">
        <v>13536</v>
      </c>
      <c r="X19" s="433" t="s">
        <v>13536</v>
      </c>
      <c r="Y19" s="433" t="s">
        <v>13536</v>
      </c>
      <c r="Z19" s="433" t="s">
        <v>13536</v>
      </c>
      <c r="AA19" s="433" t="s">
        <v>13536</v>
      </c>
      <c r="AB19" s="433" t="s">
        <v>13536</v>
      </c>
      <c r="AC19" s="433" t="s">
        <v>13536</v>
      </c>
      <c r="AD19" s="433" t="s">
        <v>13536</v>
      </c>
      <c r="AE19" s="433" t="s">
        <v>13536</v>
      </c>
      <c r="AF19" s="433" t="s">
        <v>13536</v>
      </c>
      <c r="AG19" s="433" t="s">
        <v>13536</v>
      </c>
      <c r="AH19" s="433" t="s">
        <v>13536</v>
      </c>
      <c r="AI19" s="433" t="s">
        <v>13536</v>
      </c>
      <c r="AJ19" s="433" t="s">
        <v>13536</v>
      </c>
      <c r="AK19" s="433" t="s">
        <v>13536</v>
      </c>
      <c r="AL19" s="433" t="s">
        <v>13536</v>
      </c>
      <c r="AM19" s="433" t="s">
        <v>13536</v>
      </c>
      <c r="AN19" s="433" t="s">
        <v>13536</v>
      </c>
      <c r="AO19" s="433" t="s">
        <v>13536</v>
      </c>
      <c r="AP19" s="433" t="s">
        <v>13536</v>
      </c>
    </row>
    <row r="20" spans="2:42">
      <c r="B20" s="430" t="s">
        <v>855</v>
      </c>
      <c r="C20" s="430" t="s">
        <v>13534</v>
      </c>
      <c r="D20" s="430" t="s">
        <v>558</v>
      </c>
      <c r="E20" s="430" t="s">
        <v>13511</v>
      </c>
      <c r="F20" s="430" t="s">
        <v>334</v>
      </c>
      <c r="G20" s="430" t="s">
        <v>337</v>
      </c>
      <c r="H20" s="430" t="s">
        <v>338</v>
      </c>
      <c r="I20" s="503">
        <v>3</v>
      </c>
      <c r="J20" s="433">
        <v>0</v>
      </c>
      <c r="K20" s="433" t="s">
        <v>13536</v>
      </c>
      <c r="L20" s="433" t="s">
        <v>13536</v>
      </c>
      <c r="M20" s="433" t="s">
        <v>13536</v>
      </c>
      <c r="N20" s="433" t="s">
        <v>13536</v>
      </c>
      <c r="O20" s="433" t="s">
        <v>13536</v>
      </c>
      <c r="P20" s="433" t="s">
        <v>13536</v>
      </c>
      <c r="Q20" s="433" t="s">
        <v>13536</v>
      </c>
      <c r="R20" s="433" t="s">
        <v>13536</v>
      </c>
      <c r="S20" s="433" t="s">
        <v>13536</v>
      </c>
      <c r="T20" s="433" t="s">
        <v>13536</v>
      </c>
      <c r="U20" s="433" t="s">
        <v>13536</v>
      </c>
      <c r="V20" s="433" t="s">
        <v>13536</v>
      </c>
      <c r="W20" s="433" t="s">
        <v>13536</v>
      </c>
      <c r="X20" s="433" t="s">
        <v>13536</v>
      </c>
      <c r="Y20" s="433" t="s">
        <v>13536</v>
      </c>
      <c r="Z20" s="433" t="s">
        <v>13536</v>
      </c>
      <c r="AA20" s="433" t="s">
        <v>13536</v>
      </c>
      <c r="AB20" s="433" t="s">
        <v>13536</v>
      </c>
      <c r="AC20" s="433" t="s">
        <v>13536</v>
      </c>
      <c r="AD20" s="433" t="s">
        <v>13536</v>
      </c>
      <c r="AE20" s="433" t="s">
        <v>13536</v>
      </c>
      <c r="AF20" s="433" t="s">
        <v>13536</v>
      </c>
      <c r="AG20" s="433" t="s">
        <v>13536</v>
      </c>
      <c r="AH20" s="433" t="s">
        <v>13536</v>
      </c>
      <c r="AI20" s="433" t="s">
        <v>13536</v>
      </c>
      <c r="AJ20" s="433" t="s">
        <v>13536</v>
      </c>
      <c r="AK20" s="433" t="s">
        <v>13536</v>
      </c>
      <c r="AL20" s="433" t="s">
        <v>13536</v>
      </c>
      <c r="AM20" s="433" t="s">
        <v>13536</v>
      </c>
      <c r="AN20" s="433" t="s">
        <v>13536</v>
      </c>
      <c r="AO20" s="433" t="s">
        <v>13536</v>
      </c>
      <c r="AP20" s="433" t="s">
        <v>13536</v>
      </c>
    </row>
    <row r="21" spans="2:42">
      <c r="B21" s="430" t="s">
        <v>855</v>
      </c>
      <c r="C21" s="430" t="s">
        <v>13534</v>
      </c>
      <c r="D21" s="430" t="s">
        <v>555</v>
      </c>
      <c r="E21" s="430" t="s">
        <v>13511</v>
      </c>
      <c r="F21" s="430" t="s">
        <v>334</v>
      </c>
      <c r="G21" s="430" t="s">
        <v>337</v>
      </c>
      <c r="H21" s="430" t="s">
        <v>338</v>
      </c>
      <c r="I21" s="503">
        <v>3</v>
      </c>
      <c r="J21" s="433">
        <v>0.38519100880852503</v>
      </c>
      <c r="K21" s="433" t="s">
        <v>13536</v>
      </c>
      <c r="L21" s="433" t="s">
        <v>13536</v>
      </c>
      <c r="M21" s="433" t="s">
        <v>13536</v>
      </c>
      <c r="N21" s="433" t="s">
        <v>13536</v>
      </c>
      <c r="O21" s="433" t="s">
        <v>13536</v>
      </c>
      <c r="P21" s="433" t="s">
        <v>13536</v>
      </c>
      <c r="Q21" s="433" t="s">
        <v>13536</v>
      </c>
      <c r="R21" s="433" t="s">
        <v>13536</v>
      </c>
      <c r="S21" s="433" t="s">
        <v>13536</v>
      </c>
      <c r="T21" s="433" t="s">
        <v>13536</v>
      </c>
      <c r="U21" s="433" t="s">
        <v>13536</v>
      </c>
      <c r="V21" s="433" t="s">
        <v>13536</v>
      </c>
      <c r="W21" s="433" t="s">
        <v>13536</v>
      </c>
      <c r="X21" s="433" t="s">
        <v>13536</v>
      </c>
      <c r="Y21" s="433" t="s">
        <v>13536</v>
      </c>
      <c r="Z21" s="433" t="s">
        <v>13536</v>
      </c>
      <c r="AA21" s="433" t="s">
        <v>13536</v>
      </c>
      <c r="AB21" s="433" t="s">
        <v>13536</v>
      </c>
      <c r="AC21" s="433" t="s">
        <v>13536</v>
      </c>
      <c r="AD21" s="433" t="s">
        <v>13536</v>
      </c>
      <c r="AE21" s="433" t="s">
        <v>13536</v>
      </c>
      <c r="AF21" s="433" t="s">
        <v>13536</v>
      </c>
      <c r="AG21" s="433" t="s">
        <v>13536</v>
      </c>
      <c r="AH21" s="433" t="s">
        <v>13536</v>
      </c>
      <c r="AI21" s="433" t="s">
        <v>13536</v>
      </c>
      <c r="AJ21" s="433" t="s">
        <v>13536</v>
      </c>
      <c r="AK21" s="433" t="s">
        <v>13536</v>
      </c>
      <c r="AL21" s="433" t="s">
        <v>13536</v>
      </c>
      <c r="AM21" s="433" t="s">
        <v>13536</v>
      </c>
      <c r="AN21" s="433" t="s">
        <v>13536</v>
      </c>
      <c r="AO21" s="433" t="s">
        <v>13536</v>
      </c>
      <c r="AP21" s="433" t="s">
        <v>13536</v>
      </c>
    </row>
    <row r="22" spans="2:42">
      <c r="B22" s="430" t="s">
        <v>855</v>
      </c>
      <c r="C22" s="430" t="s">
        <v>13534</v>
      </c>
      <c r="D22" s="430" t="s">
        <v>547</v>
      </c>
      <c r="E22" s="430" t="s">
        <v>13511</v>
      </c>
      <c r="F22" s="430" t="s">
        <v>334</v>
      </c>
      <c r="G22" s="430" t="s">
        <v>337</v>
      </c>
      <c r="H22" s="430" t="s">
        <v>338</v>
      </c>
      <c r="I22" s="503">
        <v>3</v>
      </c>
      <c r="J22" s="433">
        <v>0.323888728445136</v>
      </c>
      <c r="K22" s="433" t="s">
        <v>13536</v>
      </c>
      <c r="L22" s="433" t="s">
        <v>13536</v>
      </c>
      <c r="M22" s="433" t="s">
        <v>13536</v>
      </c>
      <c r="N22" s="433" t="s">
        <v>13536</v>
      </c>
      <c r="O22" s="433" t="s">
        <v>13536</v>
      </c>
      <c r="P22" s="433" t="s">
        <v>13536</v>
      </c>
      <c r="Q22" s="433" t="s">
        <v>13536</v>
      </c>
      <c r="R22" s="433" t="s">
        <v>13536</v>
      </c>
      <c r="S22" s="433" t="s">
        <v>13536</v>
      </c>
      <c r="T22" s="433" t="s">
        <v>13536</v>
      </c>
      <c r="U22" s="433" t="s">
        <v>13536</v>
      </c>
      <c r="V22" s="433" t="s">
        <v>13536</v>
      </c>
      <c r="W22" s="433" t="s">
        <v>13536</v>
      </c>
      <c r="X22" s="433" t="s">
        <v>13536</v>
      </c>
      <c r="Y22" s="433" t="s">
        <v>13536</v>
      </c>
      <c r="Z22" s="433" t="s">
        <v>13536</v>
      </c>
      <c r="AA22" s="433" t="s">
        <v>13536</v>
      </c>
      <c r="AB22" s="433" t="s">
        <v>13536</v>
      </c>
      <c r="AC22" s="433" t="s">
        <v>13536</v>
      </c>
      <c r="AD22" s="433" t="s">
        <v>13536</v>
      </c>
      <c r="AE22" s="433" t="s">
        <v>13536</v>
      </c>
      <c r="AF22" s="433" t="s">
        <v>13536</v>
      </c>
      <c r="AG22" s="433" t="s">
        <v>13536</v>
      </c>
      <c r="AH22" s="433" t="s">
        <v>13536</v>
      </c>
      <c r="AI22" s="433" t="s">
        <v>13536</v>
      </c>
      <c r="AJ22" s="433" t="s">
        <v>13536</v>
      </c>
      <c r="AK22" s="433" t="s">
        <v>13536</v>
      </c>
      <c r="AL22" s="433" t="s">
        <v>13536</v>
      </c>
      <c r="AM22" s="433" t="s">
        <v>13536</v>
      </c>
      <c r="AN22" s="433" t="s">
        <v>13536</v>
      </c>
      <c r="AO22" s="433" t="s">
        <v>13536</v>
      </c>
      <c r="AP22" s="433" t="s">
        <v>13536</v>
      </c>
    </row>
    <row r="23" spans="2:42">
      <c r="B23" s="430" t="s">
        <v>855</v>
      </c>
      <c r="C23" s="430" t="s">
        <v>13534</v>
      </c>
      <c r="D23" s="430" t="s">
        <v>549</v>
      </c>
      <c r="E23" s="430" t="s">
        <v>13511</v>
      </c>
      <c r="F23" s="430" t="s">
        <v>334</v>
      </c>
      <c r="G23" s="430" t="s">
        <v>337</v>
      </c>
      <c r="H23" s="430" t="s">
        <v>338</v>
      </c>
      <c r="I23" s="503">
        <v>3</v>
      </c>
      <c r="J23" s="433">
        <v>3.70569602416869E-2</v>
      </c>
      <c r="K23" s="433" t="s">
        <v>13536</v>
      </c>
      <c r="L23" s="433" t="s">
        <v>13536</v>
      </c>
      <c r="M23" s="433" t="s">
        <v>13536</v>
      </c>
      <c r="N23" s="433" t="s">
        <v>13536</v>
      </c>
      <c r="O23" s="433" t="s">
        <v>13536</v>
      </c>
      <c r="P23" s="433" t="s">
        <v>13536</v>
      </c>
      <c r="Q23" s="433" t="s">
        <v>13536</v>
      </c>
      <c r="R23" s="433" t="s">
        <v>13536</v>
      </c>
      <c r="S23" s="433" t="s">
        <v>13536</v>
      </c>
      <c r="T23" s="433" t="s">
        <v>13536</v>
      </c>
      <c r="U23" s="433" t="s">
        <v>13536</v>
      </c>
      <c r="V23" s="433" t="s">
        <v>13536</v>
      </c>
      <c r="W23" s="433" t="s">
        <v>13536</v>
      </c>
      <c r="X23" s="433" t="s">
        <v>13536</v>
      </c>
      <c r="Y23" s="433" t="s">
        <v>13536</v>
      </c>
      <c r="Z23" s="433" t="s">
        <v>13536</v>
      </c>
      <c r="AA23" s="433" t="s">
        <v>13536</v>
      </c>
      <c r="AB23" s="433" t="s">
        <v>13536</v>
      </c>
      <c r="AC23" s="433" t="s">
        <v>13536</v>
      </c>
      <c r="AD23" s="433" t="s">
        <v>13536</v>
      </c>
      <c r="AE23" s="433" t="s">
        <v>13536</v>
      </c>
      <c r="AF23" s="433" t="s">
        <v>13536</v>
      </c>
      <c r="AG23" s="433" t="s">
        <v>13536</v>
      </c>
      <c r="AH23" s="433" t="s">
        <v>13536</v>
      </c>
      <c r="AI23" s="433" t="s">
        <v>13536</v>
      </c>
      <c r="AJ23" s="433" t="s">
        <v>13536</v>
      </c>
      <c r="AK23" s="433" t="s">
        <v>13536</v>
      </c>
      <c r="AL23" s="433" t="s">
        <v>13536</v>
      </c>
      <c r="AM23" s="433" t="s">
        <v>13536</v>
      </c>
      <c r="AN23" s="433" t="s">
        <v>13536</v>
      </c>
      <c r="AO23" s="433" t="s">
        <v>13536</v>
      </c>
      <c r="AP23" s="433" t="s">
        <v>13536</v>
      </c>
    </row>
    <row r="24" spans="2:42">
      <c r="B24" s="430" t="s">
        <v>855</v>
      </c>
      <c r="C24" s="430" t="s">
        <v>13534</v>
      </c>
      <c r="D24" s="430" t="s">
        <v>592</v>
      </c>
      <c r="E24" s="430" t="s">
        <v>13511</v>
      </c>
      <c r="F24" s="430" t="s">
        <v>334</v>
      </c>
      <c r="G24" s="430" t="s">
        <v>337</v>
      </c>
      <c r="H24" s="430" t="s">
        <v>338</v>
      </c>
      <c r="I24" s="503">
        <v>3</v>
      </c>
      <c r="J24" s="433">
        <v>0.21374627875427801</v>
      </c>
      <c r="K24" s="433" t="s">
        <v>13536</v>
      </c>
      <c r="L24" s="433" t="s">
        <v>13536</v>
      </c>
      <c r="M24" s="433" t="s">
        <v>13536</v>
      </c>
      <c r="N24" s="433" t="s">
        <v>13536</v>
      </c>
      <c r="O24" s="433" t="s">
        <v>13536</v>
      </c>
      <c r="P24" s="433" t="s">
        <v>13536</v>
      </c>
      <c r="Q24" s="433" t="s">
        <v>13536</v>
      </c>
      <c r="R24" s="433" t="s">
        <v>13536</v>
      </c>
      <c r="S24" s="433" t="s">
        <v>13536</v>
      </c>
      <c r="T24" s="433" t="s">
        <v>13536</v>
      </c>
      <c r="U24" s="433" t="s">
        <v>13536</v>
      </c>
      <c r="V24" s="433" t="s">
        <v>13536</v>
      </c>
      <c r="W24" s="433" t="s">
        <v>13536</v>
      </c>
      <c r="X24" s="433" t="s">
        <v>13536</v>
      </c>
      <c r="Y24" s="433" t="s">
        <v>13536</v>
      </c>
      <c r="Z24" s="433" t="s">
        <v>13536</v>
      </c>
      <c r="AA24" s="433" t="s">
        <v>13536</v>
      </c>
      <c r="AB24" s="433" t="s">
        <v>13536</v>
      </c>
      <c r="AC24" s="433" t="s">
        <v>13536</v>
      </c>
      <c r="AD24" s="433" t="s">
        <v>13536</v>
      </c>
      <c r="AE24" s="433" t="s">
        <v>13536</v>
      </c>
      <c r="AF24" s="433" t="s">
        <v>13536</v>
      </c>
      <c r="AG24" s="433" t="s">
        <v>13536</v>
      </c>
      <c r="AH24" s="433" t="s">
        <v>13536</v>
      </c>
      <c r="AI24" s="433" t="s">
        <v>13536</v>
      </c>
      <c r="AJ24" s="433" t="s">
        <v>13536</v>
      </c>
      <c r="AK24" s="433" t="s">
        <v>13536</v>
      </c>
      <c r="AL24" s="433" t="s">
        <v>13536</v>
      </c>
      <c r="AM24" s="433" t="s">
        <v>13536</v>
      </c>
      <c r="AN24" s="433" t="s">
        <v>13536</v>
      </c>
      <c r="AO24" s="433" t="s">
        <v>13536</v>
      </c>
      <c r="AP24" s="433" t="s">
        <v>13536</v>
      </c>
    </row>
    <row r="25" spans="2:42">
      <c r="B25" s="430" t="s">
        <v>855</v>
      </c>
      <c r="C25" s="430" t="s">
        <v>13534</v>
      </c>
      <c r="D25" s="430" t="s">
        <v>551</v>
      </c>
      <c r="E25" s="430" t="s">
        <v>13511</v>
      </c>
      <c r="F25" s="430" t="s">
        <v>334</v>
      </c>
      <c r="G25" s="430" t="s">
        <v>337</v>
      </c>
      <c r="H25" s="430" t="s">
        <v>338</v>
      </c>
      <c r="I25" s="503">
        <v>3</v>
      </c>
      <c r="J25" s="433">
        <v>2.6523977888853602E-3</v>
      </c>
      <c r="K25" s="433" t="s">
        <v>13536</v>
      </c>
      <c r="L25" s="433" t="s">
        <v>13536</v>
      </c>
      <c r="M25" s="433" t="s">
        <v>13536</v>
      </c>
      <c r="N25" s="433" t="s">
        <v>13536</v>
      </c>
      <c r="O25" s="433" t="s">
        <v>13536</v>
      </c>
      <c r="P25" s="433" t="s">
        <v>13536</v>
      </c>
      <c r="Q25" s="433" t="s">
        <v>13536</v>
      </c>
      <c r="R25" s="433" t="s">
        <v>13536</v>
      </c>
      <c r="S25" s="433" t="s">
        <v>13536</v>
      </c>
      <c r="T25" s="433" t="s">
        <v>13536</v>
      </c>
      <c r="U25" s="433" t="s">
        <v>13536</v>
      </c>
      <c r="V25" s="433" t="s">
        <v>13536</v>
      </c>
      <c r="W25" s="433" t="s">
        <v>13536</v>
      </c>
      <c r="X25" s="433" t="s">
        <v>13536</v>
      </c>
      <c r="Y25" s="433" t="s">
        <v>13536</v>
      </c>
      <c r="Z25" s="433" t="s">
        <v>13536</v>
      </c>
      <c r="AA25" s="433" t="s">
        <v>13536</v>
      </c>
      <c r="AB25" s="433" t="s">
        <v>13536</v>
      </c>
      <c r="AC25" s="433" t="s">
        <v>13536</v>
      </c>
      <c r="AD25" s="433" t="s">
        <v>13536</v>
      </c>
      <c r="AE25" s="433" t="s">
        <v>13536</v>
      </c>
      <c r="AF25" s="433" t="s">
        <v>13536</v>
      </c>
      <c r="AG25" s="433" t="s">
        <v>13536</v>
      </c>
      <c r="AH25" s="433" t="s">
        <v>13536</v>
      </c>
      <c r="AI25" s="433" t="s">
        <v>13536</v>
      </c>
      <c r="AJ25" s="433" t="s">
        <v>13536</v>
      </c>
      <c r="AK25" s="433" t="s">
        <v>13536</v>
      </c>
      <c r="AL25" s="433" t="s">
        <v>13536</v>
      </c>
      <c r="AM25" s="433" t="s">
        <v>13536</v>
      </c>
      <c r="AN25" s="433" t="s">
        <v>13536</v>
      </c>
      <c r="AO25" s="433" t="s">
        <v>13536</v>
      </c>
      <c r="AP25" s="433" t="s">
        <v>13536</v>
      </c>
    </row>
    <row r="26" spans="2:42">
      <c r="B26" s="430" t="s">
        <v>855</v>
      </c>
      <c r="C26" s="430" t="s">
        <v>13534</v>
      </c>
      <c r="D26" s="430" t="s">
        <v>594</v>
      </c>
      <c r="E26" s="430" t="s">
        <v>13511</v>
      </c>
      <c r="F26" s="430" t="s">
        <v>334</v>
      </c>
      <c r="G26" s="430" t="s">
        <v>337</v>
      </c>
      <c r="H26" s="430" t="s">
        <v>338</v>
      </c>
      <c r="I26" s="503">
        <v>3</v>
      </c>
      <c r="J26" s="433">
        <v>3.7464625961488501E-2</v>
      </c>
      <c r="K26" s="433" t="s">
        <v>13536</v>
      </c>
      <c r="L26" s="433" t="s">
        <v>13536</v>
      </c>
      <c r="M26" s="433" t="s">
        <v>13536</v>
      </c>
      <c r="N26" s="433" t="s">
        <v>13536</v>
      </c>
      <c r="O26" s="433" t="s">
        <v>13536</v>
      </c>
      <c r="P26" s="433" t="s">
        <v>13536</v>
      </c>
      <c r="Q26" s="433" t="s">
        <v>13536</v>
      </c>
      <c r="R26" s="433" t="s">
        <v>13536</v>
      </c>
      <c r="S26" s="433" t="s">
        <v>13536</v>
      </c>
      <c r="T26" s="433" t="s">
        <v>13536</v>
      </c>
      <c r="U26" s="433" t="s">
        <v>13536</v>
      </c>
      <c r="V26" s="433" t="s">
        <v>13536</v>
      </c>
      <c r="W26" s="433" t="s">
        <v>13536</v>
      </c>
      <c r="X26" s="433" t="s">
        <v>13536</v>
      </c>
      <c r="Y26" s="433" t="s">
        <v>13536</v>
      </c>
      <c r="Z26" s="433" t="s">
        <v>13536</v>
      </c>
      <c r="AA26" s="433" t="s">
        <v>13536</v>
      </c>
      <c r="AB26" s="433" t="s">
        <v>13536</v>
      </c>
      <c r="AC26" s="433" t="s">
        <v>13536</v>
      </c>
      <c r="AD26" s="433" t="s">
        <v>13536</v>
      </c>
      <c r="AE26" s="433" t="s">
        <v>13536</v>
      </c>
      <c r="AF26" s="433" t="s">
        <v>13536</v>
      </c>
      <c r="AG26" s="433" t="s">
        <v>13536</v>
      </c>
      <c r="AH26" s="433" t="s">
        <v>13536</v>
      </c>
      <c r="AI26" s="433" t="s">
        <v>13536</v>
      </c>
      <c r="AJ26" s="433" t="s">
        <v>13536</v>
      </c>
      <c r="AK26" s="433" t="s">
        <v>13536</v>
      </c>
      <c r="AL26" s="433" t="s">
        <v>13536</v>
      </c>
      <c r="AM26" s="433" t="s">
        <v>13536</v>
      </c>
      <c r="AN26" s="433" t="s">
        <v>13536</v>
      </c>
      <c r="AO26" s="433" t="s">
        <v>13536</v>
      </c>
      <c r="AP26" s="433" t="s">
        <v>13536</v>
      </c>
    </row>
    <row r="27" spans="2:42">
      <c r="B27" s="430" t="s">
        <v>13541</v>
      </c>
      <c r="C27" s="430" t="s">
        <v>13534</v>
      </c>
      <c r="D27" s="430" t="s">
        <v>334</v>
      </c>
      <c r="E27" s="430" t="s">
        <v>13550</v>
      </c>
      <c r="F27" s="430" t="s">
        <v>334</v>
      </c>
      <c r="G27" s="430" t="s">
        <v>334</v>
      </c>
      <c r="H27" s="430" t="s">
        <v>334</v>
      </c>
      <c r="I27" s="503">
        <v>0</v>
      </c>
      <c r="J27" s="433">
        <v>1.8E-3</v>
      </c>
      <c r="K27" s="433" t="s">
        <v>13536</v>
      </c>
      <c r="L27" s="433" t="s">
        <v>13536</v>
      </c>
      <c r="M27" s="433" t="s">
        <v>13536</v>
      </c>
      <c r="N27" s="433" t="s">
        <v>13536</v>
      </c>
      <c r="O27" s="433" t="s">
        <v>13536</v>
      </c>
      <c r="P27" s="433" t="s">
        <v>13536</v>
      </c>
      <c r="Q27" s="433" t="s">
        <v>13536</v>
      </c>
      <c r="R27" s="433" t="s">
        <v>13536</v>
      </c>
      <c r="S27" s="433" t="s">
        <v>13536</v>
      </c>
      <c r="T27" s="433" t="s">
        <v>13536</v>
      </c>
      <c r="U27" s="433" t="s">
        <v>13536</v>
      </c>
      <c r="V27" s="433" t="s">
        <v>13536</v>
      </c>
      <c r="W27" s="433" t="s">
        <v>13536</v>
      </c>
      <c r="X27" s="433" t="s">
        <v>13536</v>
      </c>
      <c r="Y27" s="433" t="s">
        <v>13536</v>
      </c>
      <c r="Z27" s="433" t="s">
        <v>13536</v>
      </c>
      <c r="AA27" s="433" t="s">
        <v>13536</v>
      </c>
      <c r="AB27" s="433" t="s">
        <v>13536</v>
      </c>
      <c r="AC27" s="433" t="s">
        <v>13536</v>
      </c>
      <c r="AD27" s="433" t="s">
        <v>13536</v>
      </c>
      <c r="AE27" s="433" t="s">
        <v>13536</v>
      </c>
      <c r="AF27" s="433" t="s">
        <v>13536</v>
      </c>
      <c r="AG27" s="433" t="s">
        <v>13536</v>
      </c>
      <c r="AH27" s="433" t="s">
        <v>13536</v>
      </c>
      <c r="AI27" s="433" t="s">
        <v>13536</v>
      </c>
      <c r="AJ27" s="433" t="s">
        <v>13536</v>
      </c>
      <c r="AK27" s="433" t="s">
        <v>13536</v>
      </c>
      <c r="AL27" s="433" t="s">
        <v>13536</v>
      </c>
      <c r="AM27" s="433" t="s">
        <v>13536</v>
      </c>
      <c r="AN27" s="433" t="s">
        <v>13536</v>
      </c>
      <c r="AO27" s="433" t="s">
        <v>13536</v>
      </c>
      <c r="AP27" s="433" t="s">
        <v>13536</v>
      </c>
    </row>
    <row r="28" spans="2:42" s="387" customFormat="1">
      <c r="B28" s="387" t="s">
        <v>13541</v>
      </c>
      <c r="C28" s="387" t="s">
        <v>13534</v>
      </c>
      <c r="D28" s="387" t="s">
        <v>334</v>
      </c>
      <c r="E28" s="387" t="s">
        <v>13551</v>
      </c>
      <c r="F28" s="387" t="s">
        <v>334</v>
      </c>
      <c r="G28" s="387" t="s">
        <v>334</v>
      </c>
      <c r="H28" s="387" t="s">
        <v>334</v>
      </c>
      <c r="I28" s="1359">
        <v>0</v>
      </c>
      <c r="J28" s="985">
        <v>1.6000000000000001E-3</v>
      </c>
      <c r="K28" s="985" t="s">
        <v>13536</v>
      </c>
      <c r="L28" s="985" t="s">
        <v>13536</v>
      </c>
      <c r="M28" s="985" t="s">
        <v>13536</v>
      </c>
      <c r="N28" s="985" t="s">
        <v>13536</v>
      </c>
      <c r="O28" s="985" t="s">
        <v>13536</v>
      </c>
      <c r="P28" s="985" t="s">
        <v>13536</v>
      </c>
      <c r="Q28" s="985" t="s">
        <v>13536</v>
      </c>
      <c r="R28" s="985" t="s">
        <v>13536</v>
      </c>
      <c r="S28" s="985" t="s">
        <v>13536</v>
      </c>
      <c r="T28" s="985" t="s">
        <v>13536</v>
      </c>
      <c r="U28" s="985" t="s">
        <v>13536</v>
      </c>
      <c r="V28" s="985" t="s">
        <v>13536</v>
      </c>
      <c r="W28" s="985" t="s">
        <v>13536</v>
      </c>
      <c r="X28" s="985" t="s">
        <v>13536</v>
      </c>
      <c r="Y28" s="985" t="s">
        <v>13536</v>
      </c>
      <c r="Z28" s="985" t="s">
        <v>13536</v>
      </c>
      <c r="AA28" s="985" t="s">
        <v>13536</v>
      </c>
      <c r="AB28" s="985" t="s">
        <v>13536</v>
      </c>
      <c r="AC28" s="985" t="s">
        <v>13536</v>
      </c>
      <c r="AD28" s="985" t="s">
        <v>13536</v>
      </c>
      <c r="AE28" s="985" t="s">
        <v>13536</v>
      </c>
      <c r="AF28" s="985" t="s">
        <v>13536</v>
      </c>
      <c r="AG28" s="985" t="s">
        <v>13536</v>
      </c>
      <c r="AH28" s="985" t="s">
        <v>13536</v>
      </c>
      <c r="AI28" s="985" t="s">
        <v>13536</v>
      </c>
      <c r="AJ28" s="985" t="s">
        <v>13536</v>
      </c>
      <c r="AK28" s="985" t="s">
        <v>13536</v>
      </c>
      <c r="AL28" s="985" t="s">
        <v>13536</v>
      </c>
      <c r="AM28" s="985" t="s">
        <v>13536</v>
      </c>
      <c r="AN28" s="985" t="s">
        <v>13536</v>
      </c>
      <c r="AO28" s="985" t="s">
        <v>13536</v>
      </c>
      <c r="AP28" s="985" t="s">
        <v>13536</v>
      </c>
    </row>
    <row r="29" spans="2:42">
      <c r="B29" s="430" t="s">
        <v>332</v>
      </c>
      <c r="C29" s="430" t="s">
        <v>13524</v>
      </c>
      <c r="D29" s="430" t="s">
        <v>334</v>
      </c>
      <c r="E29" s="430" t="s">
        <v>334</v>
      </c>
      <c r="F29" s="430" t="s">
        <v>334</v>
      </c>
      <c r="G29" s="430" t="s">
        <v>334</v>
      </c>
      <c r="H29" s="430" t="s">
        <v>334</v>
      </c>
      <c r="I29" s="503">
        <v>0</v>
      </c>
      <c r="J29" s="433">
        <v>26.620616731773399</v>
      </c>
      <c r="K29" s="433" t="s">
        <v>13536</v>
      </c>
      <c r="L29" s="433" t="s">
        <v>13536</v>
      </c>
      <c r="M29" s="433" t="s">
        <v>13536</v>
      </c>
      <c r="N29" s="433" t="s">
        <v>13536</v>
      </c>
      <c r="O29" s="433" t="s">
        <v>13536</v>
      </c>
      <c r="P29" s="433" t="s">
        <v>13536</v>
      </c>
      <c r="Q29" s="433" t="s">
        <v>13536</v>
      </c>
      <c r="R29" s="433" t="s">
        <v>13536</v>
      </c>
      <c r="S29" s="433" t="s">
        <v>13536</v>
      </c>
      <c r="T29" s="433" t="s">
        <v>13536</v>
      </c>
      <c r="U29" s="433" t="s">
        <v>13536</v>
      </c>
      <c r="V29" s="433" t="s">
        <v>13536</v>
      </c>
      <c r="W29" s="433" t="s">
        <v>13536</v>
      </c>
      <c r="X29" s="433" t="s">
        <v>13536</v>
      </c>
      <c r="Y29" s="433" t="s">
        <v>13536</v>
      </c>
      <c r="Z29" s="433" t="s">
        <v>13536</v>
      </c>
      <c r="AA29" s="433" t="s">
        <v>13536</v>
      </c>
      <c r="AB29" s="433" t="s">
        <v>13536</v>
      </c>
      <c r="AC29" s="433" t="s">
        <v>13536</v>
      </c>
      <c r="AD29" s="433" t="s">
        <v>13536</v>
      </c>
      <c r="AE29" s="433" t="s">
        <v>13536</v>
      </c>
      <c r="AF29" s="433" t="s">
        <v>13536</v>
      </c>
      <c r="AG29" s="433" t="s">
        <v>13536</v>
      </c>
      <c r="AH29" s="433" t="s">
        <v>13536</v>
      </c>
      <c r="AI29" s="433" t="s">
        <v>13536</v>
      </c>
      <c r="AJ29" s="433" t="s">
        <v>13536</v>
      </c>
      <c r="AK29" s="433" t="s">
        <v>13536</v>
      </c>
      <c r="AL29" s="433" t="s">
        <v>13536</v>
      </c>
      <c r="AM29" s="433" t="s">
        <v>13536</v>
      </c>
      <c r="AN29" s="433" t="s">
        <v>13536</v>
      </c>
      <c r="AO29" s="433" t="s">
        <v>13536</v>
      </c>
      <c r="AP29" s="433" t="s">
        <v>13536</v>
      </c>
    </row>
    <row r="30" spans="2:42">
      <c r="B30" s="430" t="s">
        <v>602</v>
      </c>
      <c r="C30" s="430" t="s">
        <v>13524</v>
      </c>
      <c r="D30" s="430" t="s">
        <v>334</v>
      </c>
      <c r="E30" s="430" t="s">
        <v>334</v>
      </c>
      <c r="F30" s="430" t="s">
        <v>334</v>
      </c>
      <c r="G30" s="430" t="s">
        <v>334</v>
      </c>
      <c r="H30" s="430" t="str">
        <f>TS_TTech!H86</f>
        <v>UP</v>
      </c>
      <c r="I30" s="430">
        <f>TS_TTech!I86</f>
        <v>3</v>
      </c>
      <c r="J30" s="430">
        <f ca="1">TS_TTech!J86</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13524</v>
      </c>
      <c r="D31" s="430" t="s">
        <v>334</v>
      </c>
      <c r="E31" s="430" t="s">
        <v>334</v>
      </c>
      <c r="F31" s="430" t="s">
        <v>334</v>
      </c>
      <c r="G31" s="430" t="s">
        <v>334</v>
      </c>
      <c r="H31" s="430" t="str">
        <f>TS_TTech!H87</f>
        <v>LO</v>
      </c>
      <c r="I31" s="430">
        <f>TS_TTech!I87</f>
        <v>3</v>
      </c>
      <c r="J31" s="430">
        <f ca="1">TS_TTech!J87</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13524</v>
      </c>
      <c r="D32" s="430" t="s">
        <v>334</v>
      </c>
      <c r="E32" s="430" t="s">
        <v>334</v>
      </c>
      <c r="F32" s="430" t="s">
        <v>334</v>
      </c>
      <c r="G32" s="430" t="s">
        <v>334</v>
      </c>
      <c r="H32" s="430" t="s">
        <v>338</v>
      </c>
      <c r="I32" s="503">
        <v>3</v>
      </c>
      <c r="J32" s="433">
        <v>0</v>
      </c>
      <c r="K32" s="433" t="s">
        <v>13536</v>
      </c>
      <c r="L32" s="433" t="s">
        <v>13536</v>
      </c>
      <c r="M32" s="433" t="s">
        <v>13536</v>
      </c>
      <c r="N32" s="433" t="s">
        <v>13536</v>
      </c>
      <c r="O32" s="433" t="s">
        <v>13536</v>
      </c>
      <c r="P32" s="433" t="s">
        <v>13536</v>
      </c>
      <c r="Q32" s="433" t="s">
        <v>13536</v>
      </c>
      <c r="R32" s="433" t="s">
        <v>13536</v>
      </c>
      <c r="S32" s="433" t="s">
        <v>13536</v>
      </c>
      <c r="T32" s="433" t="s">
        <v>13536</v>
      </c>
      <c r="U32" s="433" t="s">
        <v>13536</v>
      </c>
      <c r="V32" s="433" t="s">
        <v>13536</v>
      </c>
      <c r="W32" s="433" t="s">
        <v>13536</v>
      </c>
      <c r="X32" s="433" t="s">
        <v>13536</v>
      </c>
      <c r="Y32" s="433" t="s">
        <v>13536</v>
      </c>
      <c r="Z32" s="433" t="s">
        <v>13536</v>
      </c>
      <c r="AA32" s="433" t="s">
        <v>13536</v>
      </c>
      <c r="AB32" s="433" t="s">
        <v>13536</v>
      </c>
      <c r="AC32" s="433" t="s">
        <v>13536</v>
      </c>
      <c r="AD32" s="433" t="s">
        <v>13536</v>
      </c>
      <c r="AE32" s="433" t="s">
        <v>13536</v>
      </c>
      <c r="AF32" s="433" t="s">
        <v>13536</v>
      </c>
      <c r="AG32" s="433" t="s">
        <v>13536</v>
      </c>
      <c r="AH32" s="433" t="s">
        <v>13536</v>
      </c>
      <c r="AI32" s="433" t="s">
        <v>13536</v>
      </c>
      <c r="AJ32" s="433" t="s">
        <v>13536</v>
      </c>
      <c r="AK32" s="433" t="s">
        <v>13536</v>
      </c>
      <c r="AL32" s="433" t="s">
        <v>13536</v>
      </c>
      <c r="AM32" s="433" t="s">
        <v>13536</v>
      </c>
      <c r="AN32" s="433" t="s">
        <v>13536</v>
      </c>
      <c r="AO32" s="433" t="s">
        <v>13536</v>
      </c>
      <c r="AP32" s="433" t="s">
        <v>13536</v>
      </c>
    </row>
    <row r="33" spans="2:42">
      <c r="B33" s="430" t="s">
        <v>849</v>
      </c>
      <c r="C33" s="430" t="s">
        <v>13524</v>
      </c>
      <c r="D33" s="430" t="s">
        <v>334</v>
      </c>
      <c r="E33" s="430" t="s">
        <v>334</v>
      </c>
      <c r="F33" s="430" t="s">
        <v>334</v>
      </c>
      <c r="G33" s="430" t="s">
        <v>334</v>
      </c>
      <c r="H33" s="430" t="s">
        <v>334</v>
      </c>
      <c r="I33" s="503">
        <v>0</v>
      </c>
      <c r="J33" s="433">
        <v>0</v>
      </c>
      <c r="K33" s="433" t="s">
        <v>13536</v>
      </c>
      <c r="L33" s="433" t="s">
        <v>13536</v>
      </c>
      <c r="M33" s="433" t="s">
        <v>13536</v>
      </c>
      <c r="N33" s="433" t="s">
        <v>13536</v>
      </c>
      <c r="O33" s="433" t="s">
        <v>13536</v>
      </c>
      <c r="P33" s="433" t="s">
        <v>13536</v>
      </c>
      <c r="Q33" s="433" t="s">
        <v>13536</v>
      </c>
      <c r="R33" s="433" t="s">
        <v>13536</v>
      </c>
      <c r="S33" s="433" t="s">
        <v>13536</v>
      </c>
      <c r="T33" s="433" t="s">
        <v>13536</v>
      </c>
      <c r="U33" s="433" t="s">
        <v>13536</v>
      </c>
      <c r="V33" s="433" t="s">
        <v>13536</v>
      </c>
      <c r="W33" s="433" t="s">
        <v>13536</v>
      </c>
      <c r="X33" s="433" t="s">
        <v>13536</v>
      </c>
      <c r="Y33" s="433" t="s">
        <v>13536</v>
      </c>
      <c r="Z33" s="433" t="s">
        <v>13536</v>
      </c>
      <c r="AA33" s="433" t="s">
        <v>13536</v>
      </c>
      <c r="AB33" s="433" t="s">
        <v>13536</v>
      </c>
      <c r="AC33" s="433" t="s">
        <v>13536</v>
      </c>
      <c r="AD33" s="433" t="s">
        <v>13536</v>
      </c>
      <c r="AE33" s="433" t="s">
        <v>13536</v>
      </c>
      <c r="AF33" s="433" t="s">
        <v>13536</v>
      </c>
      <c r="AG33" s="433" t="s">
        <v>13536</v>
      </c>
      <c r="AH33" s="433" t="s">
        <v>13536</v>
      </c>
      <c r="AI33" s="433" t="s">
        <v>13536</v>
      </c>
      <c r="AJ33" s="433" t="s">
        <v>13536</v>
      </c>
      <c r="AK33" s="433" t="s">
        <v>13536</v>
      </c>
      <c r="AL33" s="433" t="s">
        <v>13536</v>
      </c>
      <c r="AM33" s="433" t="s">
        <v>13536</v>
      </c>
      <c r="AN33" s="433" t="s">
        <v>13536</v>
      </c>
      <c r="AO33" s="433" t="s">
        <v>13536</v>
      </c>
      <c r="AP33" s="433" t="s">
        <v>13536</v>
      </c>
    </row>
    <row r="34" spans="2:42">
      <c r="B34" s="430" t="s">
        <v>860</v>
      </c>
      <c r="C34" s="430" t="s">
        <v>13524</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13524</v>
      </c>
      <c r="D35" s="430" t="s">
        <v>334</v>
      </c>
      <c r="E35" s="430" t="s">
        <v>13502</v>
      </c>
      <c r="F35" s="430" t="s">
        <v>13504</v>
      </c>
      <c r="G35" s="430" t="s">
        <v>337</v>
      </c>
      <c r="H35" s="430" t="s">
        <v>334</v>
      </c>
      <c r="I35" s="503">
        <v>0</v>
      </c>
      <c r="J35" s="433">
        <v>0.31940000000000002</v>
      </c>
      <c r="K35" s="433" t="s">
        <v>13536</v>
      </c>
      <c r="L35" s="433" t="s">
        <v>13536</v>
      </c>
      <c r="M35" s="433" t="s">
        <v>13536</v>
      </c>
      <c r="N35" s="433">
        <v>0.32645307349333103</v>
      </c>
      <c r="O35" s="433" t="s">
        <v>13536</v>
      </c>
      <c r="P35" s="433" t="s">
        <v>13536</v>
      </c>
      <c r="Q35" s="433" t="s">
        <v>13536</v>
      </c>
      <c r="R35" s="433" t="s">
        <v>13536</v>
      </c>
      <c r="S35" s="433" t="s">
        <v>13536</v>
      </c>
      <c r="T35" s="433" t="s">
        <v>13536</v>
      </c>
      <c r="U35" s="433" t="s">
        <v>13536</v>
      </c>
      <c r="V35" s="433" t="s">
        <v>13536</v>
      </c>
      <c r="W35" s="433" t="s">
        <v>13536</v>
      </c>
      <c r="X35" s="433" t="s">
        <v>13536</v>
      </c>
      <c r="Y35" s="433" t="s">
        <v>13536</v>
      </c>
      <c r="Z35" s="433" t="s">
        <v>13536</v>
      </c>
      <c r="AA35" s="433" t="s">
        <v>13536</v>
      </c>
      <c r="AB35" s="433" t="s">
        <v>13536</v>
      </c>
      <c r="AC35" s="433" t="s">
        <v>13536</v>
      </c>
      <c r="AD35" s="433" t="s">
        <v>13536</v>
      </c>
      <c r="AE35" s="433" t="s">
        <v>13536</v>
      </c>
      <c r="AF35" s="433" t="s">
        <v>13536</v>
      </c>
      <c r="AG35" s="433" t="s">
        <v>13536</v>
      </c>
      <c r="AH35" s="433" t="s">
        <v>13536</v>
      </c>
      <c r="AI35" s="433" t="s">
        <v>13536</v>
      </c>
      <c r="AJ35" s="433" t="s">
        <v>13536</v>
      </c>
      <c r="AK35" s="433" t="s">
        <v>13536</v>
      </c>
      <c r="AL35" s="433" t="s">
        <v>13536</v>
      </c>
      <c r="AM35" s="433" t="s">
        <v>13536</v>
      </c>
      <c r="AN35" s="433" t="s">
        <v>13536</v>
      </c>
      <c r="AO35" s="433" t="s">
        <v>13536</v>
      </c>
      <c r="AP35" s="433" t="s">
        <v>13536</v>
      </c>
    </row>
    <row r="36" spans="2:42">
      <c r="B36" s="430" t="s">
        <v>855</v>
      </c>
      <c r="C36" s="430" t="s">
        <v>13524</v>
      </c>
      <c r="D36" s="430" t="s">
        <v>13520</v>
      </c>
      <c r="E36" s="430" t="s">
        <v>13502</v>
      </c>
      <c r="F36" s="430" t="s">
        <v>334</v>
      </c>
      <c r="G36" s="430" t="s">
        <v>337</v>
      </c>
      <c r="H36" s="430" t="s">
        <v>856</v>
      </c>
      <c r="I36" s="503">
        <v>3</v>
      </c>
      <c r="J36" s="433">
        <v>0.75055526301578401</v>
      </c>
      <c r="K36" s="433" t="s">
        <v>13536</v>
      </c>
      <c r="L36" s="433" t="s">
        <v>13536</v>
      </c>
      <c r="M36" s="433" t="s">
        <v>13536</v>
      </c>
      <c r="N36" s="433">
        <v>0.73688240408978001</v>
      </c>
      <c r="O36" s="433" t="s">
        <v>13536</v>
      </c>
      <c r="P36" s="433" t="s">
        <v>13536</v>
      </c>
      <c r="Q36" s="433" t="s">
        <v>13536</v>
      </c>
      <c r="R36" s="433" t="s">
        <v>13536</v>
      </c>
      <c r="S36" s="433" t="s">
        <v>13536</v>
      </c>
      <c r="T36" s="433" t="s">
        <v>13536</v>
      </c>
      <c r="U36" s="433" t="s">
        <v>13536</v>
      </c>
      <c r="V36" s="433" t="s">
        <v>13536</v>
      </c>
      <c r="W36" s="433" t="s">
        <v>13536</v>
      </c>
      <c r="X36" s="433" t="s">
        <v>13536</v>
      </c>
      <c r="Y36" s="433" t="s">
        <v>13536</v>
      </c>
      <c r="Z36" s="433" t="s">
        <v>13536</v>
      </c>
      <c r="AA36" s="433" t="s">
        <v>13536</v>
      </c>
      <c r="AB36" s="433" t="s">
        <v>13536</v>
      </c>
      <c r="AC36" s="433" t="s">
        <v>13536</v>
      </c>
      <c r="AD36" s="433" t="s">
        <v>13536</v>
      </c>
      <c r="AE36" s="433" t="s">
        <v>13536</v>
      </c>
      <c r="AF36" s="433" t="s">
        <v>13536</v>
      </c>
      <c r="AG36" s="433" t="s">
        <v>13536</v>
      </c>
      <c r="AH36" s="433" t="s">
        <v>13536</v>
      </c>
      <c r="AI36" s="433" t="s">
        <v>13536</v>
      </c>
      <c r="AJ36" s="433" t="s">
        <v>13536</v>
      </c>
      <c r="AK36" s="433" t="s">
        <v>13536</v>
      </c>
      <c r="AL36" s="433" t="s">
        <v>13536</v>
      </c>
      <c r="AM36" s="433" t="s">
        <v>13536</v>
      </c>
      <c r="AN36" s="433" t="s">
        <v>13536</v>
      </c>
      <c r="AO36" s="433" t="s">
        <v>13536</v>
      </c>
      <c r="AP36" s="433" t="s">
        <v>13536</v>
      </c>
    </row>
    <row r="37" spans="2:42">
      <c r="B37" s="430" t="s">
        <v>855</v>
      </c>
      <c r="C37" s="430" t="s">
        <v>13524</v>
      </c>
      <c r="D37" s="430" t="s">
        <v>13537</v>
      </c>
      <c r="E37" s="430" t="s">
        <v>13502</v>
      </c>
      <c r="F37" s="430" t="s">
        <v>334</v>
      </c>
      <c r="G37" s="430" t="s">
        <v>337</v>
      </c>
      <c r="H37" s="430" t="s">
        <v>856</v>
      </c>
      <c r="I37" s="503">
        <v>3</v>
      </c>
      <c r="J37" s="433">
        <v>4.6380305946303199E-2</v>
      </c>
      <c r="K37" s="433" t="s">
        <v>13536</v>
      </c>
      <c r="L37" s="433" t="s">
        <v>13536</v>
      </c>
      <c r="M37" s="433" t="s">
        <v>13536</v>
      </c>
      <c r="N37" s="433">
        <v>4.7407830732884598E-2</v>
      </c>
      <c r="O37" s="433" t="s">
        <v>13536</v>
      </c>
      <c r="P37" s="433" t="s">
        <v>13536</v>
      </c>
      <c r="Q37" s="433" t="s">
        <v>13536</v>
      </c>
      <c r="R37" s="433" t="s">
        <v>13536</v>
      </c>
      <c r="S37" s="433" t="s">
        <v>13536</v>
      </c>
      <c r="T37" s="433" t="s">
        <v>13536</v>
      </c>
      <c r="U37" s="433" t="s">
        <v>13536</v>
      </c>
      <c r="V37" s="433" t="s">
        <v>13536</v>
      </c>
      <c r="W37" s="433" t="s">
        <v>13536</v>
      </c>
      <c r="X37" s="433" t="s">
        <v>13536</v>
      </c>
      <c r="Y37" s="433" t="s">
        <v>13536</v>
      </c>
      <c r="Z37" s="433" t="s">
        <v>13536</v>
      </c>
      <c r="AA37" s="433" t="s">
        <v>13536</v>
      </c>
      <c r="AB37" s="433" t="s">
        <v>13536</v>
      </c>
      <c r="AC37" s="433" t="s">
        <v>13536</v>
      </c>
      <c r="AD37" s="433" t="s">
        <v>13536</v>
      </c>
      <c r="AE37" s="433" t="s">
        <v>13536</v>
      </c>
      <c r="AF37" s="433" t="s">
        <v>13536</v>
      </c>
      <c r="AG37" s="433" t="s">
        <v>13536</v>
      </c>
      <c r="AH37" s="433" t="s">
        <v>13536</v>
      </c>
      <c r="AI37" s="433" t="s">
        <v>13536</v>
      </c>
      <c r="AJ37" s="433" t="s">
        <v>13536</v>
      </c>
      <c r="AK37" s="433" t="s">
        <v>13536</v>
      </c>
      <c r="AL37" s="433" t="s">
        <v>13536</v>
      </c>
      <c r="AM37" s="433" t="s">
        <v>13536</v>
      </c>
      <c r="AN37" s="433" t="s">
        <v>13536</v>
      </c>
      <c r="AO37" s="433" t="s">
        <v>13536</v>
      </c>
      <c r="AP37" s="433" t="s">
        <v>13536</v>
      </c>
    </row>
    <row r="38" spans="2:42">
      <c r="B38" s="430" t="s">
        <v>855</v>
      </c>
      <c r="C38" s="430" t="s">
        <v>13524</v>
      </c>
      <c r="D38" s="430" t="s">
        <v>1894</v>
      </c>
      <c r="E38" s="430" t="s">
        <v>13502</v>
      </c>
      <c r="F38" s="430" t="s">
        <v>334</v>
      </c>
      <c r="G38" s="430" t="s">
        <v>337</v>
      </c>
      <c r="H38" s="430" t="s">
        <v>856</v>
      </c>
      <c r="I38" s="503">
        <v>3</v>
      </c>
      <c r="J38" s="433">
        <v>2.6746802247811299E-2</v>
      </c>
      <c r="K38" s="433" t="s">
        <v>13536</v>
      </c>
      <c r="L38" s="433" t="s">
        <v>13536</v>
      </c>
      <c r="M38" s="433" t="s">
        <v>13536</v>
      </c>
      <c r="N38" s="433">
        <v>3.5485936757959503E-2</v>
      </c>
      <c r="O38" s="433" t="s">
        <v>13536</v>
      </c>
      <c r="P38" s="433" t="s">
        <v>13536</v>
      </c>
      <c r="Q38" s="433" t="s">
        <v>13536</v>
      </c>
      <c r="R38" s="433" t="s">
        <v>13536</v>
      </c>
      <c r="S38" s="433" t="s">
        <v>13536</v>
      </c>
      <c r="T38" s="433" t="s">
        <v>13536</v>
      </c>
      <c r="U38" s="433" t="s">
        <v>13536</v>
      </c>
      <c r="V38" s="433" t="s">
        <v>13536</v>
      </c>
      <c r="W38" s="433" t="s">
        <v>13536</v>
      </c>
      <c r="X38" s="433" t="s">
        <v>13536</v>
      </c>
      <c r="Y38" s="433" t="s">
        <v>13536</v>
      </c>
      <c r="Z38" s="433" t="s">
        <v>13536</v>
      </c>
      <c r="AA38" s="433" t="s">
        <v>13536</v>
      </c>
      <c r="AB38" s="433" t="s">
        <v>13536</v>
      </c>
      <c r="AC38" s="433" t="s">
        <v>13536</v>
      </c>
      <c r="AD38" s="433" t="s">
        <v>13536</v>
      </c>
      <c r="AE38" s="433" t="s">
        <v>13536</v>
      </c>
      <c r="AF38" s="433" t="s">
        <v>13536</v>
      </c>
      <c r="AG38" s="433" t="s">
        <v>13536</v>
      </c>
      <c r="AH38" s="433" t="s">
        <v>13536</v>
      </c>
      <c r="AI38" s="433" t="s">
        <v>13536</v>
      </c>
      <c r="AJ38" s="433" t="s">
        <v>13536</v>
      </c>
      <c r="AK38" s="433" t="s">
        <v>13536</v>
      </c>
      <c r="AL38" s="433" t="s">
        <v>13536</v>
      </c>
      <c r="AM38" s="433" t="s">
        <v>13536</v>
      </c>
      <c r="AN38" s="433" t="s">
        <v>13536</v>
      </c>
      <c r="AO38" s="433" t="s">
        <v>13536</v>
      </c>
      <c r="AP38" s="433" t="s">
        <v>13536</v>
      </c>
    </row>
    <row r="39" spans="2:42">
      <c r="B39" s="430" t="s">
        <v>855</v>
      </c>
      <c r="C39" s="430" t="s">
        <v>13524</v>
      </c>
      <c r="D39" s="430" t="s">
        <v>13543</v>
      </c>
      <c r="E39" s="430" t="s">
        <v>13502</v>
      </c>
      <c r="F39" s="430" t="s">
        <v>334</v>
      </c>
      <c r="G39" s="430" t="s">
        <v>337</v>
      </c>
      <c r="H39" s="430" t="s">
        <v>856</v>
      </c>
      <c r="I39" s="503">
        <v>3</v>
      </c>
      <c r="J39" s="433">
        <v>0.17631762879010099</v>
      </c>
      <c r="K39" s="433" t="s">
        <v>13536</v>
      </c>
      <c r="L39" s="433" t="s">
        <v>13536</v>
      </c>
      <c r="M39" s="433" t="s">
        <v>13536</v>
      </c>
      <c r="N39" s="433">
        <v>0.18022382841937601</v>
      </c>
      <c r="O39" s="433" t="s">
        <v>13536</v>
      </c>
      <c r="P39" s="433" t="s">
        <v>13536</v>
      </c>
      <c r="Q39" s="433" t="s">
        <v>13536</v>
      </c>
      <c r="R39" s="433" t="s">
        <v>13536</v>
      </c>
      <c r="S39" s="433" t="s">
        <v>13536</v>
      </c>
      <c r="T39" s="433" t="s">
        <v>13536</v>
      </c>
      <c r="U39" s="433" t="s">
        <v>13536</v>
      </c>
      <c r="V39" s="433" t="s">
        <v>13536</v>
      </c>
      <c r="W39" s="433" t="s">
        <v>13536</v>
      </c>
      <c r="X39" s="433" t="s">
        <v>13536</v>
      </c>
      <c r="Y39" s="433" t="s">
        <v>13536</v>
      </c>
      <c r="Z39" s="433" t="s">
        <v>13536</v>
      </c>
      <c r="AA39" s="433" t="s">
        <v>13536</v>
      </c>
      <c r="AB39" s="433" t="s">
        <v>13536</v>
      </c>
      <c r="AC39" s="433" t="s">
        <v>13536</v>
      </c>
      <c r="AD39" s="433" t="s">
        <v>13536</v>
      </c>
      <c r="AE39" s="433" t="s">
        <v>13536</v>
      </c>
      <c r="AF39" s="433" t="s">
        <v>13536</v>
      </c>
      <c r="AG39" s="433" t="s">
        <v>13536</v>
      </c>
      <c r="AH39" s="433" t="s">
        <v>13536</v>
      </c>
      <c r="AI39" s="433" t="s">
        <v>13536</v>
      </c>
      <c r="AJ39" s="433" t="s">
        <v>13536</v>
      </c>
      <c r="AK39" s="433" t="s">
        <v>13536</v>
      </c>
      <c r="AL39" s="433" t="s">
        <v>13536</v>
      </c>
      <c r="AM39" s="433" t="s">
        <v>13536</v>
      </c>
      <c r="AN39" s="433" t="s">
        <v>13536</v>
      </c>
      <c r="AO39" s="433" t="s">
        <v>13536</v>
      </c>
      <c r="AP39" s="433" t="s">
        <v>13536</v>
      </c>
    </row>
    <row r="40" spans="2:42">
      <c r="B40" s="430" t="s">
        <v>357</v>
      </c>
      <c r="C40" s="430" t="s">
        <v>13524</v>
      </c>
      <c r="D40" s="430" t="str">
        <f>TS_TTech!D103</f>
        <v>CH4SF</v>
      </c>
      <c r="E40" s="430" t="s">
        <v>13504</v>
      </c>
      <c r="F40" s="430" t="s">
        <v>334</v>
      </c>
      <c r="G40" s="430" t="s">
        <v>337</v>
      </c>
      <c r="H40" s="430" t="s">
        <v>334</v>
      </c>
      <c r="I40" s="503">
        <v>0</v>
      </c>
      <c r="J40" s="433">
        <v>1.4934527846330401</v>
      </c>
      <c r="K40" s="433" t="s">
        <v>13536</v>
      </c>
      <c r="L40" s="433" t="s">
        <v>13536</v>
      </c>
      <c r="M40" s="433" t="s">
        <v>13536</v>
      </c>
      <c r="N40" s="433">
        <v>1.1504593900762301</v>
      </c>
      <c r="O40" s="433" t="s">
        <v>13536</v>
      </c>
      <c r="P40" s="433" t="s">
        <v>13536</v>
      </c>
      <c r="Q40" s="433" t="s">
        <v>13536</v>
      </c>
      <c r="R40" s="433" t="s">
        <v>13536</v>
      </c>
      <c r="S40" s="433" t="s">
        <v>13536</v>
      </c>
      <c r="T40" s="433" t="s">
        <v>13536</v>
      </c>
      <c r="U40" s="433" t="s">
        <v>13536</v>
      </c>
      <c r="V40" s="433" t="s">
        <v>13536</v>
      </c>
      <c r="W40" s="433" t="s">
        <v>13536</v>
      </c>
      <c r="X40" s="433" t="s">
        <v>13536</v>
      </c>
      <c r="Y40" s="433" t="s">
        <v>13536</v>
      </c>
      <c r="Z40" s="433" t="s">
        <v>13536</v>
      </c>
      <c r="AA40" s="433" t="s">
        <v>13536</v>
      </c>
      <c r="AB40" s="433" t="s">
        <v>13536</v>
      </c>
      <c r="AC40" s="433" t="s">
        <v>13536</v>
      </c>
      <c r="AD40" s="433" t="s">
        <v>13536</v>
      </c>
      <c r="AE40" s="433" t="s">
        <v>13536</v>
      </c>
      <c r="AF40" s="433" t="s">
        <v>13536</v>
      </c>
      <c r="AG40" s="433" t="s">
        <v>13536</v>
      </c>
      <c r="AH40" s="433" t="s">
        <v>13536</v>
      </c>
      <c r="AI40" s="433" t="s">
        <v>13536</v>
      </c>
      <c r="AJ40" s="433" t="s">
        <v>13536</v>
      </c>
      <c r="AK40" s="433" t="s">
        <v>13536</v>
      </c>
      <c r="AL40" s="433" t="s">
        <v>13536</v>
      </c>
      <c r="AM40" s="433" t="s">
        <v>13536</v>
      </c>
      <c r="AN40" s="433" t="s">
        <v>13536</v>
      </c>
      <c r="AO40" s="433" t="s">
        <v>13536</v>
      </c>
      <c r="AP40" s="433" t="s">
        <v>13536</v>
      </c>
    </row>
    <row r="41" spans="2:42">
      <c r="B41" s="430" t="s">
        <v>357</v>
      </c>
      <c r="C41" s="430" t="s">
        <v>13524</v>
      </c>
      <c r="D41" s="430" t="str">
        <f>TS_TTech!D102</f>
        <v>CO2SF</v>
      </c>
      <c r="E41" s="430" t="s">
        <v>13504</v>
      </c>
      <c r="F41" s="430" t="s">
        <v>334</v>
      </c>
      <c r="G41" s="430" t="s">
        <v>337</v>
      </c>
      <c r="H41" s="430" t="s">
        <v>334</v>
      </c>
      <c r="I41" s="503">
        <v>0</v>
      </c>
      <c r="J41" s="433">
        <v>118.877396901678</v>
      </c>
      <c r="K41" s="433" t="s">
        <v>13536</v>
      </c>
      <c r="L41" s="433" t="s">
        <v>13536</v>
      </c>
      <c r="M41" s="433" t="s">
        <v>13536</v>
      </c>
      <c r="N41" s="433">
        <v>99.819270609555602</v>
      </c>
      <c r="O41" s="433" t="s">
        <v>13536</v>
      </c>
      <c r="P41" s="433" t="s">
        <v>13536</v>
      </c>
      <c r="Q41" s="433" t="s">
        <v>13536</v>
      </c>
      <c r="R41" s="433" t="s">
        <v>13536</v>
      </c>
      <c r="S41" s="433" t="s">
        <v>13536</v>
      </c>
      <c r="T41" s="433" t="s">
        <v>13536</v>
      </c>
      <c r="U41" s="433" t="s">
        <v>13536</v>
      </c>
      <c r="V41" s="433" t="s">
        <v>13536</v>
      </c>
      <c r="W41" s="433" t="s">
        <v>13536</v>
      </c>
      <c r="X41" s="433" t="s">
        <v>13536</v>
      </c>
      <c r="Y41" s="433" t="s">
        <v>13536</v>
      </c>
      <c r="Z41" s="433" t="s">
        <v>13536</v>
      </c>
      <c r="AA41" s="433" t="s">
        <v>13536</v>
      </c>
      <c r="AB41" s="433" t="s">
        <v>13536</v>
      </c>
      <c r="AC41" s="433" t="s">
        <v>13536</v>
      </c>
      <c r="AD41" s="433" t="s">
        <v>13536</v>
      </c>
      <c r="AE41" s="433" t="s">
        <v>13536</v>
      </c>
      <c r="AF41" s="433" t="s">
        <v>13536</v>
      </c>
      <c r="AG41" s="433" t="s">
        <v>13536</v>
      </c>
      <c r="AH41" s="433" t="s">
        <v>13536</v>
      </c>
      <c r="AI41" s="433" t="s">
        <v>13536</v>
      </c>
      <c r="AJ41" s="433" t="s">
        <v>13536</v>
      </c>
      <c r="AK41" s="433" t="s">
        <v>13536</v>
      </c>
      <c r="AL41" s="433" t="s">
        <v>13536</v>
      </c>
      <c r="AM41" s="433" t="s">
        <v>13536</v>
      </c>
      <c r="AN41" s="433" t="s">
        <v>13536</v>
      </c>
      <c r="AO41" s="433" t="s">
        <v>13536</v>
      </c>
      <c r="AP41" s="433" t="s">
        <v>13536</v>
      </c>
    </row>
    <row r="42" spans="2:42">
      <c r="B42" s="430" t="s">
        <v>855</v>
      </c>
      <c r="C42" s="430" t="s">
        <v>13524</v>
      </c>
      <c r="D42" s="430" t="s">
        <v>1805</v>
      </c>
      <c r="E42" s="430" t="s">
        <v>13504</v>
      </c>
      <c r="F42" s="430" t="s">
        <v>334</v>
      </c>
      <c r="G42" s="430" t="s">
        <v>337</v>
      </c>
      <c r="H42" s="430" t="s">
        <v>338</v>
      </c>
      <c r="I42" s="503">
        <v>3</v>
      </c>
      <c r="J42" s="433">
        <v>8.2900750167258105E-2</v>
      </c>
      <c r="K42" s="433" t="s">
        <v>13536</v>
      </c>
      <c r="L42" s="433" t="s">
        <v>13536</v>
      </c>
      <c r="M42" s="433" t="s">
        <v>13536</v>
      </c>
      <c r="N42" s="433" t="s">
        <v>13536</v>
      </c>
      <c r="O42" s="433" t="s">
        <v>13536</v>
      </c>
      <c r="P42" s="433" t="s">
        <v>13536</v>
      </c>
      <c r="Q42" s="433" t="s">
        <v>13536</v>
      </c>
      <c r="R42" s="433" t="s">
        <v>13536</v>
      </c>
      <c r="S42" s="433" t="s">
        <v>13536</v>
      </c>
      <c r="T42" s="433" t="s">
        <v>13536</v>
      </c>
      <c r="U42" s="433" t="s">
        <v>13536</v>
      </c>
      <c r="V42" s="433" t="s">
        <v>13536</v>
      </c>
      <c r="W42" s="433" t="s">
        <v>13536</v>
      </c>
      <c r="X42" s="433" t="s">
        <v>13536</v>
      </c>
      <c r="Y42" s="433" t="s">
        <v>13536</v>
      </c>
      <c r="Z42" s="433" t="s">
        <v>13536</v>
      </c>
      <c r="AA42" s="433" t="s">
        <v>13536</v>
      </c>
      <c r="AB42" s="433" t="s">
        <v>13536</v>
      </c>
      <c r="AC42" s="433" t="s">
        <v>13536</v>
      </c>
      <c r="AD42" s="433" t="s">
        <v>13536</v>
      </c>
      <c r="AE42" s="433" t="s">
        <v>13536</v>
      </c>
      <c r="AF42" s="433" t="s">
        <v>13536</v>
      </c>
      <c r="AG42" s="433" t="s">
        <v>13536</v>
      </c>
      <c r="AH42" s="433" t="s">
        <v>13536</v>
      </c>
      <c r="AI42" s="433" t="s">
        <v>13536</v>
      </c>
      <c r="AJ42" s="433" t="s">
        <v>13536</v>
      </c>
      <c r="AK42" s="433" t="s">
        <v>13536</v>
      </c>
      <c r="AL42" s="433" t="s">
        <v>13536</v>
      </c>
      <c r="AM42" s="433" t="s">
        <v>13536</v>
      </c>
      <c r="AN42" s="433" t="s">
        <v>13536</v>
      </c>
      <c r="AO42" s="433" t="s">
        <v>13536</v>
      </c>
      <c r="AP42" s="433" t="s">
        <v>13536</v>
      </c>
    </row>
    <row r="43" spans="2:42">
      <c r="B43" s="430" t="s">
        <v>855</v>
      </c>
      <c r="C43" s="430" t="s">
        <v>13524</v>
      </c>
      <c r="D43" s="430" t="s">
        <v>558</v>
      </c>
      <c r="E43" s="430" t="s">
        <v>13504</v>
      </c>
      <c r="F43" s="430" t="s">
        <v>334</v>
      </c>
      <c r="G43" s="430" t="s">
        <v>337</v>
      </c>
      <c r="H43" s="430" t="s">
        <v>338</v>
      </c>
      <c r="I43" s="503">
        <v>3</v>
      </c>
      <c r="J43" s="433">
        <v>4.0971508662274196E-3</v>
      </c>
      <c r="K43" s="433" t="s">
        <v>13536</v>
      </c>
      <c r="L43" s="433" t="s">
        <v>13536</v>
      </c>
      <c r="M43" s="433" t="s">
        <v>13536</v>
      </c>
      <c r="N43" s="433" t="s">
        <v>13536</v>
      </c>
      <c r="O43" s="433" t="s">
        <v>13536</v>
      </c>
      <c r="P43" s="433" t="s">
        <v>13536</v>
      </c>
      <c r="Q43" s="433" t="s">
        <v>13536</v>
      </c>
      <c r="R43" s="433" t="s">
        <v>13536</v>
      </c>
      <c r="S43" s="433" t="s">
        <v>13536</v>
      </c>
      <c r="T43" s="433" t="s">
        <v>13536</v>
      </c>
      <c r="U43" s="433" t="s">
        <v>13536</v>
      </c>
      <c r="V43" s="433" t="s">
        <v>13536</v>
      </c>
      <c r="W43" s="433" t="s">
        <v>13536</v>
      </c>
      <c r="X43" s="433" t="s">
        <v>13536</v>
      </c>
      <c r="Y43" s="433" t="s">
        <v>13536</v>
      </c>
      <c r="Z43" s="433" t="s">
        <v>13536</v>
      </c>
      <c r="AA43" s="433" t="s">
        <v>13536</v>
      </c>
      <c r="AB43" s="433" t="s">
        <v>13536</v>
      </c>
      <c r="AC43" s="433" t="s">
        <v>13536</v>
      </c>
      <c r="AD43" s="433" t="s">
        <v>13536</v>
      </c>
      <c r="AE43" s="433" t="s">
        <v>13536</v>
      </c>
      <c r="AF43" s="433" t="s">
        <v>13536</v>
      </c>
      <c r="AG43" s="433" t="s">
        <v>13536</v>
      </c>
      <c r="AH43" s="433" t="s">
        <v>13536</v>
      </c>
      <c r="AI43" s="433" t="s">
        <v>13536</v>
      </c>
      <c r="AJ43" s="433" t="s">
        <v>13536</v>
      </c>
      <c r="AK43" s="433" t="s">
        <v>13536</v>
      </c>
      <c r="AL43" s="433" t="s">
        <v>13536</v>
      </c>
      <c r="AM43" s="433" t="s">
        <v>13536</v>
      </c>
      <c r="AN43" s="433" t="s">
        <v>13536</v>
      </c>
      <c r="AO43" s="433" t="s">
        <v>13536</v>
      </c>
      <c r="AP43" s="433" t="s">
        <v>13536</v>
      </c>
    </row>
    <row r="44" spans="2:42">
      <c r="B44" s="430" t="s">
        <v>855</v>
      </c>
      <c r="C44" s="430" t="s">
        <v>13524</v>
      </c>
      <c r="D44" s="430" t="s">
        <v>555</v>
      </c>
      <c r="E44" s="430" t="s">
        <v>13504</v>
      </c>
      <c r="F44" s="430" t="s">
        <v>334</v>
      </c>
      <c r="G44" s="430" t="s">
        <v>337</v>
      </c>
      <c r="H44" s="430" t="s">
        <v>338</v>
      </c>
      <c r="I44" s="503">
        <v>3</v>
      </c>
      <c r="J44" s="433">
        <v>0.239220786294216</v>
      </c>
      <c r="K44" s="433" t="s">
        <v>13536</v>
      </c>
      <c r="L44" s="433" t="s">
        <v>13536</v>
      </c>
      <c r="M44" s="433" t="s">
        <v>13536</v>
      </c>
      <c r="N44" s="433" t="s">
        <v>13536</v>
      </c>
      <c r="O44" s="433" t="s">
        <v>13536</v>
      </c>
      <c r="P44" s="433" t="s">
        <v>13536</v>
      </c>
      <c r="Q44" s="433" t="s">
        <v>13536</v>
      </c>
      <c r="R44" s="433" t="s">
        <v>13536</v>
      </c>
      <c r="S44" s="433" t="s">
        <v>13536</v>
      </c>
      <c r="T44" s="433" t="s">
        <v>13536</v>
      </c>
      <c r="U44" s="433" t="s">
        <v>13536</v>
      </c>
      <c r="V44" s="433" t="s">
        <v>13536</v>
      </c>
      <c r="W44" s="433" t="s">
        <v>13536</v>
      </c>
      <c r="X44" s="433" t="s">
        <v>13536</v>
      </c>
      <c r="Y44" s="433" t="s">
        <v>13536</v>
      </c>
      <c r="Z44" s="433" t="s">
        <v>13536</v>
      </c>
      <c r="AA44" s="433" t="s">
        <v>13536</v>
      </c>
      <c r="AB44" s="433" t="s">
        <v>13536</v>
      </c>
      <c r="AC44" s="433" t="s">
        <v>13536</v>
      </c>
      <c r="AD44" s="433" t="s">
        <v>13536</v>
      </c>
      <c r="AE44" s="433" t="s">
        <v>13536</v>
      </c>
      <c r="AF44" s="433" t="s">
        <v>13536</v>
      </c>
      <c r="AG44" s="433" t="s">
        <v>13536</v>
      </c>
      <c r="AH44" s="433" t="s">
        <v>13536</v>
      </c>
      <c r="AI44" s="433" t="s">
        <v>13536</v>
      </c>
      <c r="AJ44" s="433" t="s">
        <v>13536</v>
      </c>
      <c r="AK44" s="433" t="s">
        <v>13536</v>
      </c>
      <c r="AL44" s="433" t="s">
        <v>13536</v>
      </c>
      <c r="AM44" s="433" t="s">
        <v>13536</v>
      </c>
      <c r="AN44" s="433" t="s">
        <v>13536</v>
      </c>
      <c r="AO44" s="433" t="s">
        <v>13536</v>
      </c>
      <c r="AP44" s="433" t="s">
        <v>13536</v>
      </c>
    </row>
    <row r="45" spans="2:42">
      <c r="B45" s="430" t="s">
        <v>855</v>
      </c>
      <c r="C45" s="430" t="s">
        <v>13524</v>
      </c>
      <c r="D45" s="430" t="s">
        <v>547</v>
      </c>
      <c r="E45" s="430" t="s">
        <v>13504</v>
      </c>
      <c r="F45" s="430" t="s">
        <v>334</v>
      </c>
      <c r="G45" s="430" t="s">
        <v>337</v>
      </c>
      <c r="H45" s="430" t="s">
        <v>338</v>
      </c>
      <c r="I45" s="503">
        <v>3</v>
      </c>
      <c r="J45" s="433">
        <v>0.54315444012859304</v>
      </c>
      <c r="K45" s="433" t="s">
        <v>13536</v>
      </c>
      <c r="L45" s="433" t="s">
        <v>13536</v>
      </c>
      <c r="M45" s="433" t="s">
        <v>13536</v>
      </c>
      <c r="N45" s="433" t="s">
        <v>13536</v>
      </c>
      <c r="O45" s="433" t="s">
        <v>13536</v>
      </c>
      <c r="P45" s="433" t="s">
        <v>13536</v>
      </c>
      <c r="Q45" s="433" t="s">
        <v>13536</v>
      </c>
      <c r="R45" s="433" t="s">
        <v>13536</v>
      </c>
      <c r="S45" s="433" t="s">
        <v>13536</v>
      </c>
      <c r="T45" s="433" t="s">
        <v>13536</v>
      </c>
      <c r="U45" s="433" t="s">
        <v>13536</v>
      </c>
      <c r="V45" s="433" t="s">
        <v>13536</v>
      </c>
      <c r="W45" s="433" t="s">
        <v>13536</v>
      </c>
      <c r="X45" s="433" t="s">
        <v>13536</v>
      </c>
      <c r="Y45" s="433" t="s">
        <v>13536</v>
      </c>
      <c r="Z45" s="433" t="s">
        <v>13536</v>
      </c>
      <c r="AA45" s="433" t="s">
        <v>13536</v>
      </c>
      <c r="AB45" s="433" t="s">
        <v>13536</v>
      </c>
      <c r="AC45" s="433" t="s">
        <v>13536</v>
      </c>
      <c r="AD45" s="433" t="s">
        <v>13536</v>
      </c>
      <c r="AE45" s="433" t="s">
        <v>13536</v>
      </c>
      <c r="AF45" s="433" t="s">
        <v>13536</v>
      </c>
      <c r="AG45" s="433" t="s">
        <v>13536</v>
      </c>
      <c r="AH45" s="433" t="s">
        <v>13536</v>
      </c>
      <c r="AI45" s="433" t="s">
        <v>13536</v>
      </c>
      <c r="AJ45" s="433" t="s">
        <v>13536</v>
      </c>
      <c r="AK45" s="433" t="s">
        <v>13536</v>
      </c>
      <c r="AL45" s="433" t="s">
        <v>13536</v>
      </c>
      <c r="AM45" s="433" t="s">
        <v>13536</v>
      </c>
      <c r="AN45" s="433" t="s">
        <v>13536</v>
      </c>
      <c r="AO45" s="433" t="s">
        <v>13536</v>
      </c>
      <c r="AP45" s="433" t="s">
        <v>13536</v>
      </c>
    </row>
    <row r="46" spans="2:42">
      <c r="B46" s="430" t="s">
        <v>855</v>
      </c>
      <c r="C46" s="430" t="s">
        <v>13524</v>
      </c>
      <c r="D46" s="430" t="s">
        <v>592</v>
      </c>
      <c r="E46" s="430" t="s">
        <v>13504</v>
      </c>
      <c r="F46" s="430" t="s">
        <v>334</v>
      </c>
      <c r="G46" s="430" t="s">
        <v>337</v>
      </c>
      <c r="H46" s="430" t="s">
        <v>338</v>
      </c>
      <c r="I46" s="503">
        <v>3</v>
      </c>
      <c r="J46" s="433">
        <v>4.3565190138916202E-2</v>
      </c>
      <c r="K46" s="433" t="s">
        <v>13536</v>
      </c>
      <c r="L46" s="433" t="s">
        <v>13536</v>
      </c>
      <c r="M46" s="433" t="s">
        <v>13536</v>
      </c>
      <c r="N46" s="433" t="s">
        <v>13536</v>
      </c>
      <c r="O46" s="433" t="s">
        <v>13536</v>
      </c>
      <c r="P46" s="433" t="s">
        <v>13536</v>
      </c>
      <c r="Q46" s="433" t="s">
        <v>13536</v>
      </c>
      <c r="R46" s="433" t="s">
        <v>13536</v>
      </c>
      <c r="S46" s="433" t="s">
        <v>13536</v>
      </c>
      <c r="T46" s="433" t="s">
        <v>13536</v>
      </c>
      <c r="U46" s="433" t="s">
        <v>13536</v>
      </c>
      <c r="V46" s="433" t="s">
        <v>13536</v>
      </c>
      <c r="W46" s="433" t="s">
        <v>13536</v>
      </c>
      <c r="X46" s="433" t="s">
        <v>13536</v>
      </c>
      <c r="Y46" s="433" t="s">
        <v>13536</v>
      </c>
      <c r="Z46" s="433" t="s">
        <v>13536</v>
      </c>
      <c r="AA46" s="433" t="s">
        <v>13536</v>
      </c>
      <c r="AB46" s="433" t="s">
        <v>13536</v>
      </c>
      <c r="AC46" s="433" t="s">
        <v>13536</v>
      </c>
      <c r="AD46" s="433" t="s">
        <v>13536</v>
      </c>
      <c r="AE46" s="433" t="s">
        <v>13536</v>
      </c>
      <c r="AF46" s="433" t="s">
        <v>13536</v>
      </c>
      <c r="AG46" s="433" t="s">
        <v>13536</v>
      </c>
      <c r="AH46" s="433" t="s">
        <v>13536</v>
      </c>
      <c r="AI46" s="433" t="s">
        <v>13536</v>
      </c>
      <c r="AJ46" s="433" t="s">
        <v>13536</v>
      </c>
      <c r="AK46" s="433" t="s">
        <v>13536</v>
      </c>
      <c r="AL46" s="433" t="s">
        <v>13536</v>
      </c>
      <c r="AM46" s="433" t="s">
        <v>13536</v>
      </c>
      <c r="AN46" s="433" t="s">
        <v>13536</v>
      </c>
      <c r="AO46" s="433" t="s">
        <v>13536</v>
      </c>
      <c r="AP46" s="433" t="s">
        <v>13536</v>
      </c>
    </row>
    <row r="47" spans="2:42">
      <c r="B47" s="430" t="s">
        <v>855</v>
      </c>
      <c r="C47" s="430" t="s">
        <v>13524</v>
      </c>
      <c r="D47" s="430" t="s">
        <v>551</v>
      </c>
      <c r="E47" s="430" t="s">
        <v>13504</v>
      </c>
      <c r="F47" s="430" t="s">
        <v>334</v>
      </c>
      <c r="G47" s="430" t="s">
        <v>337</v>
      </c>
      <c r="H47" s="430" t="s">
        <v>338</v>
      </c>
      <c r="I47" s="503">
        <v>3</v>
      </c>
      <c r="J47" s="433">
        <v>1.38214216216408E-2</v>
      </c>
      <c r="K47" s="433" t="s">
        <v>13536</v>
      </c>
      <c r="L47" s="433" t="s">
        <v>13536</v>
      </c>
      <c r="M47" s="433" t="s">
        <v>13536</v>
      </c>
      <c r="N47" s="433" t="s">
        <v>13536</v>
      </c>
      <c r="O47" s="433" t="s">
        <v>13536</v>
      </c>
      <c r="P47" s="433" t="s">
        <v>13536</v>
      </c>
      <c r="Q47" s="433" t="s">
        <v>13536</v>
      </c>
      <c r="R47" s="433" t="s">
        <v>13536</v>
      </c>
      <c r="S47" s="433" t="s">
        <v>13536</v>
      </c>
      <c r="T47" s="433" t="s">
        <v>13536</v>
      </c>
      <c r="U47" s="433" t="s">
        <v>13536</v>
      </c>
      <c r="V47" s="433" t="s">
        <v>13536</v>
      </c>
      <c r="W47" s="433" t="s">
        <v>13536</v>
      </c>
      <c r="X47" s="433" t="s">
        <v>13536</v>
      </c>
      <c r="Y47" s="433" t="s">
        <v>13536</v>
      </c>
      <c r="Z47" s="433" t="s">
        <v>13536</v>
      </c>
      <c r="AA47" s="433" t="s">
        <v>13536</v>
      </c>
      <c r="AB47" s="433" t="s">
        <v>13536</v>
      </c>
      <c r="AC47" s="433" t="s">
        <v>13536</v>
      </c>
      <c r="AD47" s="433" t="s">
        <v>13536</v>
      </c>
      <c r="AE47" s="433" t="s">
        <v>13536</v>
      </c>
      <c r="AF47" s="433" t="s">
        <v>13536</v>
      </c>
      <c r="AG47" s="433" t="s">
        <v>13536</v>
      </c>
      <c r="AH47" s="433" t="s">
        <v>13536</v>
      </c>
      <c r="AI47" s="433" t="s">
        <v>13536</v>
      </c>
      <c r="AJ47" s="433" t="s">
        <v>13536</v>
      </c>
      <c r="AK47" s="433" t="s">
        <v>13536</v>
      </c>
      <c r="AL47" s="433" t="s">
        <v>13536</v>
      </c>
      <c r="AM47" s="433" t="s">
        <v>13536</v>
      </c>
      <c r="AN47" s="433" t="s">
        <v>13536</v>
      </c>
      <c r="AO47" s="433" t="s">
        <v>13536</v>
      </c>
      <c r="AP47" s="433" t="s">
        <v>13536</v>
      </c>
    </row>
    <row r="48" spans="2:42">
      <c r="B48" s="430" t="s">
        <v>855</v>
      </c>
      <c r="C48" s="430" t="s">
        <v>13524</v>
      </c>
      <c r="D48" s="430" t="s">
        <v>594</v>
      </c>
      <c r="E48" s="430" t="s">
        <v>13504</v>
      </c>
      <c r="F48" s="430" t="s">
        <v>334</v>
      </c>
      <c r="G48" s="430" t="s">
        <v>337</v>
      </c>
      <c r="H48" s="430" t="s">
        <v>338</v>
      </c>
      <c r="I48" s="503">
        <v>3</v>
      </c>
      <c r="J48" s="433">
        <v>7.3240260783149005E-2</v>
      </c>
      <c r="K48" s="433" t="s">
        <v>13536</v>
      </c>
      <c r="L48" s="433" t="s">
        <v>13536</v>
      </c>
      <c r="M48" s="433" t="s">
        <v>13536</v>
      </c>
      <c r="N48" s="433" t="s">
        <v>13536</v>
      </c>
      <c r="O48" s="433" t="s">
        <v>13536</v>
      </c>
      <c r="P48" s="433" t="s">
        <v>13536</v>
      </c>
      <c r="Q48" s="433" t="s">
        <v>13536</v>
      </c>
      <c r="R48" s="433" t="s">
        <v>13536</v>
      </c>
      <c r="S48" s="433" t="s">
        <v>13536</v>
      </c>
      <c r="T48" s="433" t="s">
        <v>13536</v>
      </c>
      <c r="U48" s="433" t="s">
        <v>13536</v>
      </c>
      <c r="V48" s="433" t="s">
        <v>13536</v>
      </c>
      <c r="W48" s="433" t="s">
        <v>13536</v>
      </c>
      <c r="X48" s="433" t="s">
        <v>13536</v>
      </c>
      <c r="Y48" s="433" t="s">
        <v>13536</v>
      </c>
      <c r="Z48" s="433" t="s">
        <v>13536</v>
      </c>
      <c r="AA48" s="433" t="s">
        <v>13536</v>
      </c>
      <c r="AB48" s="433" t="s">
        <v>13536</v>
      </c>
      <c r="AC48" s="433" t="s">
        <v>13536</v>
      </c>
      <c r="AD48" s="433" t="s">
        <v>13536</v>
      </c>
      <c r="AE48" s="433" t="s">
        <v>13536</v>
      </c>
      <c r="AF48" s="433" t="s">
        <v>13536</v>
      </c>
      <c r="AG48" s="433" t="s">
        <v>13536</v>
      </c>
      <c r="AH48" s="433" t="s">
        <v>13536</v>
      </c>
      <c r="AI48" s="433" t="s">
        <v>13536</v>
      </c>
      <c r="AJ48" s="433" t="s">
        <v>13536</v>
      </c>
      <c r="AK48" s="433" t="s">
        <v>13536</v>
      </c>
      <c r="AL48" s="433" t="s">
        <v>13536</v>
      </c>
      <c r="AM48" s="433" t="s">
        <v>13536</v>
      </c>
      <c r="AN48" s="433" t="s">
        <v>13536</v>
      </c>
      <c r="AO48" s="433" t="s">
        <v>13536</v>
      </c>
      <c r="AP48" s="433" t="s">
        <v>13536</v>
      </c>
    </row>
    <row r="49" spans="2:42" s="387" customFormat="1">
      <c r="B49" s="387" t="s">
        <v>13541</v>
      </c>
      <c r="C49" s="387" t="s">
        <v>13524</v>
      </c>
      <c r="D49" s="387" t="s">
        <v>334</v>
      </c>
      <c r="E49" s="387" t="s">
        <v>13544</v>
      </c>
      <c r="F49" s="387" t="s">
        <v>334</v>
      </c>
      <c r="G49" s="387" t="s">
        <v>334</v>
      </c>
      <c r="H49" s="387" t="s">
        <v>334</v>
      </c>
      <c r="I49" s="1359">
        <v>0</v>
      </c>
      <c r="J49" s="985">
        <v>3.5000000000000003E-2</v>
      </c>
      <c r="K49" s="985" t="s">
        <v>13536</v>
      </c>
      <c r="L49" s="985" t="s">
        <v>13536</v>
      </c>
      <c r="M49" s="985" t="s">
        <v>13536</v>
      </c>
      <c r="N49" s="985" t="s">
        <v>13536</v>
      </c>
      <c r="O49" s="985" t="s">
        <v>13536</v>
      </c>
      <c r="P49" s="985" t="s">
        <v>13536</v>
      </c>
      <c r="Q49" s="985" t="s">
        <v>13536</v>
      </c>
      <c r="R49" s="985" t="s">
        <v>13536</v>
      </c>
      <c r="S49" s="985" t="s">
        <v>13536</v>
      </c>
      <c r="T49" s="985" t="s">
        <v>13536</v>
      </c>
      <c r="U49" s="985" t="s">
        <v>13536</v>
      </c>
      <c r="V49" s="985" t="s">
        <v>13536</v>
      </c>
      <c r="W49" s="985" t="s">
        <v>13536</v>
      </c>
      <c r="X49" s="985" t="s">
        <v>13536</v>
      </c>
      <c r="Y49" s="985" t="s">
        <v>13536</v>
      </c>
      <c r="Z49" s="985" t="s">
        <v>13536</v>
      </c>
      <c r="AA49" s="985" t="s">
        <v>13536</v>
      </c>
      <c r="AB49" s="985" t="s">
        <v>13536</v>
      </c>
      <c r="AC49" s="985" t="s">
        <v>13536</v>
      </c>
      <c r="AD49" s="985" t="s">
        <v>13536</v>
      </c>
      <c r="AE49" s="985" t="s">
        <v>13536</v>
      </c>
      <c r="AF49" s="985" t="s">
        <v>13536</v>
      </c>
      <c r="AG49" s="985" t="s">
        <v>13536</v>
      </c>
      <c r="AH49" s="985" t="s">
        <v>13536</v>
      </c>
      <c r="AI49" s="985" t="s">
        <v>13536</v>
      </c>
      <c r="AJ49" s="985" t="s">
        <v>13536</v>
      </c>
      <c r="AK49" s="985" t="s">
        <v>13536</v>
      </c>
      <c r="AL49" s="985" t="s">
        <v>13536</v>
      </c>
      <c r="AM49" s="985" t="s">
        <v>13536</v>
      </c>
      <c r="AN49" s="985" t="s">
        <v>13536</v>
      </c>
      <c r="AO49" s="985" t="s">
        <v>13536</v>
      </c>
      <c r="AP49" s="985" t="s">
        <v>13536</v>
      </c>
    </row>
    <row r="50" spans="2:42">
      <c r="B50" s="430" t="s">
        <v>332</v>
      </c>
      <c r="C50" s="430" t="s">
        <v>13522</v>
      </c>
      <c r="D50" s="430" t="s">
        <v>334</v>
      </c>
      <c r="E50" s="430" t="s">
        <v>334</v>
      </c>
      <c r="F50" s="430" t="s">
        <v>334</v>
      </c>
      <c r="G50" s="430" t="s">
        <v>334</v>
      </c>
      <c r="H50" s="430" t="s">
        <v>334</v>
      </c>
      <c r="I50" s="503">
        <v>0</v>
      </c>
      <c r="J50" s="433">
        <v>26.620616731773399</v>
      </c>
      <c r="K50" s="433" t="s">
        <v>13536</v>
      </c>
      <c r="L50" s="433" t="s">
        <v>13536</v>
      </c>
      <c r="M50" s="433" t="s">
        <v>13536</v>
      </c>
      <c r="N50" s="433" t="s">
        <v>13536</v>
      </c>
      <c r="O50" s="433" t="s">
        <v>13536</v>
      </c>
      <c r="P50" s="433" t="s">
        <v>13536</v>
      </c>
      <c r="Q50" s="433" t="s">
        <v>13536</v>
      </c>
      <c r="R50" s="433" t="s">
        <v>13536</v>
      </c>
      <c r="S50" s="433" t="s">
        <v>13536</v>
      </c>
      <c r="T50" s="433" t="s">
        <v>13536</v>
      </c>
      <c r="U50" s="433" t="s">
        <v>13536</v>
      </c>
      <c r="V50" s="433" t="s">
        <v>13536</v>
      </c>
      <c r="W50" s="433" t="s">
        <v>13536</v>
      </c>
      <c r="X50" s="433" t="s">
        <v>13536</v>
      </c>
      <c r="Y50" s="433" t="s">
        <v>13536</v>
      </c>
      <c r="Z50" s="433" t="s">
        <v>13536</v>
      </c>
      <c r="AA50" s="433" t="s">
        <v>13536</v>
      </c>
      <c r="AB50" s="433" t="s">
        <v>13536</v>
      </c>
      <c r="AC50" s="433" t="s">
        <v>13536</v>
      </c>
      <c r="AD50" s="433" t="s">
        <v>13536</v>
      </c>
      <c r="AE50" s="433" t="s">
        <v>13536</v>
      </c>
      <c r="AF50" s="433" t="s">
        <v>13536</v>
      </c>
      <c r="AG50" s="433" t="s">
        <v>13536</v>
      </c>
      <c r="AH50" s="433" t="s">
        <v>13536</v>
      </c>
      <c r="AI50" s="433" t="s">
        <v>13536</v>
      </c>
      <c r="AJ50" s="433" t="s">
        <v>13536</v>
      </c>
      <c r="AK50" s="433" t="s">
        <v>13536</v>
      </c>
      <c r="AL50" s="433" t="s">
        <v>13536</v>
      </c>
      <c r="AM50" s="433" t="s">
        <v>13536</v>
      </c>
      <c r="AN50" s="433" t="s">
        <v>13536</v>
      </c>
      <c r="AO50" s="433" t="s">
        <v>13536</v>
      </c>
      <c r="AP50" s="433" t="s">
        <v>13536</v>
      </c>
    </row>
    <row r="51" spans="2:42">
      <c r="B51" s="430" t="s">
        <v>602</v>
      </c>
      <c r="C51" s="430" t="s">
        <v>13522</v>
      </c>
      <c r="D51" s="430" t="s">
        <v>334</v>
      </c>
      <c r="E51" s="430" t="s">
        <v>334</v>
      </c>
      <c r="F51" s="430" t="s">
        <v>334</v>
      </c>
      <c r="G51" s="430" t="s">
        <v>334</v>
      </c>
      <c r="H51" s="430" t="s">
        <v>338</v>
      </c>
      <c r="I51" s="503">
        <v>0</v>
      </c>
      <c r="J51" s="433">
        <v>0.96</v>
      </c>
      <c r="K51" s="433" t="s">
        <v>13536</v>
      </c>
      <c r="L51" s="433" t="s">
        <v>13536</v>
      </c>
      <c r="M51" s="433" t="s">
        <v>13536</v>
      </c>
      <c r="N51" s="433" t="s">
        <v>13536</v>
      </c>
      <c r="O51" s="433" t="s">
        <v>13536</v>
      </c>
      <c r="P51" s="433" t="s">
        <v>13536</v>
      </c>
      <c r="Q51" s="433" t="s">
        <v>13536</v>
      </c>
      <c r="R51" s="433" t="s">
        <v>13536</v>
      </c>
      <c r="S51" s="433" t="s">
        <v>13536</v>
      </c>
      <c r="T51" s="433" t="s">
        <v>13536</v>
      </c>
      <c r="U51" s="433" t="s">
        <v>13536</v>
      </c>
      <c r="V51" s="433" t="s">
        <v>13536</v>
      </c>
      <c r="W51" s="433" t="s">
        <v>13536</v>
      </c>
      <c r="X51" s="433" t="s">
        <v>13536</v>
      </c>
      <c r="Y51" s="433" t="s">
        <v>13536</v>
      </c>
      <c r="Z51" s="433" t="s">
        <v>13536</v>
      </c>
      <c r="AA51" s="433" t="s">
        <v>13536</v>
      </c>
      <c r="AB51" s="433" t="s">
        <v>13536</v>
      </c>
      <c r="AC51" s="433" t="s">
        <v>13536</v>
      </c>
      <c r="AD51" s="433" t="s">
        <v>13536</v>
      </c>
      <c r="AE51" s="433" t="s">
        <v>13536</v>
      </c>
      <c r="AF51" s="433" t="s">
        <v>13536</v>
      </c>
      <c r="AG51" s="433" t="s">
        <v>13536</v>
      </c>
      <c r="AH51" s="433" t="s">
        <v>13536</v>
      </c>
      <c r="AI51" s="433" t="s">
        <v>13536</v>
      </c>
      <c r="AJ51" s="433" t="s">
        <v>13536</v>
      </c>
      <c r="AK51" s="433" t="s">
        <v>13536</v>
      </c>
      <c r="AL51" s="433" t="s">
        <v>13536</v>
      </c>
      <c r="AM51" s="433" t="s">
        <v>13536</v>
      </c>
      <c r="AN51" s="433" t="s">
        <v>13536</v>
      </c>
      <c r="AO51" s="433" t="s">
        <v>13536</v>
      </c>
      <c r="AP51" s="433" t="s">
        <v>13536</v>
      </c>
    </row>
    <row r="52" spans="2:42">
      <c r="B52" s="430" t="s">
        <v>850</v>
      </c>
      <c r="C52" s="430" t="s">
        <v>13522</v>
      </c>
      <c r="D52" s="430" t="s">
        <v>334</v>
      </c>
      <c r="E52" s="430" t="s">
        <v>334</v>
      </c>
      <c r="F52" s="430" t="s">
        <v>334</v>
      </c>
      <c r="G52" s="430" t="s">
        <v>334</v>
      </c>
      <c r="H52" s="430" t="s">
        <v>338</v>
      </c>
      <c r="I52" s="503">
        <v>3</v>
      </c>
      <c r="J52" s="433">
        <v>246.27843084018701</v>
      </c>
      <c r="K52" s="433" t="s">
        <v>13536</v>
      </c>
      <c r="L52" s="433" t="s">
        <v>13536</v>
      </c>
      <c r="M52" s="433" t="s">
        <v>13536</v>
      </c>
      <c r="N52" s="433" t="s">
        <v>13536</v>
      </c>
      <c r="O52" s="433" t="s">
        <v>13536</v>
      </c>
      <c r="P52" s="433" t="s">
        <v>13536</v>
      </c>
      <c r="Q52" s="433" t="s">
        <v>13536</v>
      </c>
      <c r="R52" s="433" t="s">
        <v>13536</v>
      </c>
      <c r="S52" s="433" t="s">
        <v>13536</v>
      </c>
      <c r="T52" s="433" t="s">
        <v>13536</v>
      </c>
      <c r="U52" s="433" t="s">
        <v>13536</v>
      </c>
      <c r="V52" s="433" t="s">
        <v>13536</v>
      </c>
      <c r="W52" s="433" t="s">
        <v>13536</v>
      </c>
      <c r="X52" s="433" t="s">
        <v>13536</v>
      </c>
      <c r="Y52" s="433" t="s">
        <v>13536</v>
      </c>
      <c r="Z52" s="433" t="s">
        <v>13536</v>
      </c>
      <c r="AA52" s="433" t="s">
        <v>13536</v>
      </c>
      <c r="AB52" s="433" t="s">
        <v>13536</v>
      </c>
      <c r="AC52" s="433" t="s">
        <v>13536</v>
      </c>
      <c r="AD52" s="433" t="s">
        <v>13536</v>
      </c>
      <c r="AE52" s="433" t="s">
        <v>13536</v>
      </c>
      <c r="AF52" s="433" t="s">
        <v>13536</v>
      </c>
      <c r="AG52" s="433" t="s">
        <v>13536</v>
      </c>
      <c r="AH52" s="433" t="s">
        <v>13536</v>
      </c>
      <c r="AI52" s="433" t="s">
        <v>13536</v>
      </c>
      <c r="AJ52" s="433" t="s">
        <v>13536</v>
      </c>
      <c r="AK52" s="433" t="s">
        <v>13536</v>
      </c>
      <c r="AL52" s="433" t="s">
        <v>13536</v>
      </c>
      <c r="AM52" s="433" t="s">
        <v>13536</v>
      </c>
      <c r="AN52" s="433" t="s">
        <v>13536</v>
      </c>
      <c r="AO52" s="433" t="s">
        <v>13536</v>
      </c>
      <c r="AP52" s="433" t="s">
        <v>13536</v>
      </c>
    </row>
    <row r="53" spans="2:42">
      <c r="B53" s="430" t="s">
        <v>839</v>
      </c>
      <c r="C53" s="430" t="s">
        <v>13522</v>
      </c>
      <c r="D53" s="430" t="s">
        <v>334</v>
      </c>
      <c r="E53" s="430" t="s">
        <v>334</v>
      </c>
      <c r="F53" s="430" t="s">
        <v>334</v>
      </c>
      <c r="G53" s="430" t="s">
        <v>334</v>
      </c>
      <c r="H53" s="430" t="s">
        <v>334</v>
      </c>
      <c r="I53" s="503">
        <v>0</v>
      </c>
      <c r="J53" s="433">
        <v>447.68</v>
      </c>
      <c r="K53" s="433" t="s">
        <v>13536</v>
      </c>
      <c r="L53" s="433" t="s">
        <v>13536</v>
      </c>
      <c r="M53" s="433" t="s">
        <v>13536</v>
      </c>
      <c r="N53" s="433" t="s">
        <v>13536</v>
      </c>
      <c r="O53" s="433" t="s">
        <v>13536</v>
      </c>
      <c r="P53" s="433" t="s">
        <v>13536</v>
      </c>
      <c r="Q53" s="433" t="s">
        <v>13536</v>
      </c>
      <c r="R53" s="433" t="s">
        <v>13536</v>
      </c>
      <c r="S53" s="433" t="s">
        <v>13536</v>
      </c>
      <c r="T53" s="433" t="s">
        <v>13536</v>
      </c>
      <c r="U53" s="433" t="s">
        <v>13536</v>
      </c>
      <c r="V53" s="433" t="s">
        <v>13536</v>
      </c>
      <c r="W53" s="433" t="s">
        <v>13536</v>
      </c>
      <c r="X53" s="433" t="s">
        <v>13536</v>
      </c>
      <c r="Y53" s="433" t="s">
        <v>13536</v>
      </c>
      <c r="Z53" s="433" t="s">
        <v>13536</v>
      </c>
      <c r="AA53" s="433" t="s">
        <v>13536</v>
      </c>
      <c r="AB53" s="433" t="s">
        <v>13536</v>
      </c>
      <c r="AC53" s="433" t="s">
        <v>13536</v>
      </c>
      <c r="AD53" s="433" t="s">
        <v>13536</v>
      </c>
      <c r="AE53" s="433" t="s">
        <v>13536</v>
      </c>
      <c r="AF53" s="433" t="s">
        <v>13536</v>
      </c>
      <c r="AG53" s="433" t="s">
        <v>13536</v>
      </c>
      <c r="AH53" s="433" t="s">
        <v>13536</v>
      </c>
      <c r="AI53" s="433" t="s">
        <v>13536</v>
      </c>
      <c r="AJ53" s="433" t="s">
        <v>13536</v>
      </c>
      <c r="AK53" s="433" t="s">
        <v>13536</v>
      </c>
      <c r="AL53" s="433" t="s">
        <v>13536</v>
      </c>
      <c r="AM53" s="433" t="s">
        <v>13536</v>
      </c>
      <c r="AN53" s="433" t="s">
        <v>13536</v>
      </c>
      <c r="AO53" s="433" t="s">
        <v>13536</v>
      </c>
      <c r="AP53" s="433" t="s">
        <v>13536</v>
      </c>
    </row>
    <row r="54" spans="2:42">
      <c r="B54" s="430" t="s">
        <v>849</v>
      </c>
      <c r="C54" s="430" t="s">
        <v>13522</v>
      </c>
      <c r="D54" s="430" t="s">
        <v>334</v>
      </c>
      <c r="E54" s="430" t="s">
        <v>334</v>
      </c>
      <c r="F54" s="430" t="s">
        <v>334</v>
      </c>
      <c r="G54" s="430" t="s">
        <v>334</v>
      </c>
      <c r="H54" s="430" t="s">
        <v>334</v>
      </c>
      <c r="I54" s="503">
        <v>0</v>
      </c>
      <c r="J54" s="433">
        <v>0.20899999999999999</v>
      </c>
      <c r="K54" s="433" t="s">
        <v>13536</v>
      </c>
      <c r="L54" s="433" t="s">
        <v>13536</v>
      </c>
      <c r="M54" s="433" t="s">
        <v>13536</v>
      </c>
      <c r="N54" s="433" t="s">
        <v>13536</v>
      </c>
      <c r="O54" s="433" t="s">
        <v>13536</v>
      </c>
      <c r="P54" s="433" t="s">
        <v>13536</v>
      </c>
      <c r="Q54" s="433" t="s">
        <v>13536</v>
      </c>
      <c r="R54" s="433" t="s">
        <v>13536</v>
      </c>
      <c r="S54" s="433" t="s">
        <v>13536</v>
      </c>
      <c r="T54" s="433" t="s">
        <v>13536</v>
      </c>
      <c r="U54" s="433" t="s">
        <v>13536</v>
      </c>
      <c r="V54" s="433" t="s">
        <v>13536</v>
      </c>
      <c r="W54" s="433" t="s">
        <v>13536</v>
      </c>
      <c r="X54" s="433" t="s">
        <v>13536</v>
      </c>
      <c r="Y54" s="433" t="s">
        <v>13536</v>
      </c>
      <c r="Z54" s="433" t="s">
        <v>13536</v>
      </c>
      <c r="AA54" s="433" t="s">
        <v>13536</v>
      </c>
      <c r="AB54" s="433" t="s">
        <v>13536</v>
      </c>
      <c r="AC54" s="433" t="s">
        <v>13536</v>
      </c>
      <c r="AD54" s="433" t="s">
        <v>13536</v>
      </c>
      <c r="AE54" s="433" t="s">
        <v>13536</v>
      </c>
      <c r="AF54" s="433" t="s">
        <v>13536</v>
      </c>
      <c r="AG54" s="433" t="s">
        <v>13536</v>
      </c>
      <c r="AH54" s="433" t="s">
        <v>13536</v>
      </c>
      <c r="AI54" s="433" t="s">
        <v>13536</v>
      </c>
      <c r="AJ54" s="433" t="s">
        <v>13536</v>
      </c>
      <c r="AK54" s="433" t="s">
        <v>13536</v>
      </c>
      <c r="AL54" s="433" t="s">
        <v>13536</v>
      </c>
      <c r="AM54" s="433" t="s">
        <v>13536</v>
      </c>
      <c r="AN54" s="433" t="s">
        <v>13536</v>
      </c>
      <c r="AO54" s="433" t="s">
        <v>13536</v>
      </c>
      <c r="AP54" s="433" t="s">
        <v>13536</v>
      </c>
    </row>
    <row r="55" spans="2:42">
      <c r="B55" s="430" t="s">
        <v>1136</v>
      </c>
      <c r="C55" s="430" t="s">
        <v>13522</v>
      </c>
      <c r="D55" s="430" t="s">
        <v>334</v>
      </c>
      <c r="E55" s="430" t="s">
        <v>334</v>
      </c>
      <c r="F55" s="430" t="s">
        <v>334</v>
      </c>
      <c r="G55" s="430" t="s">
        <v>334</v>
      </c>
      <c r="H55" s="430" t="s">
        <v>334</v>
      </c>
      <c r="I55" s="503">
        <v>0</v>
      </c>
      <c r="J55" s="433">
        <v>-6</v>
      </c>
      <c r="K55" s="433" t="s">
        <v>13536</v>
      </c>
      <c r="L55" s="433" t="s">
        <v>13536</v>
      </c>
      <c r="M55" s="433" t="s">
        <v>13536</v>
      </c>
      <c r="N55" s="433" t="s">
        <v>13536</v>
      </c>
      <c r="O55" s="433" t="s">
        <v>13536</v>
      </c>
      <c r="P55" s="433" t="s">
        <v>13536</v>
      </c>
      <c r="Q55" s="433" t="s">
        <v>13536</v>
      </c>
      <c r="R55" s="433" t="s">
        <v>13536</v>
      </c>
      <c r="S55" s="433" t="s">
        <v>13536</v>
      </c>
      <c r="T55" s="433" t="s">
        <v>13536</v>
      </c>
      <c r="U55" s="433" t="s">
        <v>13536</v>
      </c>
      <c r="V55" s="433" t="s">
        <v>13536</v>
      </c>
      <c r="W55" s="433" t="s">
        <v>13536</v>
      </c>
      <c r="X55" s="433" t="s">
        <v>13536</v>
      </c>
      <c r="Y55" s="433" t="s">
        <v>13536</v>
      </c>
      <c r="Z55" s="433" t="s">
        <v>13536</v>
      </c>
      <c r="AA55" s="433" t="s">
        <v>13536</v>
      </c>
      <c r="AB55" s="433" t="s">
        <v>13536</v>
      </c>
      <c r="AC55" s="433" t="s">
        <v>13536</v>
      </c>
      <c r="AD55" s="433" t="s">
        <v>13536</v>
      </c>
      <c r="AE55" s="433" t="s">
        <v>13536</v>
      </c>
      <c r="AF55" s="433" t="s">
        <v>13536</v>
      </c>
      <c r="AG55" s="433" t="s">
        <v>13536</v>
      </c>
      <c r="AH55" s="433" t="s">
        <v>13536</v>
      </c>
      <c r="AI55" s="433" t="s">
        <v>13536</v>
      </c>
      <c r="AJ55" s="433" t="s">
        <v>13536</v>
      </c>
      <c r="AK55" s="433" t="s">
        <v>13536</v>
      </c>
      <c r="AL55" s="433" t="s">
        <v>13536</v>
      </c>
      <c r="AM55" s="433" t="s">
        <v>13536</v>
      </c>
      <c r="AN55" s="433" t="s">
        <v>13536</v>
      </c>
      <c r="AO55" s="433" t="s">
        <v>13536</v>
      </c>
      <c r="AP55" s="433" t="s">
        <v>13536</v>
      </c>
    </row>
    <row r="56" spans="2:42">
      <c r="B56" s="430" t="s">
        <v>861</v>
      </c>
      <c r="C56" s="430" t="s">
        <v>13522</v>
      </c>
      <c r="D56" s="430" t="s">
        <v>334</v>
      </c>
      <c r="E56" s="430" t="s">
        <v>334</v>
      </c>
      <c r="F56" s="430" t="s">
        <v>334</v>
      </c>
      <c r="G56" s="430" t="s">
        <v>334</v>
      </c>
      <c r="H56" s="430" t="s">
        <v>334</v>
      </c>
      <c r="I56" s="503">
        <v>0</v>
      </c>
      <c r="J56" s="433">
        <v>50</v>
      </c>
      <c r="K56" s="433" t="s">
        <v>13536</v>
      </c>
      <c r="L56" s="433" t="s">
        <v>13536</v>
      </c>
      <c r="M56" s="433" t="s">
        <v>13536</v>
      </c>
      <c r="N56" s="433" t="s">
        <v>13536</v>
      </c>
      <c r="O56" s="433" t="s">
        <v>13536</v>
      </c>
      <c r="P56" s="433" t="s">
        <v>13536</v>
      </c>
      <c r="Q56" s="433" t="s">
        <v>13536</v>
      </c>
      <c r="R56" s="433" t="s">
        <v>13536</v>
      </c>
      <c r="S56" s="433" t="s">
        <v>13536</v>
      </c>
      <c r="T56" s="433" t="s">
        <v>13536</v>
      </c>
      <c r="U56" s="433" t="s">
        <v>13536</v>
      </c>
      <c r="V56" s="433" t="s">
        <v>13536</v>
      </c>
      <c r="W56" s="433" t="s">
        <v>13536</v>
      </c>
      <c r="X56" s="433" t="s">
        <v>13536</v>
      </c>
      <c r="Y56" s="433" t="s">
        <v>13536</v>
      </c>
      <c r="Z56" s="433" t="s">
        <v>13536</v>
      </c>
      <c r="AA56" s="433" t="s">
        <v>13536</v>
      </c>
      <c r="AB56" s="433" t="s">
        <v>13536</v>
      </c>
      <c r="AC56" s="433" t="s">
        <v>13536</v>
      </c>
      <c r="AD56" s="433" t="s">
        <v>13536</v>
      </c>
      <c r="AE56" s="433" t="s">
        <v>13536</v>
      </c>
      <c r="AF56" s="433" t="s">
        <v>13536</v>
      </c>
      <c r="AG56" s="433" t="s">
        <v>13536</v>
      </c>
      <c r="AH56" s="433" t="s">
        <v>13536</v>
      </c>
      <c r="AI56" s="433" t="s">
        <v>13536</v>
      </c>
      <c r="AJ56" s="433" t="s">
        <v>13536</v>
      </c>
      <c r="AK56" s="433" t="s">
        <v>13536</v>
      </c>
      <c r="AL56" s="433" t="s">
        <v>13536</v>
      </c>
      <c r="AM56" s="433" t="s">
        <v>13536</v>
      </c>
      <c r="AN56" s="433" t="s">
        <v>13536</v>
      </c>
      <c r="AO56" s="433" t="s">
        <v>13536</v>
      </c>
      <c r="AP56" s="433" t="s">
        <v>13536</v>
      </c>
    </row>
    <row r="57" spans="2:42">
      <c r="B57" s="430" t="s">
        <v>851</v>
      </c>
      <c r="C57" s="430" t="s">
        <v>13522</v>
      </c>
      <c r="D57" s="430" t="s">
        <v>334</v>
      </c>
      <c r="E57" s="430" t="s">
        <v>13498</v>
      </c>
      <c r="F57" s="430" t="s">
        <v>13500</v>
      </c>
      <c r="G57" s="430" t="s">
        <v>337</v>
      </c>
      <c r="H57" s="430" t="s">
        <v>334</v>
      </c>
      <c r="I57" s="503">
        <v>0</v>
      </c>
      <c r="J57" s="433">
        <v>0.36937747818587902</v>
      </c>
      <c r="K57" s="433" t="s">
        <v>13536</v>
      </c>
      <c r="L57" s="433" t="s">
        <v>13536</v>
      </c>
      <c r="M57" s="433" t="s">
        <v>13536</v>
      </c>
      <c r="N57" s="433" t="s">
        <v>13536</v>
      </c>
      <c r="O57" s="433" t="s">
        <v>13536</v>
      </c>
      <c r="P57" s="433" t="s">
        <v>13536</v>
      </c>
      <c r="Q57" s="433" t="s">
        <v>13536</v>
      </c>
      <c r="R57" s="433" t="s">
        <v>13536</v>
      </c>
      <c r="S57" s="433" t="s">
        <v>13536</v>
      </c>
      <c r="T57" s="433" t="s">
        <v>13536</v>
      </c>
      <c r="U57" s="433" t="s">
        <v>13536</v>
      </c>
      <c r="V57" s="433" t="s">
        <v>13536</v>
      </c>
      <c r="W57" s="433" t="s">
        <v>13536</v>
      </c>
      <c r="X57" s="433" t="s">
        <v>13536</v>
      </c>
      <c r="Y57" s="433" t="s">
        <v>13536</v>
      </c>
      <c r="Z57" s="433" t="s">
        <v>13536</v>
      </c>
      <c r="AA57" s="433" t="s">
        <v>13536</v>
      </c>
      <c r="AB57" s="433" t="s">
        <v>13536</v>
      </c>
      <c r="AC57" s="433" t="s">
        <v>13536</v>
      </c>
      <c r="AD57" s="433" t="s">
        <v>13536</v>
      </c>
      <c r="AE57" s="433" t="s">
        <v>13536</v>
      </c>
      <c r="AF57" s="433" t="s">
        <v>13536</v>
      </c>
      <c r="AG57" s="433" t="s">
        <v>13536</v>
      </c>
      <c r="AH57" s="433" t="s">
        <v>13536</v>
      </c>
      <c r="AI57" s="433" t="s">
        <v>13536</v>
      </c>
      <c r="AJ57" s="433" t="s">
        <v>13536</v>
      </c>
      <c r="AK57" s="433" t="s">
        <v>13536</v>
      </c>
      <c r="AL57" s="433" t="s">
        <v>13536</v>
      </c>
      <c r="AM57" s="433" t="s">
        <v>13536</v>
      </c>
      <c r="AN57" s="433" t="s">
        <v>13536</v>
      </c>
      <c r="AO57" s="433" t="s">
        <v>13536</v>
      </c>
      <c r="AP57" s="433" t="s">
        <v>13536</v>
      </c>
    </row>
    <row r="58" spans="2:42">
      <c r="B58" s="430" t="s">
        <v>855</v>
      </c>
      <c r="C58" s="430" t="s">
        <v>13522</v>
      </c>
      <c r="D58" s="430" t="s">
        <v>13518</v>
      </c>
      <c r="E58" s="430" t="s">
        <v>13498</v>
      </c>
      <c r="F58" s="430" t="s">
        <v>334</v>
      </c>
      <c r="G58" s="430" t="s">
        <v>337</v>
      </c>
      <c r="H58" s="430" t="s">
        <v>856</v>
      </c>
      <c r="I58" s="503">
        <v>3</v>
      </c>
      <c r="J58" s="433">
        <v>0.75055526301578401</v>
      </c>
      <c r="K58" s="433" t="s">
        <v>13536</v>
      </c>
      <c r="L58" s="433" t="s">
        <v>13536</v>
      </c>
      <c r="M58" s="433" t="s">
        <v>13536</v>
      </c>
      <c r="N58" s="433" t="s">
        <v>13536</v>
      </c>
      <c r="O58" s="433" t="s">
        <v>13536</v>
      </c>
      <c r="P58" s="433" t="s">
        <v>13536</v>
      </c>
      <c r="Q58" s="433" t="s">
        <v>13536</v>
      </c>
      <c r="R58" s="433" t="s">
        <v>13536</v>
      </c>
      <c r="S58" s="433" t="s">
        <v>13536</v>
      </c>
      <c r="T58" s="433" t="s">
        <v>13536</v>
      </c>
      <c r="U58" s="433" t="s">
        <v>13536</v>
      </c>
      <c r="V58" s="433" t="s">
        <v>13536</v>
      </c>
      <c r="W58" s="433" t="s">
        <v>13536</v>
      </c>
      <c r="X58" s="433" t="s">
        <v>13536</v>
      </c>
      <c r="Y58" s="433" t="s">
        <v>13536</v>
      </c>
      <c r="Z58" s="433" t="s">
        <v>13536</v>
      </c>
      <c r="AA58" s="433" t="s">
        <v>13536</v>
      </c>
      <c r="AB58" s="433" t="s">
        <v>13536</v>
      </c>
      <c r="AC58" s="433" t="s">
        <v>13536</v>
      </c>
      <c r="AD58" s="433" t="s">
        <v>13536</v>
      </c>
      <c r="AE58" s="433" t="s">
        <v>13536</v>
      </c>
      <c r="AF58" s="433" t="s">
        <v>13536</v>
      </c>
      <c r="AG58" s="433" t="s">
        <v>13536</v>
      </c>
      <c r="AH58" s="433" t="s">
        <v>13536</v>
      </c>
      <c r="AI58" s="433" t="s">
        <v>13536</v>
      </c>
      <c r="AJ58" s="433" t="s">
        <v>13536</v>
      </c>
      <c r="AK58" s="433" t="s">
        <v>13536</v>
      </c>
      <c r="AL58" s="433" t="s">
        <v>13536</v>
      </c>
      <c r="AM58" s="433" t="s">
        <v>13536</v>
      </c>
      <c r="AN58" s="433" t="s">
        <v>13536</v>
      </c>
      <c r="AO58" s="433" t="s">
        <v>13536</v>
      </c>
      <c r="AP58" s="433" t="s">
        <v>13536</v>
      </c>
    </row>
    <row r="59" spans="2:42">
      <c r="B59" s="430" t="s">
        <v>855</v>
      </c>
      <c r="C59" s="430" t="s">
        <v>13522</v>
      </c>
      <c r="D59" s="430" t="s">
        <v>13537</v>
      </c>
      <c r="E59" s="430" t="s">
        <v>13498</v>
      </c>
      <c r="F59" s="430" t="s">
        <v>334</v>
      </c>
      <c r="G59" s="430" t="s">
        <v>337</v>
      </c>
      <c r="H59" s="430" t="s">
        <v>856</v>
      </c>
      <c r="I59" s="503">
        <v>3</v>
      </c>
      <c r="J59" s="433">
        <v>4.6380305946303199E-2</v>
      </c>
      <c r="K59" s="433" t="s">
        <v>13536</v>
      </c>
      <c r="L59" s="433" t="s">
        <v>13536</v>
      </c>
      <c r="M59" s="433" t="s">
        <v>13536</v>
      </c>
      <c r="N59" s="433" t="s">
        <v>13536</v>
      </c>
      <c r="O59" s="433" t="s">
        <v>13536</v>
      </c>
      <c r="P59" s="433" t="s">
        <v>13536</v>
      </c>
      <c r="Q59" s="433" t="s">
        <v>13536</v>
      </c>
      <c r="R59" s="433" t="s">
        <v>13536</v>
      </c>
      <c r="S59" s="433" t="s">
        <v>13536</v>
      </c>
      <c r="T59" s="433" t="s">
        <v>13536</v>
      </c>
      <c r="U59" s="433" t="s">
        <v>13536</v>
      </c>
      <c r="V59" s="433" t="s">
        <v>13536</v>
      </c>
      <c r="W59" s="433" t="s">
        <v>13536</v>
      </c>
      <c r="X59" s="433" t="s">
        <v>13536</v>
      </c>
      <c r="Y59" s="433" t="s">
        <v>13536</v>
      </c>
      <c r="Z59" s="433" t="s">
        <v>13536</v>
      </c>
      <c r="AA59" s="433" t="s">
        <v>13536</v>
      </c>
      <c r="AB59" s="433" t="s">
        <v>13536</v>
      </c>
      <c r="AC59" s="433" t="s">
        <v>13536</v>
      </c>
      <c r="AD59" s="433" t="s">
        <v>13536</v>
      </c>
      <c r="AE59" s="433" t="s">
        <v>13536</v>
      </c>
      <c r="AF59" s="433" t="s">
        <v>13536</v>
      </c>
      <c r="AG59" s="433" t="s">
        <v>13536</v>
      </c>
      <c r="AH59" s="433" t="s">
        <v>13536</v>
      </c>
      <c r="AI59" s="433" t="s">
        <v>13536</v>
      </c>
      <c r="AJ59" s="433" t="s">
        <v>13536</v>
      </c>
      <c r="AK59" s="433" t="s">
        <v>13536</v>
      </c>
      <c r="AL59" s="433" t="s">
        <v>13536</v>
      </c>
      <c r="AM59" s="433" t="s">
        <v>13536</v>
      </c>
      <c r="AN59" s="433" t="s">
        <v>13536</v>
      </c>
      <c r="AO59" s="433" t="s">
        <v>13536</v>
      </c>
      <c r="AP59" s="433" t="s">
        <v>13536</v>
      </c>
    </row>
    <row r="60" spans="2:42">
      <c r="B60" s="430" t="s">
        <v>855</v>
      </c>
      <c r="C60" s="430" t="s">
        <v>13522</v>
      </c>
      <c r="D60" s="430" t="s">
        <v>1894</v>
      </c>
      <c r="E60" s="430" t="s">
        <v>13498</v>
      </c>
      <c r="F60" s="430" t="s">
        <v>334</v>
      </c>
      <c r="G60" s="430" t="s">
        <v>337</v>
      </c>
      <c r="H60" s="430" t="s">
        <v>856</v>
      </c>
      <c r="I60" s="503">
        <v>3</v>
      </c>
      <c r="J60" s="433">
        <v>2.6746802247811299E-2</v>
      </c>
      <c r="K60" s="433" t="s">
        <v>13536</v>
      </c>
      <c r="L60" s="433" t="s">
        <v>13536</v>
      </c>
      <c r="M60" s="433" t="s">
        <v>13536</v>
      </c>
      <c r="N60" s="433" t="s">
        <v>13536</v>
      </c>
      <c r="O60" s="433" t="s">
        <v>13536</v>
      </c>
      <c r="P60" s="433" t="s">
        <v>13536</v>
      </c>
      <c r="Q60" s="433" t="s">
        <v>13536</v>
      </c>
      <c r="R60" s="433" t="s">
        <v>13536</v>
      </c>
      <c r="S60" s="433" t="s">
        <v>13536</v>
      </c>
      <c r="T60" s="433" t="s">
        <v>13536</v>
      </c>
      <c r="U60" s="433" t="s">
        <v>13536</v>
      </c>
      <c r="V60" s="433" t="s">
        <v>13536</v>
      </c>
      <c r="W60" s="433" t="s">
        <v>13536</v>
      </c>
      <c r="X60" s="433" t="s">
        <v>13536</v>
      </c>
      <c r="Y60" s="433" t="s">
        <v>13536</v>
      </c>
      <c r="Z60" s="433" t="s">
        <v>13536</v>
      </c>
      <c r="AA60" s="433" t="s">
        <v>13536</v>
      </c>
      <c r="AB60" s="433" t="s">
        <v>13536</v>
      </c>
      <c r="AC60" s="433" t="s">
        <v>13536</v>
      </c>
      <c r="AD60" s="433" t="s">
        <v>13536</v>
      </c>
      <c r="AE60" s="433" t="s">
        <v>13536</v>
      </c>
      <c r="AF60" s="433" t="s">
        <v>13536</v>
      </c>
      <c r="AG60" s="433" t="s">
        <v>13536</v>
      </c>
      <c r="AH60" s="433" t="s">
        <v>13536</v>
      </c>
      <c r="AI60" s="433" t="s">
        <v>13536</v>
      </c>
      <c r="AJ60" s="433" t="s">
        <v>13536</v>
      </c>
      <c r="AK60" s="433" t="s">
        <v>13536</v>
      </c>
      <c r="AL60" s="433" t="s">
        <v>13536</v>
      </c>
      <c r="AM60" s="433" t="s">
        <v>13536</v>
      </c>
      <c r="AN60" s="433" t="s">
        <v>13536</v>
      </c>
      <c r="AO60" s="433" t="s">
        <v>13536</v>
      </c>
      <c r="AP60" s="433" t="s">
        <v>13536</v>
      </c>
    </row>
    <row r="61" spans="2:42">
      <c r="B61" s="430" t="s">
        <v>855</v>
      </c>
      <c r="C61" s="430" t="s">
        <v>13522</v>
      </c>
      <c r="D61" s="430" t="s">
        <v>13538</v>
      </c>
      <c r="E61" s="430" t="s">
        <v>13498</v>
      </c>
      <c r="F61" s="430" t="s">
        <v>334</v>
      </c>
      <c r="G61" s="430" t="s">
        <v>337</v>
      </c>
      <c r="H61" s="430" t="s">
        <v>856</v>
      </c>
      <c r="I61" s="503">
        <v>3</v>
      </c>
      <c r="J61" s="433">
        <v>0.17631762879010099</v>
      </c>
      <c r="K61" s="433" t="s">
        <v>13536</v>
      </c>
      <c r="L61" s="433" t="s">
        <v>13536</v>
      </c>
      <c r="M61" s="433" t="s">
        <v>13536</v>
      </c>
      <c r="N61" s="433" t="s">
        <v>13536</v>
      </c>
      <c r="O61" s="433" t="s">
        <v>13536</v>
      </c>
      <c r="P61" s="433" t="s">
        <v>13536</v>
      </c>
      <c r="Q61" s="433" t="s">
        <v>13536</v>
      </c>
      <c r="R61" s="433" t="s">
        <v>13536</v>
      </c>
      <c r="S61" s="433" t="s">
        <v>13536</v>
      </c>
      <c r="T61" s="433" t="s">
        <v>13536</v>
      </c>
      <c r="U61" s="433" t="s">
        <v>13536</v>
      </c>
      <c r="V61" s="433" t="s">
        <v>13536</v>
      </c>
      <c r="W61" s="433" t="s">
        <v>13536</v>
      </c>
      <c r="X61" s="433" t="s">
        <v>13536</v>
      </c>
      <c r="Y61" s="433" t="s">
        <v>13536</v>
      </c>
      <c r="Z61" s="433" t="s">
        <v>13536</v>
      </c>
      <c r="AA61" s="433" t="s">
        <v>13536</v>
      </c>
      <c r="AB61" s="433" t="s">
        <v>13536</v>
      </c>
      <c r="AC61" s="433" t="s">
        <v>13536</v>
      </c>
      <c r="AD61" s="433" t="s">
        <v>13536</v>
      </c>
      <c r="AE61" s="433" t="s">
        <v>13536</v>
      </c>
      <c r="AF61" s="433" t="s">
        <v>13536</v>
      </c>
      <c r="AG61" s="433" t="s">
        <v>13536</v>
      </c>
      <c r="AH61" s="433" t="s">
        <v>13536</v>
      </c>
      <c r="AI61" s="433" t="s">
        <v>13536</v>
      </c>
      <c r="AJ61" s="433" t="s">
        <v>13536</v>
      </c>
      <c r="AK61" s="433" t="s">
        <v>13536</v>
      </c>
      <c r="AL61" s="433" t="s">
        <v>13536</v>
      </c>
      <c r="AM61" s="433" t="s">
        <v>13536</v>
      </c>
      <c r="AN61" s="433" t="s">
        <v>13536</v>
      </c>
      <c r="AO61" s="433" t="s">
        <v>13536</v>
      </c>
      <c r="AP61" s="433" t="s">
        <v>13536</v>
      </c>
    </row>
    <row r="62" spans="2:42">
      <c r="B62" s="430" t="s">
        <v>357</v>
      </c>
      <c r="C62" s="430" t="s">
        <v>13522</v>
      </c>
      <c r="D62" s="430" t="str">
        <f>D40</f>
        <v>CH4SF</v>
      </c>
      <c r="E62" s="430" t="s">
        <v>13500</v>
      </c>
      <c r="F62" s="430" t="s">
        <v>334</v>
      </c>
      <c r="G62" s="430" t="s">
        <v>337</v>
      </c>
      <c r="H62" s="430" t="s">
        <v>334</v>
      </c>
      <c r="I62" s="503">
        <v>0</v>
      </c>
      <c r="J62" s="433">
        <v>1.4934527846330401</v>
      </c>
      <c r="K62" s="433" t="s">
        <v>13536</v>
      </c>
      <c r="L62" s="433" t="s">
        <v>13536</v>
      </c>
      <c r="M62" s="433" t="s">
        <v>13536</v>
      </c>
      <c r="N62" s="433" t="s">
        <v>13536</v>
      </c>
      <c r="O62" s="433" t="s">
        <v>13536</v>
      </c>
      <c r="P62" s="433" t="s">
        <v>13536</v>
      </c>
      <c r="Q62" s="433" t="s">
        <v>13536</v>
      </c>
      <c r="R62" s="433" t="s">
        <v>13536</v>
      </c>
      <c r="S62" s="433" t="s">
        <v>13536</v>
      </c>
      <c r="T62" s="433" t="s">
        <v>13536</v>
      </c>
      <c r="U62" s="433" t="s">
        <v>13536</v>
      </c>
      <c r="V62" s="433" t="s">
        <v>13536</v>
      </c>
      <c r="W62" s="433" t="s">
        <v>13536</v>
      </c>
      <c r="X62" s="433" t="s">
        <v>13536</v>
      </c>
      <c r="Y62" s="433" t="s">
        <v>13536</v>
      </c>
      <c r="Z62" s="433" t="s">
        <v>13536</v>
      </c>
      <c r="AA62" s="433" t="s">
        <v>13536</v>
      </c>
      <c r="AB62" s="433" t="s">
        <v>13536</v>
      </c>
      <c r="AC62" s="433" t="s">
        <v>13536</v>
      </c>
      <c r="AD62" s="433" t="s">
        <v>13536</v>
      </c>
      <c r="AE62" s="433" t="s">
        <v>13536</v>
      </c>
      <c r="AF62" s="433" t="s">
        <v>13536</v>
      </c>
      <c r="AG62" s="433" t="s">
        <v>13536</v>
      </c>
      <c r="AH62" s="433" t="s">
        <v>13536</v>
      </c>
      <c r="AI62" s="433" t="s">
        <v>13536</v>
      </c>
      <c r="AJ62" s="433" t="s">
        <v>13536</v>
      </c>
      <c r="AK62" s="433" t="s">
        <v>13536</v>
      </c>
      <c r="AL62" s="433" t="s">
        <v>13536</v>
      </c>
      <c r="AM62" s="433" t="s">
        <v>13536</v>
      </c>
      <c r="AN62" s="433" t="s">
        <v>13536</v>
      </c>
      <c r="AO62" s="433" t="s">
        <v>13536</v>
      </c>
      <c r="AP62" s="433" t="s">
        <v>13536</v>
      </c>
    </row>
    <row r="63" spans="2:42">
      <c r="B63" s="430" t="s">
        <v>357</v>
      </c>
      <c r="C63" s="430" t="s">
        <v>13522</v>
      </c>
      <c r="D63" s="430" t="str">
        <f>D41</f>
        <v>CO2SF</v>
      </c>
      <c r="E63" s="430" t="s">
        <v>13500</v>
      </c>
      <c r="F63" s="430" t="s">
        <v>334</v>
      </c>
      <c r="G63" s="430" t="s">
        <v>337</v>
      </c>
      <c r="H63" s="430" t="s">
        <v>334</v>
      </c>
      <c r="I63" s="503">
        <v>0</v>
      </c>
      <c r="J63" s="433">
        <v>118.877396901678</v>
      </c>
      <c r="K63" s="433" t="s">
        <v>13536</v>
      </c>
      <c r="L63" s="433" t="s">
        <v>13536</v>
      </c>
      <c r="M63" s="433" t="s">
        <v>13536</v>
      </c>
      <c r="N63" s="433" t="s">
        <v>13536</v>
      </c>
      <c r="O63" s="433" t="s">
        <v>13536</v>
      </c>
      <c r="P63" s="433" t="s">
        <v>13536</v>
      </c>
      <c r="Q63" s="433" t="s">
        <v>13536</v>
      </c>
      <c r="R63" s="433" t="s">
        <v>13536</v>
      </c>
      <c r="S63" s="433" t="s">
        <v>13536</v>
      </c>
      <c r="T63" s="433" t="s">
        <v>13536</v>
      </c>
      <c r="U63" s="433" t="s">
        <v>13536</v>
      </c>
      <c r="V63" s="433" t="s">
        <v>13536</v>
      </c>
      <c r="W63" s="433" t="s">
        <v>13536</v>
      </c>
      <c r="X63" s="433" t="s">
        <v>13536</v>
      </c>
      <c r="Y63" s="433" t="s">
        <v>13536</v>
      </c>
      <c r="Z63" s="433" t="s">
        <v>13536</v>
      </c>
      <c r="AA63" s="433" t="s">
        <v>13536</v>
      </c>
      <c r="AB63" s="433" t="s">
        <v>13536</v>
      </c>
      <c r="AC63" s="433" t="s">
        <v>13536</v>
      </c>
      <c r="AD63" s="433" t="s">
        <v>13536</v>
      </c>
      <c r="AE63" s="433" t="s">
        <v>13536</v>
      </c>
      <c r="AF63" s="433" t="s">
        <v>13536</v>
      </c>
      <c r="AG63" s="433" t="s">
        <v>13536</v>
      </c>
      <c r="AH63" s="433" t="s">
        <v>13536</v>
      </c>
      <c r="AI63" s="433" t="s">
        <v>13536</v>
      </c>
      <c r="AJ63" s="433" t="s">
        <v>13536</v>
      </c>
      <c r="AK63" s="433" t="s">
        <v>13536</v>
      </c>
      <c r="AL63" s="433" t="s">
        <v>13536</v>
      </c>
      <c r="AM63" s="433" t="s">
        <v>13536</v>
      </c>
      <c r="AN63" s="433" t="s">
        <v>13536</v>
      </c>
      <c r="AO63" s="433" t="s">
        <v>13536</v>
      </c>
      <c r="AP63" s="433" t="s">
        <v>13536</v>
      </c>
    </row>
    <row r="64" spans="2:42">
      <c r="B64" s="430" t="s">
        <v>855</v>
      </c>
      <c r="C64" s="430" t="s">
        <v>13522</v>
      </c>
      <c r="D64" s="430" t="s">
        <v>1805</v>
      </c>
      <c r="E64" s="430" t="s">
        <v>13500</v>
      </c>
      <c r="F64" s="430" t="s">
        <v>334</v>
      </c>
      <c r="G64" s="430" t="s">
        <v>337</v>
      </c>
      <c r="H64" s="430" t="s">
        <v>338</v>
      </c>
      <c r="I64" s="503">
        <v>3</v>
      </c>
      <c r="J64" s="433">
        <v>8.2900750167258105E-2</v>
      </c>
      <c r="K64" s="433" t="s">
        <v>13536</v>
      </c>
      <c r="L64" s="433" t="s">
        <v>13536</v>
      </c>
      <c r="M64" s="433" t="s">
        <v>13536</v>
      </c>
      <c r="N64" s="433" t="s">
        <v>13536</v>
      </c>
      <c r="O64" s="433" t="s">
        <v>13536</v>
      </c>
      <c r="P64" s="433" t="s">
        <v>13536</v>
      </c>
      <c r="Q64" s="433" t="s">
        <v>13536</v>
      </c>
      <c r="R64" s="433" t="s">
        <v>13536</v>
      </c>
      <c r="S64" s="433" t="s">
        <v>13536</v>
      </c>
      <c r="T64" s="433" t="s">
        <v>13536</v>
      </c>
      <c r="U64" s="433" t="s">
        <v>13536</v>
      </c>
      <c r="V64" s="433" t="s">
        <v>13536</v>
      </c>
      <c r="W64" s="433" t="s">
        <v>13536</v>
      </c>
      <c r="X64" s="433" t="s">
        <v>13536</v>
      </c>
      <c r="Y64" s="433" t="s">
        <v>13536</v>
      </c>
      <c r="Z64" s="433" t="s">
        <v>13536</v>
      </c>
      <c r="AA64" s="433" t="s">
        <v>13536</v>
      </c>
      <c r="AB64" s="433" t="s">
        <v>13536</v>
      </c>
      <c r="AC64" s="433" t="s">
        <v>13536</v>
      </c>
      <c r="AD64" s="433" t="s">
        <v>13536</v>
      </c>
      <c r="AE64" s="433" t="s">
        <v>13536</v>
      </c>
      <c r="AF64" s="433" t="s">
        <v>13536</v>
      </c>
      <c r="AG64" s="433" t="s">
        <v>13536</v>
      </c>
      <c r="AH64" s="433" t="s">
        <v>13536</v>
      </c>
      <c r="AI64" s="433" t="s">
        <v>13536</v>
      </c>
      <c r="AJ64" s="433" t="s">
        <v>13536</v>
      </c>
      <c r="AK64" s="433" t="s">
        <v>13536</v>
      </c>
      <c r="AL64" s="433" t="s">
        <v>13536</v>
      </c>
      <c r="AM64" s="433" t="s">
        <v>13536</v>
      </c>
      <c r="AN64" s="433" t="s">
        <v>13536</v>
      </c>
      <c r="AO64" s="433" t="s">
        <v>13536</v>
      </c>
      <c r="AP64" s="433" t="s">
        <v>13536</v>
      </c>
    </row>
    <row r="65" spans="2:42">
      <c r="B65" s="430" t="s">
        <v>855</v>
      </c>
      <c r="C65" s="430" t="s">
        <v>13522</v>
      </c>
      <c r="D65" s="430" t="s">
        <v>558</v>
      </c>
      <c r="E65" s="430" t="s">
        <v>13500</v>
      </c>
      <c r="F65" s="430" t="s">
        <v>334</v>
      </c>
      <c r="G65" s="430" t="s">
        <v>337</v>
      </c>
      <c r="H65" s="430" t="s">
        <v>338</v>
      </c>
      <c r="I65" s="503">
        <v>3</v>
      </c>
      <c r="J65" s="433">
        <v>0</v>
      </c>
      <c r="K65" s="433" t="s">
        <v>13536</v>
      </c>
      <c r="L65" s="433" t="s">
        <v>13536</v>
      </c>
      <c r="M65" s="433" t="s">
        <v>13536</v>
      </c>
      <c r="N65" s="433" t="s">
        <v>13536</v>
      </c>
      <c r="O65" s="433" t="s">
        <v>13536</v>
      </c>
      <c r="P65" s="433" t="s">
        <v>13536</v>
      </c>
      <c r="Q65" s="433" t="s">
        <v>13536</v>
      </c>
      <c r="R65" s="433" t="s">
        <v>13536</v>
      </c>
      <c r="S65" s="433" t="s">
        <v>13536</v>
      </c>
      <c r="T65" s="433" t="s">
        <v>13536</v>
      </c>
      <c r="U65" s="433" t="s">
        <v>13536</v>
      </c>
      <c r="V65" s="433" t="s">
        <v>13536</v>
      </c>
      <c r="W65" s="433" t="s">
        <v>13536</v>
      </c>
      <c r="X65" s="433" t="s">
        <v>13536</v>
      </c>
      <c r="Y65" s="433" t="s">
        <v>13536</v>
      </c>
      <c r="Z65" s="433" t="s">
        <v>13536</v>
      </c>
      <c r="AA65" s="433" t="s">
        <v>13536</v>
      </c>
      <c r="AB65" s="433" t="s">
        <v>13536</v>
      </c>
      <c r="AC65" s="433" t="s">
        <v>13536</v>
      </c>
      <c r="AD65" s="433" t="s">
        <v>13536</v>
      </c>
      <c r="AE65" s="433" t="s">
        <v>13536</v>
      </c>
      <c r="AF65" s="433" t="s">
        <v>13536</v>
      </c>
      <c r="AG65" s="433" t="s">
        <v>13536</v>
      </c>
      <c r="AH65" s="433" t="s">
        <v>13536</v>
      </c>
      <c r="AI65" s="433" t="s">
        <v>13536</v>
      </c>
      <c r="AJ65" s="433" t="s">
        <v>13536</v>
      </c>
      <c r="AK65" s="433" t="s">
        <v>13536</v>
      </c>
      <c r="AL65" s="433" t="s">
        <v>13536</v>
      </c>
      <c r="AM65" s="433" t="s">
        <v>13536</v>
      </c>
      <c r="AN65" s="433" t="s">
        <v>13536</v>
      </c>
      <c r="AO65" s="433" t="s">
        <v>13536</v>
      </c>
      <c r="AP65" s="433" t="s">
        <v>13536</v>
      </c>
    </row>
    <row r="66" spans="2:42">
      <c r="B66" s="430" t="s">
        <v>855</v>
      </c>
      <c r="C66" s="430" t="s">
        <v>13522</v>
      </c>
      <c r="D66" s="430" t="s">
        <v>555</v>
      </c>
      <c r="E66" s="430" t="s">
        <v>13500</v>
      </c>
      <c r="F66" s="430" t="s">
        <v>334</v>
      </c>
      <c r="G66" s="430" t="s">
        <v>337</v>
      </c>
      <c r="H66" s="430" t="s">
        <v>338</v>
      </c>
      <c r="I66" s="503">
        <v>3</v>
      </c>
      <c r="J66" s="433">
        <v>0.73</v>
      </c>
      <c r="K66" s="433" t="s">
        <v>13536</v>
      </c>
      <c r="L66" s="433" t="s">
        <v>13536</v>
      </c>
      <c r="M66" s="433" t="s">
        <v>13536</v>
      </c>
      <c r="N66" s="433" t="s">
        <v>13536</v>
      </c>
      <c r="O66" s="433" t="s">
        <v>13536</v>
      </c>
      <c r="P66" s="433" t="s">
        <v>13536</v>
      </c>
      <c r="Q66" s="433" t="s">
        <v>13536</v>
      </c>
      <c r="R66" s="433" t="s">
        <v>13536</v>
      </c>
      <c r="S66" s="433" t="s">
        <v>13536</v>
      </c>
      <c r="T66" s="433" t="s">
        <v>13536</v>
      </c>
      <c r="U66" s="433" t="s">
        <v>13536</v>
      </c>
      <c r="V66" s="433" t="s">
        <v>13536</v>
      </c>
      <c r="W66" s="433" t="s">
        <v>13536</v>
      </c>
      <c r="X66" s="433" t="s">
        <v>13536</v>
      </c>
      <c r="Y66" s="433" t="s">
        <v>13536</v>
      </c>
      <c r="Z66" s="433" t="s">
        <v>13536</v>
      </c>
      <c r="AA66" s="433" t="s">
        <v>13536</v>
      </c>
      <c r="AB66" s="433" t="s">
        <v>13536</v>
      </c>
      <c r="AC66" s="433" t="s">
        <v>13536</v>
      </c>
      <c r="AD66" s="433" t="s">
        <v>13536</v>
      </c>
      <c r="AE66" s="433" t="s">
        <v>13536</v>
      </c>
      <c r="AF66" s="433" t="s">
        <v>13536</v>
      </c>
      <c r="AG66" s="433" t="s">
        <v>13536</v>
      </c>
      <c r="AH66" s="433" t="s">
        <v>13536</v>
      </c>
      <c r="AI66" s="433" t="s">
        <v>13536</v>
      </c>
      <c r="AJ66" s="433" t="s">
        <v>13536</v>
      </c>
      <c r="AK66" s="433" t="s">
        <v>13536</v>
      </c>
      <c r="AL66" s="433" t="s">
        <v>13536</v>
      </c>
      <c r="AM66" s="433" t="s">
        <v>13536</v>
      </c>
      <c r="AN66" s="433" t="s">
        <v>13536</v>
      </c>
      <c r="AO66" s="433" t="s">
        <v>13536</v>
      </c>
      <c r="AP66" s="433" t="s">
        <v>13536</v>
      </c>
    </row>
    <row r="67" spans="2:42">
      <c r="B67" s="430" t="s">
        <v>855</v>
      </c>
      <c r="C67" s="430" t="s">
        <v>13522</v>
      </c>
      <c r="D67" s="430" t="s">
        <v>547</v>
      </c>
      <c r="E67" s="430" t="s">
        <v>13500</v>
      </c>
      <c r="F67" s="430" t="s">
        <v>334</v>
      </c>
      <c r="G67" s="430" t="s">
        <v>337</v>
      </c>
      <c r="H67" s="430" t="s">
        <v>338</v>
      </c>
      <c r="I67" s="503">
        <v>3</v>
      </c>
      <c r="J67" s="433">
        <v>0.23499999999999999</v>
      </c>
      <c r="K67" s="433" t="s">
        <v>13536</v>
      </c>
      <c r="L67" s="433" t="s">
        <v>13536</v>
      </c>
      <c r="M67" s="433" t="s">
        <v>13536</v>
      </c>
      <c r="N67" s="433" t="s">
        <v>13536</v>
      </c>
      <c r="O67" s="433" t="s">
        <v>13536</v>
      </c>
      <c r="P67" s="433" t="s">
        <v>13536</v>
      </c>
      <c r="Q67" s="433" t="s">
        <v>13536</v>
      </c>
      <c r="R67" s="433" t="s">
        <v>13536</v>
      </c>
      <c r="S67" s="433" t="s">
        <v>13536</v>
      </c>
      <c r="T67" s="433" t="s">
        <v>13536</v>
      </c>
      <c r="U67" s="433" t="s">
        <v>13536</v>
      </c>
      <c r="V67" s="433" t="s">
        <v>13536</v>
      </c>
      <c r="W67" s="433" t="s">
        <v>13536</v>
      </c>
      <c r="X67" s="433" t="s">
        <v>13536</v>
      </c>
      <c r="Y67" s="433" t="s">
        <v>13536</v>
      </c>
      <c r="Z67" s="433" t="s">
        <v>13536</v>
      </c>
      <c r="AA67" s="433" t="s">
        <v>13536</v>
      </c>
      <c r="AB67" s="433" t="s">
        <v>13536</v>
      </c>
      <c r="AC67" s="433" t="s">
        <v>13536</v>
      </c>
      <c r="AD67" s="433" t="s">
        <v>13536</v>
      </c>
      <c r="AE67" s="433" t="s">
        <v>13536</v>
      </c>
      <c r="AF67" s="433" t="s">
        <v>13536</v>
      </c>
      <c r="AG67" s="433" t="s">
        <v>13536</v>
      </c>
      <c r="AH67" s="433" t="s">
        <v>13536</v>
      </c>
      <c r="AI67" s="433" t="s">
        <v>13536</v>
      </c>
      <c r="AJ67" s="433" t="s">
        <v>13536</v>
      </c>
      <c r="AK67" s="433" t="s">
        <v>13536</v>
      </c>
      <c r="AL67" s="433" t="s">
        <v>13536</v>
      </c>
      <c r="AM67" s="433" t="s">
        <v>13536</v>
      </c>
      <c r="AN67" s="433" t="s">
        <v>13536</v>
      </c>
      <c r="AO67" s="433" t="s">
        <v>13536</v>
      </c>
      <c r="AP67" s="433" t="s">
        <v>13536</v>
      </c>
    </row>
    <row r="68" spans="2:42">
      <c r="B68" s="430" t="s">
        <v>855</v>
      </c>
      <c r="C68" s="430" t="s">
        <v>13522</v>
      </c>
      <c r="D68" s="430" t="s">
        <v>592</v>
      </c>
      <c r="E68" s="430" t="s">
        <v>13500</v>
      </c>
      <c r="F68" s="430" t="s">
        <v>334</v>
      </c>
      <c r="G68" s="430" t="s">
        <v>337</v>
      </c>
      <c r="H68" s="430" t="s">
        <v>338</v>
      </c>
      <c r="I68" s="503">
        <v>3</v>
      </c>
      <c r="J68" s="433">
        <v>0</v>
      </c>
      <c r="K68" s="433" t="s">
        <v>13536</v>
      </c>
      <c r="L68" s="433" t="s">
        <v>13536</v>
      </c>
      <c r="M68" s="433" t="s">
        <v>13536</v>
      </c>
      <c r="N68" s="433" t="s">
        <v>13536</v>
      </c>
      <c r="O68" s="433" t="s">
        <v>13536</v>
      </c>
      <c r="P68" s="433" t="s">
        <v>13536</v>
      </c>
      <c r="Q68" s="433" t="s">
        <v>13536</v>
      </c>
      <c r="R68" s="433" t="s">
        <v>13536</v>
      </c>
      <c r="S68" s="433" t="s">
        <v>13536</v>
      </c>
      <c r="T68" s="433" t="s">
        <v>13536</v>
      </c>
      <c r="U68" s="433" t="s">
        <v>13536</v>
      </c>
      <c r="V68" s="433" t="s">
        <v>13536</v>
      </c>
      <c r="W68" s="433" t="s">
        <v>13536</v>
      </c>
      <c r="X68" s="433" t="s">
        <v>13536</v>
      </c>
      <c r="Y68" s="433" t="s">
        <v>13536</v>
      </c>
      <c r="Z68" s="433" t="s">
        <v>13536</v>
      </c>
      <c r="AA68" s="433" t="s">
        <v>13536</v>
      </c>
      <c r="AB68" s="433" t="s">
        <v>13536</v>
      </c>
      <c r="AC68" s="433" t="s">
        <v>13536</v>
      </c>
      <c r="AD68" s="433" t="s">
        <v>13536</v>
      </c>
      <c r="AE68" s="433" t="s">
        <v>13536</v>
      </c>
      <c r="AF68" s="433" t="s">
        <v>13536</v>
      </c>
      <c r="AG68" s="433" t="s">
        <v>13536</v>
      </c>
      <c r="AH68" s="433" t="s">
        <v>13536</v>
      </c>
      <c r="AI68" s="433" t="s">
        <v>13536</v>
      </c>
      <c r="AJ68" s="433" t="s">
        <v>13536</v>
      </c>
      <c r="AK68" s="433" t="s">
        <v>13536</v>
      </c>
      <c r="AL68" s="433" t="s">
        <v>13536</v>
      </c>
      <c r="AM68" s="433" t="s">
        <v>13536</v>
      </c>
      <c r="AN68" s="433" t="s">
        <v>13536</v>
      </c>
      <c r="AO68" s="433" t="s">
        <v>13536</v>
      </c>
      <c r="AP68" s="433" t="s">
        <v>13536</v>
      </c>
    </row>
    <row r="69" spans="2:42">
      <c r="B69" s="430" t="s">
        <v>855</v>
      </c>
      <c r="C69" s="430" t="s">
        <v>13522</v>
      </c>
      <c r="D69" s="430" t="s">
        <v>551</v>
      </c>
      <c r="E69" s="430" t="s">
        <v>13500</v>
      </c>
      <c r="F69" s="430" t="s">
        <v>334</v>
      </c>
      <c r="G69" s="430" t="s">
        <v>337</v>
      </c>
      <c r="H69" s="430" t="s">
        <v>338</v>
      </c>
      <c r="I69" s="503">
        <v>3</v>
      </c>
      <c r="J69" s="433">
        <v>3.5000000000000003E-2</v>
      </c>
      <c r="K69" s="433" t="s">
        <v>13536</v>
      </c>
      <c r="L69" s="433" t="s">
        <v>13536</v>
      </c>
      <c r="M69" s="433" t="s">
        <v>13536</v>
      </c>
      <c r="N69" s="433" t="s">
        <v>13536</v>
      </c>
      <c r="O69" s="433" t="s">
        <v>13536</v>
      </c>
      <c r="P69" s="433" t="s">
        <v>13536</v>
      </c>
      <c r="Q69" s="433" t="s">
        <v>13536</v>
      </c>
      <c r="R69" s="433" t="s">
        <v>13536</v>
      </c>
      <c r="S69" s="433" t="s">
        <v>13536</v>
      </c>
      <c r="T69" s="433" t="s">
        <v>13536</v>
      </c>
      <c r="U69" s="433" t="s">
        <v>13536</v>
      </c>
      <c r="V69" s="433" t="s">
        <v>13536</v>
      </c>
      <c r="W69" s="433" t="s">
        <v>13536</v>
      </c>
      <c r="X69" s="433" t="s">
        <v>13536</v>
      </c>
      <c r="Y69" s="433" t="s">
        <v>13536</v>
      </c>
      <c r="Z69" s="433" t="s">
        <v>13536</v>
      </c>
      <c r="AA69" s="433" t="s">
        <v>13536</v>
      </c>
      <c r="AB69" s="433" t="s">
        <v>13536</v>
      </c>
      <c r="AC69" s="433" t="s">
        <v>13536</v>
      </c>
      <c r="AD69" s="433" t="s">
        <v>13536</v>
      </c>
      <c r="AE69" s="433" t="s">
        <v>13536</v>
      </c>
      <c r="AF69" s="433" t="s">
        <v>13536</v>
      </c>
      <c r="AG69" s="433" t="s">
        <v>13536</v>
      </c>
      <c r="AH69" s="433" t="s">
        <v>13536</v>
      </c>
      <c r="AI69" s="433" t="s">
        <v>13536</v>
      </c>
      <c r="AJ69" s="433" t="s">
        <v>13536</v>
      </c>
      <c r="AK69" s="433" t="s">
        <v>13536</v>
      </c>
      <c r="AL69" s="433" t="s">
        <v>13536</v>
      </c>
      <c r="AM69" s="433" t="s">
        <v>13536</v>
      </c>
      <c r="AN69" s="433" t="s">
        <v>13536</v>
      </c>
      <c r="AO69" s="433" t="s">
        <v>13536</v>
      </c>
      <c r="AP69" s="433" t="s">
        <v>13536</v>
      </c>
    </row>
    <row r="70" spans="2:42">
      <c r="B70" s="430" t="s">
        <v>855</v>
      </c>
      <c r="C70" s="430" t="s">
        <v>13522</v>
      </c>
      <c r="D70" s="430" t="s">
        <v>594</v>
      </c>
      <c r="E70" s="430" t="s">
        <v>13500</v>
      </c>
      <c r="F70" s="430" t="s">
        <v>334</v>
      </c>
      <c r="G70" s="430" t="s">
        <v>337</v>
      </c>
      <c r="H70" s="430" t="s">
        <v>856</v>
      </c>
      <c r="I70" s="503">
        <v>3</v>
      </c>
      <c r="J70" s="433">
        <v>7.3240260783149005E-2</v>
      </c>
      <c r="K70" s="433" t="s">
        <v>13536</v>
      </c>
      <c r="L70" s="433" t="s">
        <v>13536</v>
      </c>
      <c r="M70" s="433" t="s">
        <v>13536</v>
      </c>
      <c r="N70" s="433" t="s">
        <v>13536</v>
      </c>
      <c r="O70" s="433" t="s">
        <v>13536</v>
      </c>
      <c r="P70" s="433" t="s">
        <v>13536</v>
      </c>
      <c r="Q70" s="433" t="s">
        <v>13536</v>
      </c>
      <c r="R70" s="433" t="s">
        <v>13536</v>
      </c>
      <c r="S70" s="433" t="s">
        <v>13536</v>
      </c>
      <c r="T70" s="433" t="s">
        <v>13536</v>
      </c>
      <c r="U70" s="433" t="s">
        <v>13536</v>
      </c>
      <c r="V70" s="433" t="s">
        <v>13536</v>
      </c>
      <c r="W70" s="433" t="s">
        <v>13536</v>
      </c>
      <c r="X70" s="433" t="s">
        <v>13536</v>
      </c>
      <c r="Y70" s="433" t="s">
        <v>13536</v>
      </c>
      <c r="Z70" s="433" t="s">
        <v>13536</v>
      </c>
      <c r="AA70" s="433" t="s">
        <v>13536</v>
      </c>
      <c r="AB70" s="433" t="s">
        <v>13536</v>
      </c>
      <c r="AC70" s="433" t="s">
        <v>13536</v>
      </c>
      <c r="AD70" s="433" t="s">
        <v>13536</v>
      </c>
      <c r="AE70" s="433" t="s">
        <v>13536</v>
      </c>
      <c r="AF70" s="433" t="s">
        <v>13536</v>
      </c>
      <c r="AG70" s="433" t="s">
        <v>13536</v>
      </c>
      <c r="AH70" s="433" t="s">
        <v>13536</v>
      </c>
      <c r="AI70" s="433" t="s">
        <v>13536</v>
      </c>
      <c r="AJ70" s="433" t="s">
        <v>13536</v>
      </c>
      <c r="AK70" s="433" t="s">
        <v>13536</v>
      </c>
      <c r="AL70" s="433" t="s">
        <v>13536</v>
      </c>
      <c r="AM70" s="433" t="s">
        <v>13536</v>
      </c>
      <c r="AN70" s="433" t="s">
        <v>13536</v>
      </c>
      <c r="AO70" s="433" t="s">
        <v>13536</v>
      </c>
      <c r="AP70" s="433" t="s">
        <v>13536</v>
      </c>
    </row>
    <row r="71" spans="2:42" s="387" customFormat="1">
      <c r="B71" s="387" t="s">
        <v>13541</v>
      </c>
      <c r="C71" s="387" t="s">
        <v>13522</v>
      </c>
      <c r="D71" s="387" t="s">
        <v>334</v>
      </c>
      <c r="E71" s="387" t="s">
        <v>13542</v>
      </c>
      <c r="F71" s="387" t="s">
        <v>334</v>
      </c>
      <c r="G71" s="387" t="s">
        <v>334</v>
      </c>
      <c r="H71" s="387" t="s">
        <v>334</v>
      </c>
      <c r="I71" s="1359">
        <v>0</v>
      </c>
      <c r="J71" s="985">
        <v>3.5000000000000003E-2</v>
      </c>
      <c r="K71" s="985" t="s">
        <v>13536</v>
      </c>
      <c r="L71" s="985" t="s">
        <v>13536</v>
      </c>
      <c r="M71" s="985" t="s">
        <v>13536</v>
      </c>
      <c r="N71" s="985" t="s">
        <v>13536</v>
      </c>
      <c r="O71" s="985" t="s">
        <v>13536</v>
      </c>
      <c r="P71" s="985" t="s">
        <v>13536</v>
      </c>
      <c r="Q71" s="985" t="s">
        <v>13536</v>
      </c>
      <c r="R71" s="985" t="s">
        <v>13536</v>
      </c>
      <c r="S71" s="985" t="s">
        <v>13536</v>
      </c>
      <c r="T71" s="985" t="s">
        <v>13536</v>
      </c>
      <c r="U71" s="985" t="s">
        <v>13536</v>
      </c>
      <c r="V71" s="985" t="s">
        <v>13536</v>
      </c>
      <c r="W71" s="985" t="s">
        <v>13536</v>
      </c>
      <c r="X71" s="985" t="s">
        <v>13536</v>
      </c>
      <c r="Y71" s="985" t="s">
        <v>13536</v>
      </c>
      <c r="Z71" s="985" t="s">
        <v>13536</v>
      </c>
      <c r="AA71" s="985" t="s">
        <v>13536</v>
      </c>
      <c r="AB71" s="985" t="s">
        <v>13536</v>
      </c>
      <c r="AC71" s="985" t="s">
        <v>13536</v>
      </c>
      <c r="AD71" s="985" t="s">
        <v>13536</v>
      </c>
      <c r="AE71" s="985" t="s">
        <v>13536</v>
      </c>
      <c r="AF71" s="985" t="s">
        <v>13536</v>
      </c>
      <c r="AG71" s="985" t="s">
        <v>13536</v>
      </c>
      <c r="AH71" s="985" t="s">
        <v>13536</v>
      </c>
      <c r="AI71" s="985" t="s">
        <v>13536</v>
      </c>
      <c r="AJ71" s="985" t="s">
        <v>13536</v>
      </c>
      <c r="AK71" s="985" t="s">
        <v>13536</v>
      </c>
      <c r="AL71" s="985" t="s">
        <v>13536</v>
      </c>
      <c r="AM71" s="985" t="s">
        <v>13536</v>
      </c>
      <c r="AN71" s="985" t="s">
        <v>13536</v>
      </c>
      <c r="AO71" s="985" t="s">
        <v>13536</v>
      </c>
      <c r="AP71" s="985" t="s">
        <v>13536</v>
      </c>
    </row>
    <row r="72" spans="2:42">
      <c r="B72" s="430" t="s">
        <v>359</v>
      </c>
      <c r="C72" s="430" t="s">
        <v>13530</v>
      </c>
      <c r="D72" s="430" t="s">
        <v>334</v>
      </c>
      <c r="E72" s="430" t="s">
        <v>360</v>
      </c>
      <c r="F72" s="430" t="s">
        <v>334</v>
      </c>
      <c r="G72" s="430" t="s">
        <v>337</v>
      </c>
      <c r="H72" s="430" t="s">
        <v>334</v>
      </c>
      <c r="I72" s="503">
        <v>0</v>
      </c>
      <c r="J72" s="433">
        <v>0.77242500000000003</v>
      </c>
      <c r="K72" s="433" t="s">
        <v>13536</v>
      </c>
      <c r="L72" s="433" t="s">
        <v>13536</v>
      </c>
      <c r="M72" s="433" t="s">
        <v>13536</v>
      </c>
      <c r="N72" s="433" t="s">
        <v>13536</v>
      </c>
      <c r="O72" s="433" t="s">
        <v>13536</v>
      </c>
      <c r="P72" s="433" t="s">
        <v>13536</v>
      </c>
      <c r="Q72" s="433" t="s">
        <v>13536</v>
      </c>
      <c r="R72" s="433" t="s">
        <v>13536</v>
      </c>
      <c r="S72" s="433" t="s">
        <v>13536</v>
      </c>
      <c r="T72" s="433" t="s">
        <v>13536</v>
      </c>
      <c r="U72" s="433" t="s">
        <v>13536</v>
      </c>
      <c r="V72" s="433" t="s">
        <v>13536</v>
      </c>
      <c r="W72" s="433" t="s">
        <v>13536</v>
      </c>
      <c r="X72" s="433" t="s">
        <v>13536</v>
      </c>
      <c r="Y72" s="433" t="s">
        <v>13536</v>
      </c>
      <c r="Z72" s="433" t="s">
        <v>13536</v>
      </c>
      <c r="AA72" s="433" t="s">
        <v>13536</v>
      </c>
      <c r="AB72" s="433" t="s">
        <v>13536</v>
      </c>
      <c r="AC72" s="433" t="s">
        <v>13536</v>
      </c>
      <c r="AD72" s="433" t="s">
        <v>13536</v>
      </c>
      <c r="AE72" s="433" t="s">
        <v>13536</v>
      </c>
      <c r="AF72" s="433" t="s">
        <v>13536</v>
      </c>
      <c r="AG72" s="433" t="s">
        <v>13536</v>
      </c>
      <c r="AH72" s="433" t="s">
        <v>13536</v>
      </c>
      <c r="AI72" s="433" t="s">
        <v>13536</v>
      </c>
      <c r="AJ72" s="433" t="s">
        <v>13536</v>
      </c>
      <c r="AK72" s="433" t="s">
        <v>13536</v>
      </c>
      <c r="AL72" s="433" t="s">
        <v>13536</v>
      </c>
      <c r="AM72" s="433" t="s">
        <v>13536</v>
      </c>
      <c r="AN72" s="433" t="s">
        <v>13536</v>
      </c>
      <c r="AO72" s="433" t="s">
        <v>13536</v>
      </c>
      <c r="AP72" s="433" t="s">
        <v>13536</v>
      </c>
    </row>
    <row r="73" spans="2:42">
      <c r="B73" s="430" t="s">
        <v>357</v>
      </c>
      <c r="C73" s="430" t="s">
        <v>13530</v>
      </c>
      <c r="D73" s="430" t="s">
        <v>13539</v>
      </c>
      <c r="E73" s="430" t="s">
        <v>360</v>
      </c>
      <c r="F73" s="430" t="s">
        <v>334</v>
      </c>
      <c r="G73" s="430" t="s">
        <v>337</v>
      </c>
      <c r="H73" s="430" t="s">
        <v>334</v>
      </c>
      <c r="I73" s="503">
        <v>0</v>
      </c>
      <c r="J73" s="433">
        <v>1.29462407353465E-3</v>
      </c>
      <c r="K73" s="433" t="s">
        <v>13536</v>
      </c>
      <c r="L73" s="433" t="s">
        <v>13536</v>
      </c>
      <c r="M73" s="433" t="s">
        <v>13536</v>
      </c>
      <c r="N73" s="433" t="s">
        <v>13536</v>
      </c>
      <c r="O73" s="433" t="s">
        <v>13536</v>
      </c>
      <c r="P73" s="433" t="s">
        <v>13536</v>
      </c>
      <c r="Q73" s="433" t="s">
        <v>13536</v>
      </c>
      <c r="R73" s="433" t="s">
        <v>13536</v>
      </c>
      <c r="S73" s="433" t="s">
        <v>13536</v>
      </c>
      <c r="T73" s="433" t="s">
        <v>13536</v>
      </c>
      <c r="U73" s="433" t="s">
        <v>13536</v>
      </c>
      <c r="V73" s="433" t="s">
        <v>13536</v>
      </c>
      <c r="W73" s="433" t="s">
        <v>13536</v>
      </c>
      <c r="X73" s="433" t="s">
        <v>13536</v>
      </c>
      <c r="Y73" s="433" t="s">
        <v>13536</v>
      </c>
      <c r="Z73" s="433" t="s">
        <v>13536</v>
      </c>
      <c r="AA73" s="433" t="s">
        <v>13536</v>
      </c>
      <c r="AB73" s="433" t="s">
        <v>13536</v>
      </c>
      <c r="AC73" s="433" t="s">
        <v>13536</v>
      </c>
      <c r="AD73" s="433" t="s">
        <v>13536</v>
      </c>
      <c r="AE73" s="433" t="s">
        <v>13536</v>
      </c>
      <c r="AF73" s="433" t="s">
        <v>13536</v>
      </c>
      <c r="AG73" s="433" t="s">
        <v>13536</v>
      </c>
      <c r="AH73" s="433" t="s">
        <v>13536</v>
      </c>
      <c r="AI73" s="433" t="s">
        <v>13536</v>
      </c>
      <c r="AJ73" s="433" t="s">
        <v>13536</v>
      </c>
      <c r="AK73" s="433" t="s">
        <v>13536</v>
      </c>
      <c r="AL73" s="433" t="s">
        <v>13536</v>
      </c>
      <c r="AM73" s="433" t="s">
        <v>13536</v>
      </c>
      <c r="AN73" s="433" t="s">
        <v>13536</v>
      </c>
      <c r="AO73" s="433" t="s">
        <v>13536</v>
      </c>
      <c r="AP73" s="433" t="s">
        <v>13536</v>
      </c>
    </row>
    <row r="74" spans="2:42">
      <c r="B74" s="430" t="s">
        <v>357</v>
      </c>
      <c r="C74" s="430" t="s">
        <v>13530</v>
      </c>
      <c r="D74" s="430" t="s">
        <v>13540</v>
      </c>
      <c r="E74" s="430" t="s">
        <v>360</v>
      </c>
      <c r="F74" s="430" t="s">
        <v>334</v>
      </c>
      <c r="G74" s="430" t="s">
        <v>337</v>
      </c>
      <c r="H74" s="430" t="s">
        <v>334</v>
      </c>
      <c r="I74" s="503">
        <v>0</v>
      </c>
      <c r="J74" s="433">
        <v>124.60756707771</v>
      </c>
      <c r="K74" s="433" t="s">
        <v>13536</v>
      </c>
      <c r="L74" s="433" t="s">
        <v>13536</v>
      </c>
      <c r="M74" s="433" t="s">
        <v>13536</v>
      </c>
      <c r="N74" s="433" t="s">
        <v>13536</v>
      </c>
      <c r="O74" s="433" t="s">
        <v>13536</v>
      </c>
      <c r="P74" s="433" t="s">
        <v>13536</v>
      </c>
      <c r="Q74" s="433" t="s">
        <v>13536</v>
      </c>
      <c r="R74" s="433" t="s">
        <v>13536</v>
      </c>
      <c r="S74" s="433" t="s">
        <v>13536</v>
      </c>
      <c r="T74" s="433" t="s">
        <v>13536</v>
      </c>
      <c r="U74" s="433" t="s">
        <v>13536</v>
      </c>
      <c r="V74" s="433" t="s">
        <v>13536</v>
      </c>
      <c r="W74" s="433" t="s">
        <v>13536</v>
      </c>
      <c r="X74" s="433" t="s">
        <v>13536</v>
      </c>
      <c r="Y74" s="433" t="s">
        <v>13536</v>
      </c>
      <c r="Z74" s="433" t="s">
        <v>13536</v>
      </c>
      <c r="AA74" s="433" t="s">
        <v>13536</v>
      </c>
      <c r="AB74" s="433" t="s">
        <v>13536</v>
      </c>
      <c r="AC74" s="433" t="s">
        <v>13536</v>
      </c>
      <c r="AD74" s="433" t="s">
        <v>13536</v>
      </c>
      <c r="AE74" s="433" t="s">
        <v>13536</v>
      </c>
      <c r="AF74" s="433" t="s">
        <v>13536</v>
      </c>
      <c r="AG74" s="433" t="s">
        <v>13536</v>
      </c>
      <c r="AH74" s="433" t="s">
        <v>13536</v>
      </c>
      <c r="AI74" s="433" t="s">
        <v>13536</v>
      </c>
      <c r="AJ74" s="433" t="s">
        <v>13536</v>
      </c>
      <c r="AK74" s="433" t="s">
        <v>13536</v>
      </c>
      <c r="AL74" s="433" t="s">
        <v>13536</v>
      </c>
      <c r="AM74" s="433" t="s">
        <v>13536</v>
      </c>
      <c r="AN74" s="433" t="s">
        <v>13536</v>
      </c>
      <c r="AO74" s="433" t="s">
        <v>13536</v>
      </c>
      <c r="AP74" s="433" t="s">
        <v>13536</v>
      </c>
    </row>
    <row r="75" spans="2:42" s="387" customFormat="1">
      <c r="B75" s="387" t="s">
        <v>13541</v>
      </c>
      <c r="C75" s="387" t="s">
        <v>13530</v>
      </c>
      <c r="D75" s="387" t="s">
        <v>334</v>
      </c>
      <c r="E75" s="387" t="s">
        <v>13552</v>
      </c>
      <c r="F75" s="387" t="s">
        <v>334</v>
      </c>
      <c r="G75" s="387" t="s">
        <v>334</v>
      </c>
      <c r="H75" s="387" t="s">
        <v>334</v>
      </c>
      <c r="I75" s="1359">
        <v>0</v>
      </c>
      <c r="J75" s="985">
        <v>0.108</v>
      </c>
      <c r="K75" s="985" t="s">
        <v>13536</v>
      </c>
      <c r="L75" s="985" t="s">
        <v>13536</v>
      </c>
      <c r="M75" s="985" t="s">
        <v>13536</v>
      </c>
      <c r="N75" s="985" t="s">
        <v>13536</v>
      </c>
      <c r="O75" s="985" t="s">
        <v>13536</v>
      </c>
      <c r="P75" s="985" t="s">
        <v>13536</v>
      </c>
      <c r="Q75" s="985" t="s">
        <v>13536</v>
      </c>
      <c r="R75" s="985" t="s">
        <v>13536</v>
      </c>
      <c r="S75" s="985" t="s">
        <v>13536</v>
      </c>
      <c r="T75" s="985" t="s">
        <v>13536</v>
      </c>
      <c r="U75" s="985" t="s">
        <v>13536</v>
      </c>
      <c r="V75" s="985" t="s">
        <v>13536</v>
      </c>
      <c r="W75" s="985" t="s">
        <v>13536</v>
      </c>
      <c r="X75" s="985" t="s">
        <v>13536</v>
      </c>
      <c r="Y75" s="985" t="s">
        <v>13536</v>
      </c>
      <c r="Z75" s="985" t="s">
        <v>13536</v>
      </c>
      <c r="AA75" s="985" t="s">
        <v>13536</v>
      </c>
      <c r="AB75" s="985" t="s">
        <v>13536</v>
      </c>
      <c r="AC75" s="985" t="s">
        <v>13536</v>
      </c>
      <c r="AD75" s="985" t="s">
        <v>13536</v>
      </c>
      <c r="AE75" s="985" t="s">
        <v>13536</v>
      </c>
      <c r="AF75" s="985" t="s">
        <v>13536</v>
      </c>
      <c r="AG75" s="985" t="s">
        <v>13536</v>
      </c>
      <c r="AH75" s="985" t="s">
        <v>13536</v>
      </c>
      <c r="AI75" s="985" t="s">
        <v>13536</v>
      </c>
      <c r="AJ75" s="985" t="s">
        <v>13536</v>
      </c>
      <c r="AK75" s="985" t="s">
        <v>13536</v>
      </c>
      <c r="AL75" s="985" t="s">
        <v>13536</v>
      </c>
      <c r="AM75" s="985" t="s">
        <v>13536</v>
      </c>
      <c r="AN75" s="985" t="s">
        <v>13536</v>
      </c>
      <c r="AO75" s="985" t="s">
        <v>13536</v>
      </c>
      <c r="AP75" s="985" t="s">
        <v>13536</v>
      </c>
    </row>
    <row r="76" spans="2:42">
      <c r="B76" s="430" t="s">
        <v>359</v>
      </c>
      <c r="C76" s="430" t="s">
        <v>13532</v>
      </c>
      <c r="D76" s="430" t="s">
        <v>334</v>
      </c>
      <c r="E76" s="430" t="s">
        <v>360</v>
      </c>
      <c r="F76" s="430" t="s">
        <v>334</v>
      </c>
      <c r="G76" s="430" t="s">
        <v>337</v>
      </c>
      <c r="H76" s="430" t="s">
        <v>334</v>
      </c>
      <c r="I76" s="503">
        <v>0</v>
      </c>
      <c r="J76" s="433">
        <v>0.72242499999999998</v>
      </c>
      <c r="K76" s="433" t="s">
        <v>13536</v>
      </c>
      <c r="L76" s="433" t="s">
        <v>13536</v>
      </c>
      <c r="M76" s="433" t="s">
        <v>13536</v>
      </c>
      <c r="N76" s="433" t="s">
        <v>13536</v>
      </c>
      <c r="O76" s="433" t="s">
        <v>13536</v>
      </c>
      <c r="P76" s="433" t="s">
        <v>13536</v>
      </c>
      <c r="Q76" s="433" t="s">
        <v>13536</v>
      </c>
      <c r="R76" s="433" t="s">
        <v>13536</v>
      </c>
      <c r="S76" s="433" t="s">
        <v>13536</v>
      </c>
      <c r="T76" s="433" t="s">
        <v>13536</v>
      </c>
      <c r="U76" s="433" t="s">
        <v>13536</v>
      </c>
      <c r="V76" s="433" t="s">
        <v>13536</v>
      </c>
      <c r="W76" s="433" t="s">
        <v>13536</v>
      </c>
      <c r="X76" s="433" t="s">
        <v>13536</v>
      </c>
      <c r="Y76" s="433" t="s">
        <v>13536</v>
      </c>
      <c r="Z76" s="433" t="s">
        <v>13536</v>
      </c>
      <c r="AA76" s="433" t="s">
        <v>13536</v>
      </c>
      <c r="AB76" s="433" t="s">
        <v>13536</v>
      </c>
      <c r="AC76" s="433" t="s">
        <v>13536</v>
      </c>
      <c r="AD76" s="433" t="s">
        <v>13536</v>
      </c>
      <c r="AE76" s="433" t="s">
        <v>13536</v>
      </c>
      <c r="AF76" s="433" t="s">
        <v>13536</v>
      </c>
      <c r="AG76" s="433" t="s">
        <v>13536</v>
      </c>
      <c r="AH76" s="433" t="s">
        <v>13536</v>
      </c>
      <c r="AI76" s="433" t="s">
        <v>13536</v>
      </c>
      <c r="AJ76" s="433" t="s">
        <v>13536</v>
      </c>
      <c r="AK76" s="433" t="s">
        <v>13536</v>
      </c>
      <c r="AL76" s="433" t="s">
        <v>13536</v>
      </c>
      <c r="AM76" s="433" t="s">
        <v>13536</v>
      </c>
      <c r="AN76" s="433" t="s">
        <v>13536</v>
      </c>
      <c r="AO76" s="433" t="s">
        <v>13536</v>
      </c>
      <c r="AP76" s="433" t="s">
        <v>13536</v>
      </c>
    </row>
    <row r="77" spans="2:42">
      <c r="B77" s="430" t="s">
        <v>357</v>
      </c>
      <c r="C77" s="430" t="s">
        <v>13532</v>
      </c>
      <c r="D77" s="430" t="s">
        <v>13539</v>
      </c>
      <c r="E77" s="430" t="s">
        <v>360</v>
      </c>
      <c r="F77" s="430" t="s">
        <v>334</v>
      </c>
      <c r="G77" s="430" t="s">
        <v>337</v>
      </c>
      <c r="H77" s="430" t="s">
        <v>334</v>
      </c>
      <c r="I77" s="503">
        <v>0</v>
      </c>
      <c r="J77" s="433">
        <v>1.3842267363394099E-3</v>
      </c>
      <c r="K77" s="433" t="s">
        <v>13536</v>
      </c>
      <c r="L77" s="433" t="s">
        <v>13536</v>
      </c>
      <c r="M77" s="433" t="s">
        <v>13536</v>
      </c>
      <c r="N77" s="433" t="s">
        <v>13536</v>
      </c>
      <c r="O77" s="433" t="s">
        <v>13536</v>
      </c>
      <c r="P77" s="433" t="s">
        <v>13536</v>
      </c>
      <c r="Q77" s="433" t="s">
        <v>13536</v>
      </c>
      <c r="R77" s="433" t="s">
        <v>13536</v>
      </c>
      <c r="S77" s="433" t="s">
        <v>13536</v>
      </c>
      <c r="T77" s="433" t="s">
        <v>13536</v>
      </c>
      <c r="U77" s="433" t="s">
        <v>13536</v>
      </c>
      <c r="V77" s="433" t="s">
        <v>13536</v>
      </c>
      <c r="W77" s="433" t="s">
        <v>13536</v>
      </c>
      <c r="X77" s="433" t="s">
        <v>13536</v>
      </c>
      <c r="Y77" s="433" t="s">
        <v>13536</v>
      </c>
      <c r="Z77" s="433" t="s">
        <v>13536</v>
      </c>
      <c r="AA77" s="433" t="s">
        <v>13536</v>
      </c>
      <c r="AB77" s="433" t="s">
        <v>13536</v>
      </c>
      <c r="AC77" s="433" t="s">
        <v>13536</v>
      </c>
      <c r="AD77" s="433" t="s">
        <v>13536</v>
      </c>
      <c r="AE77" s="433" t="s">
        <v>13536</v>
      </c>
      <c r="AF77" s="433" t="s">
        <v>13536</v>
      </c>
      <c r="AG77" s="433" t="s">
        <v>13536</v>
      </c>
      <c r="AH77" s="433" t="s">
        <v>13536</v>
      </c>
      <c r="AI77" s="433" t="s">
        <v>13536</v>
      </c>
      <c r="AJ77" s="433" t="s">
        <v>13536</v>
      </c>
      <c r="AK77" s="433" t="s">
        <v>13536</v>
      </c>
      <c r="AL77" s="433" t="s">
        <v>13536</v>
      </c>
      <c r="AM77" s="433" t="s">
        <v>13536</v>
      </c>
      <c r="AN77" s="433" t="s">
        <v>13536</v>
      </c>
      <c r="AO77" s="433" t="s">
        <v>13536</v>
      </c>
      <c r="AP77" s="433" t="s">
        <v>13536</v>
      </c>
    </row>
    <row r="78" spans="2:42">
      <c r="B78" s="430" t="s">
        <v>357</v>
      </c>
      <c r="C78" s="430" t="s">
        <v>13532</v>
      </c>
      <c r="D78" s="430" t="s">
        <v>13540</v>
      </c>
      <c r="E78" s="430" t="s">
        <v>360</v>
      </c>
      <c r="F78" s="430" t="s">
        <v>334</v>
      </c>
      <c r="G78" s="430" t="s">
        <v>337</v>
      </c>
      <c r="H78" s="430" t="s">
        <v>334</v>
      </c>
      <c r="I78" s="503">
        <v>0</v>
      </c>
      <c r="J78" s="433">
        <v>133.231823372668</v>
      </c>
      <c r="K78" s="433" t="s">
        <v>13536</v>
      </c>
      <c r="L78" s="433" t="s">
        <v>13536</v>
      </c>
      <c r="M78" s="433" t="s">
        <v>13536</v>
      </c>
      <c r="N78" s="433" t="s">
        <v>13536</v>
      </c>
      <c r="O78" s="433" t="s">
        <v>13536</v>
      </c>
      <c r="P78" s="433" t="s">
        <v>13536</v>
      </c>
      <c r="Q78" s="433" t="s">
        <v>13536</v>
      </c>
      <c r="R78" s="433" t="s">
        <v>13536</v>
      </c>
      <c r="S78" s="433" t="s">
        <v>13536</v>
      </c>
      <c r="T78" s="433" t="s">
        <v>13536</v>
      </c>
      <c r="U78" s="433" t="s">
        <v>13536</v>
      </c>
      <c r="V78" s="433" t="s">
        <v>13536</v>
      </c>
      <c r="W78" s="433" t="s">
        <v>13536</v>
      </c>
      <c r="X78" s="433" t="s">
        <v>13536</v>
      </c>
      <c r="Y78" s="433" t="s">
        <v>13536</v>
      </c>
      <c r="Z78" s="433" t="s">
        <v>13536</v>
      </c>
      <c r="AA78" s="433" t="s">
        <v>13536</v>
      </c>
      <c r="AB78" s="433" t="s">
        <v>13536</v>
      </c>
      <c r="AC78" s="433" t="s">
        <v>13536</v>
      </c>
      <c r="AD78" s="433" t="s">
        <v>13536</v>
      </c>
      <c r="AE78" s="433" t="s">
        <v>13536</v>
      </c>
      <c r="AF78" s="433" t="s">
        <v>13536</v>
      </c>
      <c r="AG78" s="433" t="s">
        <v>13536</v>
      </c>
      <c r="AH78" s="433" t="s">
        <v>13536</v>
      </c>
      <c r="AI78" s="433" t="s">
        <v>13536</v>
      </c>
      <c r="AJ78" s="433" t="s">
        <v>13536</v>
      </c>
      <c r="AK78" s="433" t="s">
        <v>13536</v>
      </c>
      <c r="AL78" s="433" t="s">
        <v>13536</v>
      </c>
      <c r="AM78" s="433" t="s">
        <v>13536</v>
      </c>
      <c r="AN78" s="433" t="s">
        <v>13536</v>
      </c>
      <c r="AO78" s="433" t="s">
        <v>13536</v>
      </c>
      <c r="AP78" s="433" t="s">
        <v>13536</v>
      </c>
    </row>
    <row r="79" spans="2:42">
      <c r="B79" s="430" t="s">
        <v>13541</v>
      </c>
      <c r="C79" s="430" t="s">
        <v>13532</v>
      </c>
      <c r="D79" s="430" t="s">
        <v>334</v>
      </c>
      <c r="E79" s="430" t="s">
        <v>13543</v>
      </c>
      <c r="F79" s="430" t="s">
        <v>334</v>
      </c>
      <c r="G79" s="430" t="s">
        <v>334</v>
      </c>
      <c r="H79" s="430" t="s">
        <v>334</v>
      </c>
      <c r="I79" s="503">
        <v>0</v>
      </c>
      <c r="J79" s="433">
        <v>0.108</v>
      </c>
      <c r="K79" s="433" t="s">
        <v>13536</v>
      </c>
      <c r="L79" s="433" t="s">
        <v>13536</v>
      </c>
      <c r="M79" s="433" t="s">
        <v>13536</v>
      </c>
      <c r="N79" s="433" t="s">
        <v>13536</v>
      </c>
      <c r="O79" s="433" t="s">
        <v>13536</v>
      </c>
      <c r="P79" s="433" t="s">
        <v>13536</v>
      </c>
      <c r="Q79" s="433" t="s">
        <v>13536</v>
      </c>
      <c r="R79" s="433" t="s">
        <v>13536</v>
      </c>
      <c r="S79" s="433" t="s">
        <v>13536</v>
      </c>
      <c r="T79" s="433" t="s">
        <v>13536</v>
      </c>
      <c r="U79" s="433" t="s">
        <v>13536</v>
      </c>
      <c r="V79" s="433" t="s">
        <v>13536</v>
      </c>
      <c r="W79" s="433" t="s">
        <v>13536</v>
      </c>
      <c r="X79" s="433" t="s">
        <v>13536</v>
      </c>
      <c r="Y79" s="433" t="s">
        <v>13536</v>
      </c>
      <c r="Z79" s="433" t="s">
        <v>13536</v>
      </c>
      <c r="AA79" s="433" t="s">
        <v>13536</v>
      </c>
      <c r="AB79" s="433" t="s">
        <v>13536</v>
      </c>
      <c r="AC79" s="433" t="s">
        <v>13536</v>
      </c>
      <c r="AD79" s="433" t="s">
        <v>13536</v>
      </c>
      <c r="AE79" s="433" t="s">
        <v>13536</v>
      </c>
      <c r="AF79" s="433" t="s">
        <v>13536</v>
      </c>
      <c r="AG79" s="433" t="s">
        <v>13536</v>
      </c>
      <c r="AH79" s="433" t="s">
        <v>13536</v>
      </c>
      <c r="AI79" s="433" t="s">
        <v>13536</v>
      </c>
      <c r="AJ79" s="433" t="s">
        <v>13536</v>
      </c>
      <c r="AK79" s="433" t="s">
        <v>13536</v>
      </c>
      <c r="AL79" s="433" t="s">
        <v>13536</v>
      </c>
      <c r="AM79" s="433" t="s">
        <v>13536</v>
      </c>
      <c r="AN79" s="433" t="s">
        <v>13536</v>
      </c>
      <c r="AO79" s="433" t="s">
        <v>13536</v>
      </c>
      <c r="AP79" s="433" t="s">
        <v>13536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1805</v>
      </c>
      <c r="E2" s="430" t="s">
        <v>13496</v>
      </c>
      <c r="F2" s="430" t="s">
        <v>334</v>
      </c>
      <c r="G2" s="430" t="s">
        <v>334</v>
      </c>
      <c r="H2" s="430" t="s">
        <v>334</v>
      </c>
      <c r="I2" s="430">
        <v>1</v>
      </c>
    </row>
    <row r="3" spans="1:9">
      <c r="B3" s="430" t="s">
        <v>862</v>
      </c>
      <c r="C3" s="430" t="s">
        <v>334</v>
      </c>
      <c r="D3" s="430" t="s">
        <v>1805</v>
      </c>
      <c r="E3" s="430" t="s">
        <v>13500</v>
      </c>
      <c r="F3" s="430" t="s">
        <v>334</v>
      </c>
      <c r="G3" s="430" t="s">
        <v>334</v>
      </c>
      <c r="H3" s="430" t="s">
        <v>334</v>
      </c>
      <c r="I3" s="430">
        <v>1</v>
      </c>
    </row>
    <row r="4" spans="1:9">
      <c r="B4" s="430" t="s">
        <v>862</v>
      </c>
      <c r="C4" s="430" t="s">
        <v>334</v>
      </c>
      <c r="D4" s="430" t="s">
        <v>1805</v>
      </c>
      <c r="E4" s="430" t="s">
        <v>13504</v>
      </c>
      <c r="F4" s="430" t="s">
        <v>334</v>
      </c>
      <c r="G4" s="430" t="s">
        <v>334</v>
      </c>
      <c r="H4" s="430" t="s">
        <v>334</v>
      </c>
      <c r="I4" s="430">
        <v>1</v>
      </c>
    </row>
    <row r="5" spans="1:9">
      <c r="B5" s="430" t="s">
        <v>862</v>
      </c>
      <c r="C5" s="430" t="s">
        <v>334</v>
      </c>
      <c r="D5" s="430" t="s">
        <v>1805</v>
      </c>
      <c r="E5" s="430" t="s">
        <v>13506</v>
      </c>
      <c r="F5" s="430" t="s">
        <v>334</v>
      </c>
      <c r="G5" s="430" t="s">
        <v>334</v>
      </c>
      <c r="H5" s="430" t="s">
        <v>334</v>
      </c>
      <c r="I5" s="430">
        <v>1</v>
      </c>
    </row>
    <row r="6" spans="1:9">
      <c r="B6" s="430" t="s">
        <v>862</v>
      </c>
      <c r="C6" s="430" t="s">
        <v>334</v>
      </c>
      <c r="D6" s="430" t="s">
        <v>558</v>
      </c>
      <c r="E6" s="430" t="s">
        <v>13496</v>
      </c>
      <c r="F6" s="430" t="s">
        <v>334</v>
      </c>
      <c r="G6" s="430" t="s">
        <v>334</v>
      </c>
      <c r="H6" s="430" t="s">
        <v>334</v>
      </c>
      <c r="I6" s="430">
        <v>1</v>
      </c>
    </row>
    <row r="7" spans="1:9">
      <c r="B7" s="430" t="s">
        <v>862</v>
      </c>
      <c r="C7" s="430" t="s">
        <v>334</v>
      </c>
      <c r="D7" s="430" t="s">
        <v>558</v>
      </c>
      <c r="E7" s="430" t="s">
        <v>13500</v>
      </c>
      <c r="F7" s="430" t="s">
        <v>334</v>
      </c>
      <c r="G7" s="430" t="s">
        <v>334</v>
      </c>
      <c r="H7" s="430" t="s">
        <v>334</v>
      </c>
      <c r="I7" s="430">
        <v>1</v>
      </c>
    </row>
    <row r="8" spans="1:9">
      <c r="B8" s="430" t="s">
        <v>862</v>
      </c>
      <c r="C8" s="430" t="s">
        <v>334</v>
      </c>
      <c r="D8" s="430" t="s">
        <v>558</v>
      </c>
      <c r="E8" s="430" t="s">
        <v>13504</v>
      </c>
      <c r="F8" s="430" t="s">
        <v>334</v>
      </c>
      <c r="G8" s="430" t="s">
        <v>334</v>
      </c>
      <c r="H8" s="430" t="s">
        <v>334</v>
      </c>
      <c r="I8" s="430">
        <v>1</v>
      </c>
    </row>
    <row r="9" spans="1:9">
      <c r="B9" s="430" t="s">
        <v>862</v>
      </c>
      <c r="C9" s="430" t="s">
        <v>334</v>
      </c>
      <c r="D9" s="430" t="s">
        <v>558</v>
      </c>
      <c r="E9" s="430" t="s">
        <v>13506</v>
      </c>
      <c r="F9" s="430" t="s">
        <v>334</v>
      </c>
      <c r="G9" s="430" t="s">
        <v>334</v>
      </c>
      <c r="H9" s="430" t="s">
        <v>334</v>
      </c>
      <c r="I9" s="430">
        <v>1</v>
      </c>
    </row>
    <row r="10" spans="1:9">
      <c r="B10" s="430" t="s">
        <v>862</v>
      </c>
      <c r="C10" s="430" t="s">
        <v>334</v>
      </c>
      <c r="D10" s="430" t="s">
        <v>558</v>
      </c>
      <c r="E10" s="430" t="s">
        <v>13508</v>
      </c>
      <c r="F10" s="430" t="s">
        <v>334</v>
      </c>
      <c r="G10" s="430" t="s">
        <v>334</v>
      </c>
      <c r="H10" s="430" t="s">
        <v>334</v>
      </c>
      <c r="I10" s="430">
        <v>1</v>
      </c>
    </row>
    <row r="11" spans="1:9">
      <c r="B11" s="430" t="s">
        <v>862</v>
      </c>
      <c r="C11" s="430" t="s">
        <v>334</v>
      </c>
      <c r="D11" s="430" t="s">
        <v>558</v>
      </c>
      <c r="E11" s="430" t="s">
        <v>13511</v>
      </c>
      <c r="F11" s="430" t="s">
        <v>334</v>
      </c>
      <c r="G11" s="430" t="s">
        <v>334</v>
      </c>
      <c r="H11" s="430" t="s">
        <v>334</v>
      </c>
      <c r="I11" s="430">
        <v>1</v>
      </c>
    </row>
    <row r="12" spans="1:9">
      <c r="B12" s="430" t="s">
        <v>862</v>
      </c>
      <c r="C12" s="430" t="s">
        <v>334</v>
      </c>
      <c r="D12" s="430" t="s">
        <v>555</v>
      </c>
      <c r="E12" s="430" t="s">
        <v>13496</v>
      </c>
      <c r="F12" s="430" t="s">
        <v>334</v>
      </c>
      <c r="G12" s="430" t="s">
        <v>334</v>
      </c>
      <c r="H12" s="430" t="s">
        <v>334</v>
      </c>
      <c r="I12" s="430">
        <v>1</v>
      </c>
    </row>
    <row r="13" spans="1:9">
      <c r="B13" s="430" t="s">
        <v>862</v>
      </c>
      <c r="C13" s="430" t="s">
        <v>334</v>
      </c>
      <c r="D13" s="430" t="s">
        <v>555</v>
      </c>
      <c r="E13" s="430" t="s">
        <v>13500</v>
      </c>
      <c r="F13" s="430" t="s">
        <v>334</v>
      </c>
      <c r="G13" s="430" t="s">
        <v>334</v>
      </c>
      <c r="H13" s="430" t="s">
        <v>334</v>
      </c>
      <c r="I13" s="430">
        <v>1</v>
      </c>
    </row>
    <row r="14" spans="1:9">
      <c r="B14" s="430" t="s">
        <v>862</v>
      </c>
      <c r="C14" s="430" t="s">
        <v>334</v>
      </c>
      <c r="D14" s="430" t="s">
        <v>555</v>
      </c>
      <c r="E14" s="430" t="s">
        <v>13504</v>
      </c>
      <c r="F14" s="430" t="s">
        <v>334</v>
      </c>
      <c r="G14" s="430" t="s">
        <v>334</v>
      </c>
      <c r="H14" s="430" t="s">
        <v>334</v>
      </c>
      <c r="I14" s="430">
        <v>1</v>
      </c>
    </row>
    <row r="15" spans="1:9">
      <c r="B15" s="430" t="s">
        <v>862</v>
      </c>
      <c r="C15" s="430" t="s">
        <v>334</v>
      </c>
      <c r="D15" s="430" t="s">
        <v>555</v>
      </c>
      <c r="E15" s="430" t="s">
        <v>13506</v>
      </c>
      <c r="F15" s="430" t="s">
        <v>334</v>
      </c>
      <c r="G15" s="430" t="s">
        <v>334</v>
      </c>
      <c r="H15" s="430" t="s">
        <v>334</v>
      </c>
      <c r="I15" s="430">
        <v>1</v>
      </c>
    </row>
    <row r="16" spans="1:9">
      <c r="B16" s="430" t="s">
        <v>862</v>
      </c>
      <c r="C16" s="430" t="s">
        <v>334</v>
      </c>
      <c r="D16" s="430" t="s">
        <v>555</v>
      </c>
      <c r="E16" s="430" t="s">
        <v>13508</v>
      </c>
      <c r="F16" s="430" t="s">
        <v>334</v>
      </c>
      <c r="G16" s="430" t="s">
        <v>334</v>
      </c>
      <c r="H16" s="430" t="s">
        <v>334</v>
      </c>
      <c r="I16" s="430">
        <v>1</v>
      </c>
    </row>
    <row r="17" spans="2:9">
      <c r="B17" s="430" t="s">
        <v>862</v>
      </c>
      <c r="C17" s="430" t="s">
        <v>334</v>
      </c>
      <c r="D17" s="430" t="s">
        <v>555</v>
      </c>
      <c r="E17" s="430" t="s">
        <v>13511</v>
      </c>
      <c r="F17" s="430" t="s">
        <v>334</v>
      </c>
      <c r="G17" s="430" t="s">
        <v>334</v>
      </c>
      <c r="H17" s="430" t="s">
        <v>334</v>
      </c>
      <c r="I17" s="430">
        <v>1</v>
      </c>
    </row>
    <row r="18" spans="2:9">
      <c r="B18" s="430" t="s">
        <v>862</v>
      </c>
      <c r="C18" s="430" t="s">
        <v>334</v>
      </c>
      <c r="D18" s="430" t="s">
        <v>547</v>
      </c>
      <c r="E18" s="430" t="s">
        <v>13496</v>
      </c>
      <c r="F18" s="430" t="s">
        <v>334</v>
      </c>
      <c r="G18" s="430" t="s">
        <v>334</v>
      </c>
      <c r="H18" s="430" t="s">
        <v>334</v>
      </c>
      <c r="I18" s="430">
        <v>1</v>
      </c>
    </row>
    <row r="19" spans="2:9">
      <c r="B19" s="430" t="s">
        <v>862</v>
      </c>
      <c r="C19" s="430" t="s">
        <v>334</v>
      </c>
      <c r="D19" s="430" t="s">
        <v>547</v>
      </c>
      <c r="E19" s="430" t="s">
        <v>13500</v>
      </c>
      <c r="F19" s="430" t="s">
        <v>334</v>
      </c>
      <c r="G19" s="430" t="s">
        <v>334</v>
      </c>
      <c r="H19" s="430" t="s">
        <v>334</v>
      </c>
      <c r="I19" s="430">
        <v>1</v>
      </c>
    </row>
    <row r="20" spans="2:9">
      <c r="B20" s="430" t="s">
        <v>862</v>
      </c>
      <c r="C20" s="430" t="s">
        <v>334</v>
      </c>
      <c r="D20" s="430" t="s">
        <v>547</v>
      </c>
      <c r="E20" s="430" t="s">
        <v>13504</v>
      </c>
      <c r="F20" s="430" t="s">
        <v>334</v>
      </c>
      <c r="G20" s="430" t="s">
        <v>334</v>
      </c>
      <c r="H20" s="430" t="s">
        <v>334</v>
      </c>
      <c r="I20" s="430">
        <v>1</v>
      </c>
    </row>
    <row r="21" spans="2:9">
      <c r="B21" s="430" t="s">
        <v>862</v>
      </c>
      <c r="C21" s="430" t="s">
        <v>334</v>
      </c>
      <c r="D21" s="430" t="s">
        <v>547</v>
      </c>
      <c r="E21" s="430" t="s">
        <v>13506</v>
      </c>
      <c r="F21" s="430" t="s">
        <v>334</v>
      </c>
      <c r="G21" s="430" t="s">
        <v>334</v>
      </c>
      <c r="H21" s="430" t="s">
        <v>334</v>
      </c>
      <c r="I21" s="430">
        <v>1</v>
      </c>
    </row>
    <row r="22" spans="2:9">
      <c r="B22" s="430" t="s">
        <v>862</v>
      </c>
      <c r="C22" s="430" t="s">
        <v>334</v>
      </c>
      <c r="D22" s="430" t="s">
        <v>547</v>
      </c>
      <c r="E22" s="430" t="s">
        <v>13508</v>
      </c>
      <c r="F22" s="430" t="s">
        <v>334</v>
      </c>
      <c r="G22" s="430" t="s">
        <v>334</v>
      </c>
      <c r="H22" s="430" t="s">
        <v>334</v>
      </c>
      <c r="I22" s="430">
        <v>1</v>
      </c>
    </row>
    <row r="23" spans="2:9">
      <c r="B23" s="430" t="s">
        <v>862</v>
      </c>
      <c r="C23" s="430" t="s">
        <v>334</v>
      </c>
      <c r="D23" s="430" t="s">
        <v>547</v>
      </c>
      <c r="E23" s="430" t="s">
        <v>13511</v>
      </c>
      <c r="F23" s="430" t="s">
        <v>334</v>
      </c>
      <c r="G23" s="430" t="s">
        <v>334</v>
      </c>
      <c r="H23" s="430" t="s">
        <v>334</v>
      </c>
      <c r="I23" s="430">
        <v>1</v>
      </c>
    </row>
    <row r="24" spans="2:9">
      <c r="B24" s="430" t="s">
        <v>862</v>
      </c>
      <c r="C24" s="430" t="s">
        <v>334</v>
      </c>
      <c r="D24" s="430" t="s">
        <v>549</v>
      </c>
      <c r="E24" s="430" t="s">
        <v>13508</v>
      </c>
      <c r="F24" s="430" t="s">
        <v>334</v>
      </c>
      <c r="G24" s="430" t="s">
        <v>334</v>
      </c>
      <c r="H24" s="430" t="s">
        <v>334</v>
      </c>
      <c r="I24" s="430">
        <v>1</v>
      </c>
    </row>
    <row r="25" spans="2:9">
      <c r="B25" s="430" t="s">
        <v>862</v>
      </c>
      <c r="C25" s="430" t="s">
        <v>334</v>
      </c>
      <c r="D25" s="430" t="s">
        <v>549</v>
      </c>
      <c r="E25" s="430" t="s">
        <v>13511</v>
      </c>
      <c r="F25" s="430" t="s">
        <v>334</v>
      </c>
      <c r="G25" s="430" t="s">
        <v>334</v>
      </c>
      <c r="H25" s="430" t="s">
        <v>334</v>
      </c>
      <c r="I25" s="430">
        <v>1</v>
      </c>
    </row>
    <row r="26" spans="2:9">
      <c r="B26" s="430" t="s">
        <v>862</v>
      </c>
      <c r="C26" s="430" t="s">
        <v>334</v>
      </c>
      <c r="D26" s="430" t="s">
        <v>592</v>
      </c>
      <c r="E26" s="430" t="s">
        <v>13496</v>
      </c>
      <c r="F26" s="430" t="s">
        <v>334</v>
      </c>
      <c r="G26" s="430" t="s">
        <v>334</v>
      </c>
      <c r="H26" s="430" t="s">
        <v>334</v>
      </c>
      <c r="I26" s="430">
        <v>1</v>
      </c>
    </row>
    <row r="27" spans="2:9">
      <c r="B27" s="430" t="s">
        <v>862</v>
      </c>
      <c r="C27" s="430" t="s">
        <v>334</v>
      </c>
      <c r="D27" s="430" t="s">
        <v>592</v>
      </c>
      <c r="E27" s="430" t="s">
        <v>13500</v>
      </c>
      <c r="F27" s="430" t="s">
        <v>334</v>
      </c>
      <c r="G27" s="430" t="s">
        <v>334</v>
      </c>
      <c r="H27" s="430" t="s">
        <v>334</v>
      </c>
      <c r="I27" s="430">
        <v>1</v>
      </c>
    </row>
    <row r="28" spans="2:9">
      <c r="B28" s="430" t="s">
        <v>862</v>
      </c>
      <c r="C28" s="430" t="s">
        <v>334</v>
      </c>
      <c r="D28" s="430" t="s">
        <v>592</v>
      </c>
      <c r="E28" s="430" t="s">
        <v>13504</v>
      </c>
      <c r="F28" s="430" t="s">
        <v>334</v>
      </c>
      <c r="G28" s="430" t="s">
        <v>334</v>
      </c>
      <c r="H28" s="430" t="s">
        <v>334</v>
      </c>
      <c r="I28" s="430">
        <v>1</v>
      </c>
    </row>
    <row r="29" spans="2:9">
      <c r="B29" s="430" t="s">
        <v>862</v>
      </c>
      <c r="C29" s="430" t="s">
        <v>334</v>
      </c>
      <c r="D29" s="430" t="s">
        <v>592</v>
      </c>
      <c r="E29" s="430" t="s">
        <v>13506</v>
      </c>
      <c r="F29" s="430" t="s">
        <v>334</v>
      </c>
      <c r="G29" s="430" t="s">
        <v>334</v>
      </c>
      <c r="H29" s="430" t="s">
        <v>334</v>
      </c>
      <c r="I29" s="430">
        <v>1</v>
      </c>
    </row>
    <row r="30" spans="2:9">
      <c r="B30" s="430" t="s">
        <v>862</v>
      </c>
      <c r="C30" s="430" t="s">
        <v>334</v>
      </c>
      <c r="D30" s="430" t="s">
        <v>592</v>
      </c>
      <c r="E30" s="430" t="s">
        <v>13508</v>
      </c>
      <c r="F30" s="430" t="s">
        <v>334</v>
      </c>
      <c r="G30" s="430" t="s">
        <v>334</v>
      </c>
      <c r="H30" s="430" t="s">
        <v>334</v>
      </c>
      <c r="I30" s="430">
        <v>1</v>
      </c>
    </row>
    <row r="31" spans="2:9">
      <c r="B31" s="430" t="s">
        <v>862</v>
      </c>
      <c r="C31" s="430" t="s">
        <v>334</v>
      </c>
      <c r="D31" s="430" t="s">
        <v>592</v>
      </c>
      <c r="E31" s="430" t="s">
        <v>13511</v>
      </c>
      <c r="F31" s="430" t="s">
        <v>334</v>
      </c>
      <c r="G31" s="430" t="s">
        <v>334</v>
      </c>
      <c r="H31" s="430" t="s">
        <v>334</v>
      </c>
      <c r="I31" s="430">
        <v>1</v>
      </c>
    </row>
    <row r="32" spans="2:9">
      <c r="B32" s="430" t="s">
        <v>862</v>
      </c>
      <c r="C32" s="430" t="s">
        <v>334</v>
      </c>
      <c r="D32" s="430" t="s">
        <v>551</v>
      </c>
      <c r="E32" s="430" t="s">
        <v>13496</v>
      </c>
      <c r="F32" s="430" t="s">
        <v>334</v>
      </c>
      <c r="G32" s="430" t="s">
        <v>334</v>
      </c>
      <c r="H32" s="430" t="s">
        <v>334</v>
      </c>
      <c r="I32" s="430">
        <v>1</v>
      </c>
    </row>
    <row r="33" spans="2:9">
      <c r="B33" s="430" t="s">
        <v>862</v>
      </c>
      <c r="C33" s="430" t="s">
        <v>334</v>
      </c>
      <c r="D33" s="430" t="s">
        <v>551</v>
      </c>
      <c r="E33" s="430" t="s">
        <v>13500</v>
      </c>
      <c r="F33" s="430" t="s">
        <v>334</v>
      </c>
      <c r="G33" s="430" t="s">
        <v>334</v>
      </c>
      <c r="H33" s="430" t="s">
        <v>334</v>
      </c>
      <c r="I33" s="430">
        <v>1</v>
      </c>
    </row>
    <row r="34" spans="2:9">
      <c r="B34" s="430" t="s">
        <v>862</v>
      </c>
      <c r="C34" s="430" t="s">
        <v>334</v>
      </c>
      <c r="D34" s="430" t="s">
        <v>551</v>
      </c>
      <c r="E34" s="430" t="s">
        <v>13504</v>
      </c>
      <c r="F34" s="430" t="s">
        <v>334</v>
      </c>
      <c r="G34" s="430" t="s">
        <v>334</v>
      </c>
      <c r="H34" s="430" t="s">
        <v>334</v>
      </c>
      <c r="I34" s="430">
        <v>1</v>
      </c>
    </row>
    <row r="35" spans="2:9">
      <c r="B35" s="430" t="s">
        <v>862</v>
      </c>
      <c r="C35" s="430" t="s">
        <v>334</v>
      </c>
      <c r="D35" s="430" t="s">
        <v>551</v>
      </c>
      <c r="E35" s="430" t="s">
        <v>13506</v>
      </c>
      <c r="F35" s="430" t="s">
        <v>334</v>
      </c>
      <c r="G35" s="430" t="s">
        <v>334</v>
      </c>
      <c r="H35" s="430" t="s">
        <v>334</v>
      </c>
      <c r="I35" s="430">
        <v>1</v>
      </c>
    </row>
    <row r="36" spans="2:9">
      <c r="B36" s="430" t="s">
        <v>862</v>
      </c>
      <c r="C36" s="430" t="s">
        <v>334</v>
      </c>
      <c r="D36" s="430" t="s">
        <v>551</v>
      </c>
      <c r="E36" s="430" t="s">
        <v>13508</v>
      </c>
      <c r="F36" s="430" t="s">
        <v>334</v>
      </c>
      <c r="G36" s="430" t="s">
        <v>334</v>
      </c>
      <c r="H36" s="430" t="s">
        <v>334</v>
      </c>
      <c r="I36" s="430">
        <v>1</v>
      </c>
    </row>
    <row r="37" spans="2:9">
      <c r="B37" s="430" t="s">
        <v>862</v>
      </c>
      <c r="C37" s="430" t="s">
        <v>334</v>
      </c>
      <c r="D37" s="430" t="s">
        <v>551</v>
      </c>
      <c r="E37" s="430" t="s">
        <v>13511</v>
      </c>
      <c r="F37" s="430" t="s">
        <v>334</v>
      </c>
      <c r="G37" s="430" t="s">
        <v>334</v>
      </c>
      <c r="H37" s="430" t="s">
        <v>334</v>
      </c>
      <c r="I37" s="430">
        <v>1</v>
      </c>
    </row>
    <row r="38" spans="2:9">
      <c r="B38" s="430" t="s">
        <v>862</v>
      </c>
      <c r="C38" s="430" t="s">
        <v>334</v>
      </c>
      <c r="D38" s="430" t="s">
        <v>594</v>
      </c>
      <c r="E38" s="430" t="s">
        <v>13496</v>
      </c>
      <c r="F38" s="430" t="s">
        <v>334</v>
      </c>
      <c r="G38" s="430" t="s">
        <v>334</v>
      </c>
      <c r="H38" s="430" t="s">
        <v>334</v>
      </c>
      <c r="I38" s="430">
        <v>1</v>
      </c>
    </row>
    <row r="39" spans="2:9">
      <c r="B39" s="430" t="s">
        <v>862</v>
      </c>
      <c r="C39" s="430" t="s">
        <v>334</v>
      </c>
      <c r="D39" s="430" t="s">
        <v>594</v>
      </c>
      <c r="E39" s="430" t="s">
        <v>13500</v>
      </c>
      <c r="F39" s="430" t="s">
        <v>334</v>
      </c>
      <c r="G39" s="430" t="s">
        <v>334</v>
      </c>
      <c r="H39" s="430" t="s">
        <v>334</v>
      </c>
      <c r="I39" s="430">
        <v>1</v>
      </c>
    </row>
    <row r="40" spans="2:9">
      <c r="B40" s="430" t="s">
        <v>862</v>
      </c>
      <c r="C40" s="430" t="s">
        <v>334</v>
      </c>
      <c r="D40" s="430" t="s">
        <v>594</v>
      </c>
      <c r="E40" s="430" t="s">
        <v>13504</v>
      </c>
      <c r="F40" s="430" t="s">
        <v>334</v>
      </c>
      <c r="G40" s="430" t="s">
        <v>334</v>
      </c>
      <c r="H40" s="430" t="s">
        <v>334</v>
      </c>
      <c r="I40" s="430">
        <v>1</v>
      </c>
    </row>
    <row r="41" spans="2:9">
      <c r="B41" s="430" t="s">
        <v>862</v>
      </c>
      <c r="C41" s="430" t="s">
        <v>334</v>
      </c>
      <c r="D41" s="430" t="s">
        <v>594</v>
      </c>
      <c r="E41" s="430" t="s">
        <v>13506</v>
      </c>
      <c r="F41" s="430" t="s">
        <v>334</v>
      </c>
      <c r="G41" s="430" t="s">
        <v>334</v>
      </c>
      <c r="H41" s="430" t="s">
        <v>334</v>
      </c>
      <c r="I41" s="430">
        <v>1</v>
      </c>
    </row>
    <row r="42" spans="2:9">
      <c r="B42" s="430" t="s">
        <v>862</v>
      </c>
      <c r="C42" s="430" t="s">
        <v>334</v>
      </c>
      <c r="D42" s="430" t="s">
        <v>594</v>
      </c>
      <c r="E42" s="430" t="s">
        <v>13508</v>
      </c>
      <c r="F42" s="430" t="s">
        <v>334</v>
      </c>
      <c r="G42" s="430" t="s">
        <v>334</v>
      </c>
      <c r="H42" s="430" t="s">
        <v>334</v>
      </c>
      <c r="I42" s="430">
        <v>1</v>
      </c>
    </row>
    <row r="43" spans="2:9">
      <c r="B43" s="430" t="s">
        <v>862</v>
      </c>
      <c r="C43" s="430" t="s">
        <v>334</v>
      </c>
      <c r="D43" s="430" t="s">
        <v>594</v>
      </c>
      <c r="E43" s="430" t="s">
        <v>13511</v>
      </c>
      <c r="F43" s="430" t="s">
        <v>334</v>
      </c>
      <c r="G43" s="430" t="s">
        <v>334</v>
      </c>
      <c r="H43" s="430" t="s">
        <v>334</v>
      </c>
      <c r="I43" s="430">
        <v>1</v>
      </c>
    </row>
    <row r="44" spans="2:9">
      <c r="B44" s="430" t="s">
        <v>862</v>
      </c>
      <c r="C44" s="430" t="s">
        <v>334</v>
      </c>
      <c r="D44" s="430" t="s">
        <v>13518</v>
      </c>
      <c r="E44" s="430" t="s">
        <v>13556</v>
      </c>
      <c r="F44" s="430" t="s">
        <v>334</v>
      </c>
      <c r="G44" s="430" t="s">
        <v>334</v>
      </c>
      <c r="H44" s="430" t="s">
        <v>334</v>
      </c>
      <c r="I44" s="430">
        <v>1</v>
      </c>
    </row>
    <row r="45" spans="2:9">
      <c r="B45" s="430" t="s">
        <v>862</v>
      </c>
      <c r="C45" s="430" t="s">
        <v>334</v>
      </c>
      <c r="D45" s="430" t="s">
        <v>13518</v>
      </c>
      <c r="E45" s="430" t="s">
        <v>13498</v>
      </c>
      <c r="F45" s="430" t="s">
        <v>334</v>
      </c>
      <c r="G45" s="430" t="s">
        <v>334</v>
      </c>
      <c r="H45" s="430" t="s">
        <v>334</v>
      </c>
      <c r="I45" s="430">
        <v>1</v>
      </c>
    </row>
    <row r="46" spans="2:9">
      <c r="B46" s="430" t="s">
        <v>862</v>
      </c>
      <c r="C46" s="430" t="s">
        <v>334</v>
      </c>
      <c r="D46" s="430" t="s">
        <v>13520</v>
      </c>
      <c r="E46" s="430" t="s">
        <v>13556</v>
      </c>
      <c r="F46" s="430" t="s">
        <v>334</v>
      </c>
      <c r="G46" s="430" t="s">
        <v>334</v>
      </c>
      <c r="H46" s="430" t="s">
        <v>334</v>
      </c>
      <c r="I46" s="430">
        <v>1</v>
      </c>
    </row>
    <row r="47" spans="2:9">
      <c r="B47" s="430" t="s">
        <v>862</v>
      </c>
      <c r="C47" s="430" t="s">
        <v>334</v>
      </c>
      <c r="D47" s="430" t="s">
        <v>13520</v>
      </c>
      <c r="E47" s="430" t="s">
        <v>13502</v>
      </c>
      <c r="F47" s="430" t="s">
        <v>334</v>
      </c>
      <c r="G47" s="430" t="s">
        <v>334</v>
      </c>
      <c r="H47" s="430" t="s">
        <v>334</v>
      </c>
      <c r="I47" s="430">
        <v>1</v>
      </c>
    </row>
    <row r="48" spans="2:9">
      <c r="B48" s="430" t="s">
        <v>862</v>
      </c>
      <c r="C48" s="430" t="s">
        <v>334</v>
      </c>
      <c r="D48" s="430" t="s">
        <v>13520</v>
      </c>
      <c r="E48" s="430" t="s">
        <v>13557</v>
      </c>
      <c r="F48" s="430" t="s">
        <v>334</v>
      </c>
      <c r="G48" s="430" t="s">
        <v>334</v>
      </c>
      <c r="H48" s="430" t="s">
        <v>334</v>
      </c>
      <c r="I48" s="430">
        <v>1</v>
      </c>
    </row>
    <row r="49" spans="2:9">
      <c r="B49" s="430" t="s">
        <v>862</v>
      </c>
      <c r="C49" s="430" t="s">
        <v>334</v>
      </c>
      <c r="D49" s="430" t="s">
        <v>13537</v>
      </c>
      <c r="E49" s="430" t="s">
        <v>13498</v>
      </c>
      <c r="F49" s="430" t="s">
        <v>334</v>
      </c>
      <c r="G49" s="430" t="s">
        <v>334</v>
      </c>
      <c r="H49" s="430" t="s">
        <v>334</v>
      </c>
      <c r="I49" s="430">
        <v>1</v>
      </c>
    </row>
    <row r="50" spans="2:9">
      <c r="B50" s="430" t="s">
        <v>862</v>
      </c>
      <c r="C50" s="430" t="s">
        <v>334</v>
      </c>
      <c r="D50" s="430" t="s">
        <v>13537</v>
      </c>
      <c r="E50" s="430" t="s">
        <v>13502</v>
      </c>
      <c r="F50" s="430" t="s">
        <v>334</v>
      </c>
      <c r="G50" s="430" t="s">
        <v>334</v>
      </c>
      <c r="H50" s="430" t="s">
        <v>334</v>
      </c>
      <c r="I50" s="430">
        <v>1</v>
      </c>
    </row>
    <row r="51" spans="2:9">
      <c r="B51" s="430" t="s">
        <v>862</v>
      </c>
      <c r="C51" s="430" t="s">
        <v>334</v>
      </c>
      <c r="D51" s="430" t="s">
        <v>13537</v>
      </c>
      <c r="E51" s="430" t="s">
        <v>13510</v>
      </c>
      <c r="F51" s="430" t="s">
        <v>334</v>
      </c>
      <c r="G51" s="430" t="s">
        <v>334</v>
      </c>
      <c r="H51" s="430" t="s">
        <v>334</v>
      </c>
      <c r="I51" s="430">
        <v>1</v>
      </c>
    </row>
    <row r="52" spans="2:9">
      <c r="B52" s="430" t="s">
        <v>862</v>
      </c>
      <c r="C52" s="430" t="s">
        <v>334</v>
      </c>
      <c r="D52" s="430" t="s">
        <v>1894</v>
      </c>
      <c r="E52" s="430" t="s">
        <v>13498</v>
      </c>
      <c r="F52" s="430" t="s">
        <v>334</v>
      </c>
      <c r="G52" s="430" t="s">
        <v>334</v>
      </c>
      <c r="H52" s="430" t="s">
        <v>334</v>
      </c>
      <c r="I52" s="430">
        <v>1</v>
      </c>
    </row>
    <row r="53" spans="2:9">
      <c r="B53" s="430" t="s">
        <v>862</v>
      </c>
      <c r="C53" s="430" t="s">
        <v>334</v>
      </c>
      <c r="D53" s="430" t="s">
        <v>1894</v>
      </c>
      <c r="E53" s="430" t="s">
        <v>13502</v>
      </c>
      <c r="F53" s="430" t="s">
        <v>334</v>
      </c>
      <c r="G53" s="430" t="s">
        <v>334</v>
      </c>
      <c r="H53" s="430" t="s">
        <v>334</v>
      </c>
      <c r="I53" s="430">
        <v>1</v>
      </c>
    </row>
    <row r="54" spans="2:9">
      <c r="B54" s="430" t="s">
        <v>862</v>
      </c>
      <c r="C54" s="430" t="s">
        <v>334</v>
      </c>
      <c r="D54" s="430" t="s">
        <v>1894</v>
      </c>
      <c r="E54" s="430" t="s">
        <v>13510</v>
      </c>
      <c r="F54" s="430" t="s">
        <v>334</v>
      </c>
      <c r="G54" s="430" t="s">
        <v>334</v>
      </c>
      <c r="H54" s="430" t="s">
        <v>334</v>
      </c>
      <c r="I54" s="430">
        <v>1</v>
      </c>
    </row>
    <row r="55" spans="2:9">
      <c r="B55" s="430" t="s">
        <v>862</v>
      </c>
      <c r="C55" s="430" t="s">
        <v>334</v>
      </c>
      <c r="D55" s="430" t="s">
        <v>13543</v>
      </c>
      <c r="E55" s="430" t="s">
        <v>13502</v>
      </c>
      <c r="F55" s="430" t="s">
        <v>334</v>
      </c>
      <c r="G55" s="430" t="s">
        <v>334</v>
      </c>
      <c r="H55" s="430" t="s">
        <v>334</v>
      </c>
      <c r="I55" s="430">
        <v>1</v>
      </c>
    </row>
    <row r="56" spans="2:9">
      <c r="B56" s="430" t="s">
        <v>862</v>
      </c>
      <c r="C56" s="430" t="s">
        <v>334</v>
      </c>
      <c r="D56" s="430" t="s">
        <v>13538</v>
      </c>
      <c r="E56" s="430" t="s">
        <v>13498</v>
      </c>
      <c r="F56" s="430" t="s">
        <v>334</v>
      </c>
      <c r="G56" s="430" t="s">
        <v>334</v>
      </c>
      <c r="H56" s="430" t="s">
        <v>334</v>
      </c>
      <c r="I56" s="430">
        <v>1</v>
      </c>
    </row>
    <row r="57" spans="2:9">
      <c r="B57" s="430" t="s">
        <v>862</v>
      </c>
      <c r="C57" s="430" t="s">
        <v>334</v>
      </c>
      <c r="D57" s="430" t="s">
        <v>13548</v>
      </c>
      <c r="E57" s="430" t="s">
        <v>13510</v>
      </c>
      <c r="F57" s="430" t="s">
        <v>334</v>
      </c>
      <c r="G57" s="430" t="s">
        <v>334</v>
      </c>
      <c r="H57" s="430" t="s">
        <v>334</v>
      </c>
      <c r="I57" s="430">
        <v>1</v>
      </c>
    </row>
    <row r="58" spans="2:9">
      <c r="B58" s="430" t="s">
        <v>340</v>
      </c>
      <c r="C58" s="430" t="s">
        <v>13522</v>
      </c>
      <c r="D58" s="430" t="s">
        <v>334</v>
      </c>
      <c r="E58" s="430" t="s">
        <v>13500</v>
      </c>
      <c r="F58" s="430" t="s">
        <v>334</v>
      </c>
      <c r="G58" s="430" t="s">
        <v>334</v>
      </c>
      <c r="H58" s="430" t="s">
        <v>334</v>
      </c>
      <c r="I58" s="430">
        <v>1</v>
      </c>
    </row>
    <row r="59" spans="2:9">
      <c r="B59" s="430" t="s">
        <v>342</v>
      </c>
      <c r="C59" s="430" t="s">
        <v>13522</v>
      </c>
      <c r="D59" s="430" t="s">
        <v>334</v>
      </c>
      <c r="E59" s="430" t="s">
        <v>334</v>
      </c>
      <c r="F59" s="430" t="s">
        <v>334</v>
      </c>
      <c r="G59" s="430" t="s">
        <v>334</v>
      </c>
      <c r="H59" s="430" t="s">
        <v>334</v>
      </c>
      <c r="I59" s="430">
        <v>1</v>
      </c>
    </row>
    <row r="60" spans="2:9">
      <c r="B60" s="430" t="s">
        <v>13417</v>
      </c>
      <c r="C60" s="430" t="s">
        <v>13522</v>
      </c>
      <c r="D60" s="430" t="s">
        <v>334</v>
      </c>
      <c r="E60" s="430" t="s">
        <v>334</v>
      </c>
      <c r="F60" s="430" t="s">
        <v>334</v>
      </c>
      <c r="G60" s="430" t="s">
        <v>334</v>
      </c>
      <c r="H60" s="430" t="s">
        <v>334</v>
      </c>
      <c r="I60" s="430">
        <v>2020</v>
      </c>
    </row>
    <row r="61" spans="2:9">
      <c r="B61" s="430" t="s">
        <v>361</v>
      </c>
      <c r="C61" s="430" t="s">
        <v>13522</v>
      </c>
      <c r="D61" s="430" t="s">
        <v>13518</v>
      </c>
      <c r="E61" s="430" t="s">
        <v>334</v>
      </c>
      <c r="F61" s="430" t="s">
        <v>334</v>
      </c>
      <c r="G61" s="430" t="s">
        <v>334</v>
      </c>
      <c r="H61" s="430" t="s">
        <v>334</v>
      </c>
      <c r="I61" s="430">
        <v>1</v>
      </c>
    </row>
    <row r="62" spans="2:9">
      <c r="B62" s="430" t="s">
        <v>361</v>
      </c>
      <c r="C62" s="430" t="s">
        <v>13522</v>
      </c>
      <c r="D62" s="430" t="s">
        <v>13537</v>
      </c>
      <c r="E62" s="430" t="s">
        <v>334</v>
      </c>
      <c r="F62" s="430" t="s">
        <v>334</v>
      </c>
      <c r="G62" s="430" t="s">
        <v>334</v>
      </c>
      <c r="H62" s="430" t="s">
        <v>334</v>
      </c>
      <c r="I62" s="430">
        <v>1</v>
      </c>
    </row>
    <row r="63" spans="2:9">
      <c r="B63" s="430" t="s">
        <v>361</v>
      </c>
      <c r="C63" s="430" t="s">
        <v>13522</v>
      </c>
      <c r="D63" s="430" t="s">
        <v>1894</v>
      </c>
      <c r="E63" s="430" t="s">
        <v>334</v>
      </c>
      <c r="F63" s="430" t="s">
        <v>334</v>
      </c>
      <c r="G63" s="430" t="s">
        <v>334</v>
      </c>
      <c r="H63" s="430" t="s">
        <v>334</v>
      </c>
      <c r="I63" s="430">
        <v>1</v>
      </c>
    </row>
    <row r="64" spans="2:9">
      <c r="B64" s="430" t="s">
        <v>361</v>
      </c>
      <c r="C64" s="430" t="s">
        <v>13522</v>
      </c>
      <c r="D64" s="430" t="s">
        <v>13538</v>
      </c>
      <c r="E64" s="430" t="s">
        <v>334</v>
      </c>
      <c r="F64" s="430" t="s">
        <v>334</v>
      </c>
      <c r="G64" s="430" t="s">
        <v>334</v>
      </c>
      <c r="H64" s="430" t="s">
        <v>334</v>
      </c>
      <c r="I64" s="430">
        <v>1</v>
      </c>
    </row>
    <row r="65" spans="2:9">
      <c r="B65" s="430" t="s">
        <v>361</v>
      </c>
      <c r="C65" s="430" t="s">
        <v>13522</v>
      </c>
      <c r="D65" s="430" t="s">
        <v>13542</v>
      </c>
      <c r="E65" s="430" t="s">
        <v>334</v>
      </c>
      <c r="F65" s="430" t="s">
        <v>334</v>
      </c>
      <c r="G65" s="430" t="s">
        <v>334</v>
      </c>
      <c r="H65" s="430" t="s">
        <v>334</v>
      </c>
      <c r="I65" s="430">
        <v>1</v>
      </c>
    </row>
    <row r="66" spans="2:9">
      <c r="B66" s="430" t="s">
        <v>344</v>
      </c>
      <c r="C66" s="430" t="s">
        <v>13522</v>
      </c>
      <c r="D66" s="430" t="s">
        <v>1805</v>
      </c>
      <c r="E66" s="430" t="s">
        <v>334</v>
      </c>
      <c r="F66" s="430" t="s">
        <v>334</v>
      </c>
      <c r="G66" s="430" t="s">
        <v>334</v>
      </c>
      <c r="H66" s="430" t="s">
        <v>334</v>
      </c>
      <c r="I66" s="430">
        <v>1</v>
      </c>
    </row>
    <row r="67" spans="2:9">
      <c r="B67" s="430" t="s">
        <v>344</v>
      </c>
      <c r="C67" s="430" t="s">
        <v>13522</v>
      </c>
      <c r="D67" s="430" t="s">
        <v>558</v>
      </c>
      <c r="E67" s="430" t="s">
        <v>334</v>
      </c>
      <c r="F67" s="430" t="s">
        <v>334</v>
      </c>
      <c r="G67" s="430" t="s">
        <v>334</v>
      </c>
      <c r="H67" s="430" t="s">
        <v>334</v>
      </c>
      <c r="I67" s="430">
        <v>1</v>
      </c>
    </row>
    <row r="68" spans="2:9">
      <c r="B68" s="430" t="s">
        <v>344</v>
      </c>
      <c r="C68" s="430" t="s">
        <v>13522</v>
      </c>
      <c r="D68" s="430" t="s">
        <v>555</v>
      </c>
      <c r="E68" s="430" t="s">
        <v>334</v>
      </c>
      <c r="F68" s="430" t="s">
        <v>334</v>
      </c>
      <c r="G68" s="430" t="s">
        <v>334</v>
      </c>
      <c r="H68" s="430" t="s">
        <v>334</v>
      </c>
      <c r="I68" s="430">
        <v>1</v>
      </c>
    </row>
    <row r="69" spans="2:9">
      <c r="B69" s="430" t="s">
        <v>344</v>
      </c>
      <c r="C69" s="430" t="s">
        <v>13522</v>
      </c>
      <c r="D69" s="430" t="s">
        <v>547</v>
      </c>
      <c r="E69" s="430" t="s">
        <v>334</v>
      </c>
      <c r="F69" s="430" t="s">
        <v>334</v>
      </c>
      <c r="G69" s="430" t="s">
        <v>334</v>
      </c>
      <c r="H69" s="430" t="s">
        <v>334</v>
      </c>
      <c r="I69" s="430">
        <v>1</v>
      </c>
    </row>
    <row r="70" spans="2:9">
      <c r="B70" s="430" t="s">
        <v>344</v>
      </c>
      <c r="C70" s="430" t="s">
        <v>13522</v>
      </c>
      <c r="D70" s="430" t="s">
        <v>592</v>
      </c>
      <c r="E70" s="430" t="s">
        <v>334</v>
      </c>
      <c r="F70" s="430" t="s">
        <v>334</v>
      </c>
      <c r="G70" s="430" t="s">
        <v>334</v>
      </c>
      <c r="H70" s="430" t="s">
        <v>334</v>
      </c>
      <c r="I70" s="430">
        <v>1</v>
      </c>
    </row>
    <row r="71" spans="2:9">
      <c r="B71" s="430" t="s">
        <v>344</v>
      </c>
      <c r="C71" s="430" t="s">
        <v>13522</v>
      </c>
      <c r="D71" s="430" t="s">
        <v>551</v>
      </c>
      <c r="E71" s="430" t="s">
        <v>334</v>
      </c>
      <c r="F71" s="430" t="s">
        <v>334</v>
      </c>
      <c r="G71" s="430" t="s">
        <v>334</v>
      </c>
      <c r="H71" s="430" t="s">
        <v>334</v>
      </c>
      <c r="I71" s="430">
        <v>1</v>
      </c>
    </row>
    <row r="72" spans="2:9">
      <c r="B72" s="430" t="s">
        <v>344</v>
      </c>
      <c r="C72" s="430" t="s">
        <v>13522</v>
      </c>
      <c r="D72" s="430" t="s">
        <v>594</v>
      </c>
      <c r="E72" s="430" t="s">
        <v>334</v>
      </c>
      <c r="F72" s="430" t="s">
        <v>334</v>
      </c>
      <c r="G72" s="430" t="s">
        <v>334</v>
      </c>
      <c r="H72" s="430" t="s">
        <v>334</v>
      </c>
      <c r="I72" s="430">
        <v>1</v>
      </c>
    </row>
    <row r="73" spans="2:9">
      <c r="B73" s="430" t="s">
        <v>344</v>
      </c>
      <c r="C73" s="430" t="s">
        <v>13522</v>
      </c>
      <c r="D73" s="430" t="str">
        <f>'WAT-TSData'!D40</f>
        <v>CH4SF</v>
      </c>
      <c r="E73" s="430" t="s">
        <v>334</v>
      </c>
      <c r="F73" s="430" t="s">
        <v>334</v>
      </c>
      <c r="G73" s="430" t="s">
        <v>334</v>
      </c>
      <c r="H73" s="430" t="s">
        <v>334</v>
      </c>
      <c r="I73" s="430">
        <v>1</v>
      </c>
    </row>
    <row r="74" spans="2:9">
      <c r="B74" s="430" t="s">
        <v>344</v>
      </c>
      <c r="C74" s="430" t="s">
        <v>13522</v>
      </c>
      <c r="D74" s="430" t="str">
        <f>'WAT-TSData'!D41</f>
        <v>CO2SF</v>
      </c>
      <c r="E74" s="430" t="s">
        <v>334</v>
      </c>
      <c r="F74" s="430" t="s">
        <v>334</v>
      </c>
      <c r="G74" s="430" t="s">
        <v>334</v>
      </c>
      <c r="H74" s="430" t="s">
        <v>334</v>
      </c>
      <c r="I74" s="430">
        <v>1</v>
      </c>
    </row>
    <row r="75" spans="2:9">
      <c r="B75" s="430" t="s">
        <v>340</v>
      </c>
      <c r="C75" s="430" t="s">
        <v>13524</v>
      </c>
      <c r="D75" s="430" t="s">
        <v>334</v>
      </c>
      <c r="E75" s="430" t="s">
        <v>13504</v>
      </c>
      <c r="F75" s="430" t="s">
        <v>334</v>
      </c>
      <c r="G75" s="430" t="s">
        <v>334</v>
      </c>
      <c r="H75" s="430" t="s">
        <v>334</v>
      </c>
      <c r="I75" s="430">
        <v>1</v>
      </c>
    </row>
    <row r="76" spans="2:9">
      <c r="B76" s="430" t="s">
        <v>342</v>
      </c>
      <c r="C76" s="430" t="s">
        <v>13524</v>
      </c>
      <c r="D76" s="430" t="s">
        <v>334</v>
      </c>
      <c r="E76" s="430" t="s">
        <v>334</v>
      </c>
      <c r="F76" s="430" t="s">
        <v>334</v>
      </c>
      <c r="G76" s="430" t="s">
        <v>334</v>
      </c>
      <c r="H76" s="430" t="s">
        <v>334</v>
      </c>
      <c r="I76" s="430">
        <v>1</v>
      </c>
    </row>
    <row r="77" spans="2:9">
      <c r="B77" s="430" t="s">
        <v>361</v>
      </c>
      <c r="C77" s="430" t="s">
        <v>13524</v>
      </c>
      <c r="D77" s="430" t="s">
        <v>13520</v>
      </c>
      <c r="E77" s="430" t="s">
        <v>334</v>
      </c>
      <c r="F77" s="430" t="s">
        <v>334</v>
      </c>
      <c r="G77" s="430" t="s">
        <v>334</v>
      </c>
      <c r="H77" s="430" t="s">
        <v>334</v>
      </c>
      <c r="I77" s="430">
        <v>1</v>
      </c>
    </row>
    <row r="78" spans="2:9">
      <c r="B78" s="430" t="s">
        <v>361</v>
      </c>
      <c r="C78" s="430" t="s">
        <v>13524</v>
      </c>
      <c r="D78" s="430" t="s">
        <v>13537</v>
      </c>
      <c r="E78" s="430" t="s">
        <v>334</v>
      </c>
      <c r="F78" s="430" t="s">
        <v>334</v>
      </c>
      <c r="G78" s="430" t="s">
        <v>334</v>
      </c>
      <c r="H78" s="430" t="s">
        <v>334</v>
      </c>
      <c r="I78" s="430">
        <v>1</v>
      </c>
    </row>
    <row r="79" spans="2:9">
      <c r="B79" s="430" t="s">
        <v>361</v>
      </c>
      <c r="C79" s="430" t="s">
        <v>13524</v>
      </c>
      <c r="D79" s="430" t="s">
        <v>1894</v>
      </c>
      <c r="E79" s="430" t="s">
        <v>334</v>
      </c>
      <c r="F79" s="430" t="s">
        <v>334</v>
      </c>
      <c r="G79" s="430" t="s">
        <v>334</v>
      </c>
      <c r="H79" s="430" t="s">
        <v>334</v>
      </c>
      <c r="I79" s="430">
        <v>1</v>
      </c>
    </row>
    <row r="80" spans="2:9">
      <c r="B80" s="430" t="s">
        <v>361</v>
      </c>
      <c r="C80" s="430" t="s">
        <v>13524</v>
      </c>
      <c r="D80" s="430" t="s">
        <v>13543</v>
      </c>
      <c r="E80" s="430" t="s">
        <v>334</v>
      </c>
      <c r="F80" s="430" t="s">
        <v>334</v>
      </c>
      <c r="G80" s="430" t="s">
        <v>334</v>
      </c>
      <c r="H80" s="430" t="s">
        <v>334</v>
      </c>
      <c r="I80" s="430">
        <v>1</v>
      </c>
    </row>
    <row r="81" spans="2:9">
      <c r="B81" s="430" t="s">
        <v>361</v>
      </c>
      <c r="C81" s="430" t="s">
        <v>13524</v>
      </c>
      <c r="D81" s="430" t="s">
        <v>13544</v>
      </c>
      <c r="E81" s="430" t="s">
        <v>334</v>
      </c>
      <c r="F81" s="430" t="s">
        <v>334</v>
      </c>
      <c r="G81" s="430" t="s">
        <v>334</v>
      </c>
      <c r="H81" s="430" t="s">
        <v>334</v>
      </c>
      <c r="I81" s="430">
        <v>1</v>
      </c>
    </row>
    <row r="82" spans="2:9">
      <c r="B82" s="430" t="s">
        <v>344</v>
      </c>
      <c r="C82" s="430" t="s">
        <v>13524</v>
      </c>
      <c r="D82" s="430" t="s">
        <v>1805</v>
      </c>
      <c r="E82" s="430" t="s">
        <v>334</v>
      </c>
      <c r="F82" s="430" t="s">
        <v>334</v>
      </c>
      <c r="G82" s="430" t="s">
        <v>334</v>
      </c>
      <c r="H82" s="430" t="s">
        <v>334</v>
      </c>
      <c r="I82" s="430">
        <v>1</v>
      </c>
    </row>
    <row r="83" spans="2:9">
      <c r="B83" s="430" t="s">
        <v>344</v>
      </c>
      <c r="C83" s="430" t="s">
        <v>13524</v>
      </c>
      <c r="D83" s="430" t="s">
        <v>558</v>
      </c>
      <c r="E83" s="430" t="s">
        <v>334</v>
      </c>
      <c r="F83" s="430" t="s">
        <v>334</v>
      </c>
      <c r="G83" s="430" t="s">
        <v>334</v>
      </c>
      <c r="H83" s="430" t="s">
        <v>334</v>
      </c>
      <c r="I83" s="430">
        <v>1</v>
      </c>
    </row>
    <row r="84" spans="2:9">
      <c r="B84" s="430" t="s">
        <v>344</v>
      </c>
      <c r="C84" s="430" t="s">
        <v>13524</v>
      </c>
      <c r="D84" s="430" t="s">
        <v>555</v>
      </c>
      <c r="E84" s="430" t="s">
        <v>334</v>
      </c>
      <c r="F84" s="430" t="s">
        <v>334</v>
      </c>
      <c r="G84" s="430" t="s">
        <v>334</v>
      </c>
      <c r="H84" s="430" t="s">
        <v>334</v>
      </c>
      <c r="I84" s="430">
        <v>1</v>
      </c>
    </row>
    <row r="85" spans="2:9">
      <c r="B85" s="430" t="s">
        <v>344</v>
      </c>
      <c r="C85" s="430" t="s">
        <v>13524</v>
      </c>
      <c r="D85" s="430" t="s">
        <v>547</v>
      </c>
      <c r="E85" s="430" t="s">
        <v>334</v>
      </c>
      <c r="F85" s="430" t="s">
        <v>334</v>
      </c>
      <c r="G85" s="430" t="s">
        <v>334</v>
      </c>
      <c r="H85" s="430" t="s">
        <v>334</v>
      </c>
      <c r="I85" s="430">
        <v>1</v>
      </c>
    </row>
    <row r="86" spans="2:9">
      <c r="B86" s="430" t="s">
        <v>344</v>
      </c>
      <c r="C86" s="430" t="s">
        <v>13524</v>
      </c>
      <c r="D86" s="430" t="s">
        <v>592</v>
      </c>
      <c r="E86" s="430" t="s">
        <v>334</v>
      </c>
      <c r="F86" s="430" t="s">
        <v>334</v>
      </c>
      <c r="G86" s="430" t="s">
        <v>334</v>
      </c>
      <c r="H86" s="430" t="s">
        <v>334</v>
      </c>
      <c r="I86" s="430">
        <v>1</v>
      </c>
    </row>
    <row r="87" spans="2:9">
      <c r="B87" s="430" t="s">
        <v>344</v>
      </c>
      <c r="C87" s="430" t="s">
        <v>13524</v>
      </c>
      <c r="D87" s="430" t="s">
        <v>551</v>
      </c>
      <c r="E87" s="430" t="s">
        <v>334</v>
      </c>
      <c r="F87" s="430" t="s">
        <v>334</v>
      </c>
      <c r="G87" s="430" t="s">
        <v>334</v>
      </c>
      <c r="H87" s="430" t="s">
        <v>334</v>
      </c>
      <c r="I87" s="430">
        <v>1</v>
      </c>
    </row>
    <row r="88" spans="2:9">
      <c r="B88" s="430" t="s">
        <v>344</v>
      </c>
      <c r="C88" s="430" t="s">
        <v>13524</v>
      </c>
      <c r="D88" s="430" t="s">
        <v>594</v>
      </c>
      <c r="E88" s="430" t="s">
        <v>334</v>
      </c>
      <c r="F88" s="430" t="s">
        <v>334</v>
      </c>
      <c r="G88" s="430" t="s">
        <v>334</v>
      </c>
      <c r="H88" s="430" t="s">
        <v>334</v>
      </c>
      <c r="I88" s="430">
        <v>1</v>
      </c>
    </row>
    <row r="89" spans="2:9">
      <c r="B89" s="430" t="s">
        <v>344</v>
      </c>
      <c r="C89" s="430" t="s">
        <v>13524</v>
      </c>
      <c r="D89" s="430" t="str">
        <f>D73</f>
        <v>CH4SF</v>
      </c>
      <c r="E89" s="430" t="s">
        <v>334</v>
      </c>
      <c r="F89" s="430" t="s">
        <v>334</v>
      </c>
      <c r="G89" s="430" t="s">
        <v>334</v>
      </c>
      <c r="H89" s="430" t="s">
        <v>334</v>
      </c>
      <c r="I89" s="430">
        <v>1</v>
      </c>
    </row>
    <row r="90" spans="2:9">
      <c r="B90" s="430" t="s">
        <v>344</v>
      </c>
      <c r="C90" s="430" t="s">
        <v>13524</v>
      </c>
      <c r="D90" s="430" t="str">
        <f>D74</f>
        <v>CO2SF</v>
      </c>
      <c r="E90" s="430" t="s">
        <v>334</v>
      </c>
      <c r="F90" s="430" t="s">
        <v>334</v>
      </c>
      <c r="G90" s="430" t="s">
        <v>334</v>
      </c>
      <c r="H90" s="430" t="s">
        <v>334</v>
      </c>
      <c r="I90" s="430">
        <v>1</v>
      </c>
    </row>
    <row r="91" spans="2:9">
      <c r="B91" s="430" t="s">
        <v>340</v>
      </c>
      <c r="C91" s="430" t="s">
        <v>13530</v>
      </c>
      <c r="D91" s="430" t="s">
        <v>334</v>
      </c>
      <c r="E91" s="430" t="s">
        <v>13538</v>
      </c>
      <c r="F91" s="430" t="s">
        <v>334</v>
      </c>
      <c r="G91" s="430" t="s">
        <v>334</v>
      </c>
      <c r="H91" s="430" t="s">
        <v>334</v>
      </c>
      <c r="I91" s="430">
        <v>1</v>
      </c>
    </row>
    <row r="92" spans="2:9">
      <c r="B92" s="430" t="s">
        <v>342</v>
      </c>
      <c r="C92" s="430" t="s">
        <v>13530</v>
      </c>
      <c r="D92" s="430" t="s">
        <v>334</v>
      </c>
      <c r="E92" s="430" t="s">
        <v>334</v>
      </c>
      <c r="F92" s="430" t="s">
        <v>334</v>
      </c>
      <c r="G92" s="430" t="s">
        <v>334</v>
      </c>
      <c r="H92" s="430" t="s">
        <v>334</v>
      </c>
      <c r="I92" s="430">
        <v>1</v>
      </c>
    </row>
    <row r="93" spans="2:9">
      <c r="B93" s="430" t="s">
        <v>361</v>
      </c>
      <c r="C93" s="430" t="s">
        <v>13530</v>
      </c>
      <c r="D93" s="430" t="s">
        <v>13518</v>
      </c>
      <c r="E93" s="430" t="s">
        <v>334</v>
      </c>
      <c r="F93" s="430" t="s">
        <v>334</v>
      </c>
      <c r="G93" s="430" t="s">
        <v>334</v>
      </c>
      <c r="H93" s="430" t="s">
        <v>334</v>
      </c>
      <c r="I93" s="430">
        <v>1</v>
      </c>
    </row>
    <row r="94" spans="2:9">
      <c r="B94" s="430" t="s">
        <v>361</v>
      </c>
      <c r="C94" s="430" t="s">
        <v>13530</v>
      </c>
      <c r="D94" s="430" t="s">
        <v>13552</v>
      </c>
      <c r="E94" s="430" t="s">
        <v>334</v>
      </c>
      <c r="F94" s="430" t="s">
        <v>334</v>
      </c>
      <c r="G94" s="430" t="s">
        <v>334</v>
      </c>
      <c r="H94" s="430" t="s">
        <v>334</v>
      </c>
      <c r="I94" s="430">
        <v>1</v>
      </c>
    </row>
    <row r="95" spans="2:9">
      <c r="B95" s="430" t="s">
        <v>344</v>
      </c>
      <c r="C95" s="430" t="s">
        <v>13530</v>
      </c>
      <c r="D95" s="430" t="s">
        <v>13539</v>
      </c>
      <c r="E95" s="430" t="s">
        <v>334</v>
      </c>
      <c r="F95" s="430" t="s">
        <v>334</v>
      </c>
      <c r="G95" s="430" t="s">
        <v>334</v>
      </c>
      <c r="H95" s="430" t="s">
        <v>334</v>
      </c>
      <c r="I95" s="430">
        <v>1</v>
      </c>
    </row>
    <row r="96" spans="2:9">
      <c r="B96" s="430" t="s">
        <v>344</v>
      </c>
      <c r="C96" s="430" t="s">
        <v>13530</v>
      </c>
      <c r="D96" s="430" t="s">
        <v>13540</v>
      </c>
      <c r="E96" s="430" t="s">
        <v>334</v>
      </c>
      <c r="F96" s="430" t="s">
        <v>334</v>
      </c>
      <c r="G96" s="430" t="s">
        <v>334</v>
      </c>
      <c r="H96" s="430" t="s">
        <v>334</v>
      </c>
      <c r="I96" s="430">
        <v>1</v>
      </c>
    </row>
    <row r="97" spans="2:9">
      <c r="B97" s="430" t="s">
        <v>344</v>
      </c>
      <c r="C97" s="430" t="s">
        <v>13530</v>
      </c>
      <c r="D97" s="430" t="s">
        <v>13538</v>
      </c>
      <c r="E97" s="430" t="s">
        <v>334</v>
      </c>
      <c r="F97" s="430" t="s">
        <v>334</v>
      </c>
      <c r="G97" s="430" t="s">
        <v>334</v>
      </c>
      <c r="H97" s="430" t="s">
        <v>334</v>
      </c>
      <c r="I97" s="430">
        <v>1</v>
      </c>
    </row>
    <row r="98" spans="2:9">
      <c r="B98" s="430" t="s">
        <v>340</v>
      </c>
      <c r="C98" s="430" t="s">
        <v>13532</v>
      </c>
      <c r="D98" s="430" t="s">
        <v>334</v>
      </c>
      <c r="E98" s="430" t="s">
        <v>13543</v>
      </c>
      <c r="F98" s="430" t="s">
        <v>334</v>
      </c>
      <c r="G98" s="430" t="s">
        <v>334</v>
      </c>
      <c r="H98" s="430" t="s">
        <v>334</v>
      </c>
      <c r="I98" s="430">
        <v>1</v>
      </c>
    </row>
    <row r="99" spans="2:9">
      <c r="B99" s="430" t="s">
        <v>342</v>
      </c>
      <c r="C99" s="430" t="s">
        <v>13532</v>
      </c>
      <c r="D99" s="430" t="s">
        <v>334</v>
      </c>
      <c r="E99" s="430" t="s">
        <v>334</v>
      </c>
      <c r="F99" s="430" t="s">
        <v>334</v>
      </c>
      <c r="G99" s="430" t="s">
        <v>334</v>
      </c>
      <c r="H99" s="430" t="s">
        <v>334</v>
      </c>
      <c r="I99" s="430">
        <v>1</v>
      </c>
    </row>
    <row r="100" spans="2:9">
      <c r="B100" s="430" t="s">
        <v>361</v>
      </c>
      <c r="C100" s="430" t="s">
        <v>13532</v>
      </c>
      <c r="D100" s="430" t="s">
        <v>13520</v>
      </c>
      <c r="E100" s="430" t="s">
        <v>334</v>
      </c>
      <c r="F100" s="430" t="s">
        <v>334</v>
      </c>
      <c r="G100" s="430" t="s">
        <v>334</v>
      </c>
      <c r="H100" s="430" t="s">
        <v>334</v>
      </c>
      <c r="I100" s="430">
        <v>1</v>
      </c>
    </row>
    <row r="101" spans="2:9">
      <c r="B101" s="430" t="s">
        <v>361</v>
      </c>
      <c r="C101" s="430" t="s">
        <v>13532</v>
      </c>
      <c r="D101" s="430" t="s">
        <v>13549</v>
      </c>
      <c r="E101" s="430" t="s">
        <v>334</v>
      </c>
      <c r="F101" s="430" t="s">
        <v>334</v>
      </c>
      <c r="G101" s="430" t="s">
        <v>334</v>
      </c>
      <c r="H101" s="430" t="s">
        <v>334</v>
      </c>
      <c r="I101" s="430">
        <v>1</v>
      </c>
    </row>
    <row r="102" spans="2:9">
      <c r="B102" s="430" t="s">
        <v>344</v>
      </c>
      <c r="C102" s="430" t="s">
        <v>13532</v>
      </c>
      <c r="D102" s="430" t="s">
        <v>13539</v>
      </c>
      <c r="E102" s="430" t="s">
        <v>334</v>
      </c>
      <c r="F102" s="430" t="s">
        <v>334</v>
      </c>
      <c r="G102" s="430" t="s">
        <v>334</v>
      </c>
      <c r="H102" s="430" t="s">
        <v>334</v>
      </c>
      <c r="I102" s="430">
        <v>1</v>
      </c>
    </row>
    <row r="103" spans="2:9">
      <c r="B103" s="430" t="s">
        <v>344</v>
      </c>
      <c r="C103" s="430" t="s">
        <v>13532</v>
      </c>
      <c r="D103" s="430" t="s">
        <v>13540</v>
      </c>
      <c r="E103" s="430" t="s">
        <v>334</v>
      </c>
      <c r="F103" s="430" t="s">
        <v>334</v>
      </c>
      <c r="G103" s="430" t="s">
        <v>334</v>
      </c>
      <c r="H103" s="430" t="s">
        <v>334</v>
      </c>
      <c r="I103" s="430">
        <v>1</v>
      </c>
    </row>
    <row r="104" spans="2:9">
      <c r="B104" s="430" t="s">
        <v>344</v>
      </c>
      <c r="C104" s="430" t="s">
        <v>13532</v>
      </c>
      <c r="D104" s="430" t="s">
        <v>13543</v>
      </c>
      <c r="E104" s="430" t="s">
        <v>334</v>
      </c>
      <c r="F104" s="430" t="s">
        <v>334</v>
      </c>
      <c r="G104" s="430" t="s">
        <v>334</v>
      </c>
      <c r="H104" s="430" t="s">
        <v>334</v>
      </c>
      <c r="I104" s="430">
        <v>1</v>
      </c>
    </row>
    <row r="105" spans="2:9">
      <c r="B105" s="430" t="s">
        <v>340</v>
      </c>
      <c r="C105" s="430" t="s">
        <v>13534</v>
      </c>
      <c r="D105" s="430" t="s">
        <v>334</v>
      </c>
      <c r="E105" s="430" t="s">
        <v>13511</v>
      </c>
      <c r="F105" s="430" t="s">
        <v>334</v>
      </c>
      <c r="G105" s="430" t="s">
        <v>334</v>
      </c>
      <c r="H105" s="430" t="s">
        <v>334</v>
      </c>
      <c r="I105" s="430">
        <v>1</v>
      </c>
    </row>
    <row r="106" spans="2:9">
      <c r="B106" s="430" t="s">
        <v>342</v>
      </c>
      <c r="C106" s="430" t="s">
        <v>13534</v>
      </c>
      <c r="D106" s="430" t="s">
        <v>334</v>
      </c>
      <c r="E106" s="430" t="s">
        <v>334</v>
      </c>
      <c r="F106" s="430" t="s">
        <v>334</v>
      </c>
      <c r="G106" s="430" t="s">
        <v>334</v>
      </c>
      <c r="H106" s="430" t="s">
        <v>334</v>
      </c>
      <c r="I106" s="430">
        <v>1</v>
      </c>
    </row>
    <row r="107" spans="2:9">
      <c r="B107" s="430" t="s">
        <v>361</v>
      </c>
      <c r="C107" s="430" t="s">
        <v>13534</v>
      </c>
      <c r="D107" s="430" t="s">
        <v>13537</v>
      </c>
      <c r="E107" s="430" t="s">
        <v>334</v>
      </c>
      <c r="F107" s="430" t="s">
        <v>334</v>
      </c>
      <c r="G107" s="430" t="s">
        <v>334</v>
      </c>
      <c r="H107" s="430" t="s">
        <v>334</v>
      </c>
      <c r="I107" s="430">
        <v>1</v>
      </c>
    </row>
    <row r="108" spans="2:9">
      <c r="B108" s="430" t="s">
        <v>361</v>
      </c>
      <c r="C108" s="430" t="s">
        <v>13534</v>
      </c>
      <c r="D108" s="430" t="s">
        <v>1894</v>
      </c>
      <c r="E108" s="430" t="s">
        <v>334</v>
      </c>
      <c r="F108" s="430" t="s">
        <v>334</v>
      </c>
      <c r="G108" s="430" t="s">
        <v>334</v>
      </c>
      <c r="H108" s="430" t="s">
        <v>334</v>
      </c>
      <c r="I108" s="430">
        <v>1</v>
      </c>
    </row>
    <row r="109" spans="2:9">
      <c r="B109" s="430" t="s">
        <v>361</v>
      </c>
      <c r="C109" s="430" t="s">
        <v>13534</v>
      </c>
      <c r="D109" s="430" t="s">
        <v>13548</v>
      </c>
      <c r="E109" s="430" t="s">
        <v>334</v>
      </c>
      <c r="F109" s="430" t="s">
        <v>334</v>
      </c>
      <c r="G109" s="430" t="s">
        <v>334</v>
      </c>
      <c r="H109" s="430" t="s">
        <v>334</v>
      </c>
      <c r="I109" s="430">
        <v>1</v>
      </c>
    </row>
    <row r="110" spans="2:9">
      <c r="B110" s="430" t="s">
        <v>361</v>
      </c>
      <c r="C110" s="430" t="s">
        <v>13534</v>
      </c>
      <c r="D110" s="430" t="s">
        <v>13550</v>
      </c>
      <c r="E110" s="430" t="s">
        <v>334</v>
      </c>
      <c r="F110" s="430" t="s">
        <v>334</v>
      </c>
      <c r="G110" s="430" t="s">
        <v>334</v>
      </c>
      <c r="H110" s="430" t="s">
        <v>334</v>
      </c>
      <c r="I110" s="430">
        <v>1</v>
      </c>
    </row>
    <row r="111" spans="2:9">
      <c r="B111" s="430" t="s">
        <v>361</v>
      </c>
      <c r="C111" s="430" t="s">
        <v>13534</v>
      </c>
      <c r="D111" s="430" t="s">
        <v>13551</v>
      </c>
      <c r="E111" s="430" t="s">
        <v>334</v>
      </c>
      <c r="F111" s="430" t="s">
        <v>334</v>
      </c>
      <c r="G111" s="430" t="s">
        <v>334</v>
      </c>
      <c r="H111" s="430" t="s">
        <v>334</v>
      </c>
      <c r="I111" s="430">
        <v>1</v>
      </c>
    </row>
    <row r="112" spans="2:9">
      <c r="B112" s="430" t="s">
        <v>344</v>
      </c>
      <c r="C112" s="430" t="s">
        <v>13534</v>
      </c>
      <c r="D112" s="430" t="s">
        <v>558</v>
      </c>
      <c r="E112" s="430" t="s">
        <v>334</v>
      </c>
      <c r="F112" s="430" t="s">
        <v>334</v>
      </c>
      <c r="G112" s="430" t="s">
        <v>334</v>
      </c>
      <c r="H112" s="430" t="s">
        <v>334</v>
      </c>
      <c r="I112" s="430">
        <v>1</v>
      </c>
    </row>
    <row r="113" spans="2:9">
      <c r="B113" s="430" t="s">
        <v>344</v>
      </c>
      <c r="C113" s="430" t="s">
        <v>13534</v>
      </c>
      <c r="D113" s="430" t="s">
        <v>555</v>
      </c>
      <c r="E113" s="430" t="s">
        <v>334</v>
      </c>
      <c r="F113" s="430" t="s">
        <v>334</v>
      </c>
      <c r="G113" s="430" t="s">
        <v>334</v>
      </c>
      <c r="H113" s="430" t="s">
        <v>334</v>
      </c>
      <c r="I113" s="430">
        <v>1</v>
      </c>
    </row>
    <row r="114" spans="2:9">
      <c r="B114" s="430" t="s">
        <v>344</v>
      </c>
      <c r="C114" s="430" t="s">
        <v>13534</v>
      </c>
      <c r="D114" s="430" t="s">
        <v>547</v>
      </c>
      <c r="E114" s="430" t="s">
        <v>334</v>
      </c>
      <c r="F114" s="430" t="s">
        <v>334</v>
      </c>
      <c r="G114" s="430" t="s">
        <v>334</v>
      </c>
      <c r="H114" s="430" t="s">
        <v>334</v>
      </c>
      <c r="I114" s="430">
        <v>1</v>
      </c>
    </row>
    <row r="115" spans="2:9">
      <c r="B115" s="430" t="s">
        <v>344</v>
      </c>
      <c r="C115" s="430" t="s">
        <v>13534</v>
      </c>
      <c r="D115" s="430" t="s">
        <v>549</v>
      </c>
      <c r="E115" s="430" t="s">
        <v>334</v>
      </c>
      <c r="F115" s="430" t="s">
        <v>334</v>
      </c>
      <c r="G115" s="430" t="s">
        <v>334</v>
      </c>
      <c r="H115" s="430" t="s">
        <v>334</v>
      </c>
      <c r="I115" s="430">
        <v>1</v>
      </c>
    </row>
    <row r="116" spans="2:9">
      <c r="B116" s="430" t="s">
        <v>344</v>
      </c>
      <c r="C116" s="430" t="s">
        <v>13534</v>
      </c>
      <c r="D116" s="430" t="s">
        <v>592</v>
      </c>
      <c r="E116" s="430" t="s">
        <v>334</v>
      </c>
      <c r="F116" s="430" t="s">
        <v>334</v>
      </c>
      <c r="G116" s="430" t="s">
        <v>334</v>
      </c>
      <c r="H116" s="430" t="s">
        <v>334</v>
      </c>
      <c r="I116" s="430">
        <v>1</v>
      </c>
    </row>
    <row r="117" spans="2:9">
      <c r="B117" s="430" t="s">
        <v>344</v>
      </c>
      <c r="C117" s="430" t="s">
        <v>13534</v>
      </c>
      <c r="D117" s="430" t="s">
        <v>551</v>
      </c>
      <c r="E117" s="430" t="s">
        <v>334</v>
      </c>
      <c r="F117" s="430" t="s">
        <v>334</v>
      </c>
      <c r="G117" s="430" t="s">
        <v>334</v>
      </c>
      <c r="H117" s="430" t="s">
        <v>334</v>
      </c>
      <c r="I117" s="430">
        <v>1</v>
      </c>
    </row>
    <row r="118" spans="2:9">
      <c r="B118" s="430" t="s">
        <v>344</v>
      </c>
      <c r="C118" s="430" t="s">
        <v>13534</v>
      </c>
      <c r="D118" s="430" t="s">
        <v>594</v>
      </c>
      <c r="E118" s="430" t="s">
        <v>334</v>
      </c>
      <c r="F118" s="430" t="s">
        <v>334</v>
      </c>
      <c r="G118" s="430" t="s">
        <v>334</v>
      </c>
      <c r="H118" s="430" t="s">
        <v>334</v>
      </c>
      <c r="I118" s="430">
        <v>1</v>
      </c>
    </row>
    <row r="119" spans="2:9">
      <c r="B119" s="430" t="s">
        <v>344</v>
      </c>
      <c r="C119" s="430" t="s">
        <v>13534</v>
      </c>
      <c r="D119" s="430" t="s">
        <v>13539</v>
      </c>
      <c r="E119" s="430" t="s">
        <v>334</v>
      </c>
      <c r="F119" s="430" t="s">
        <v>334</v>
      </c>
      <c r="G119" s="430" t="s">
        <v>334</v>
      </c>
      <c r="H119" s="430" t="s">
        <v>334</v>
      </c>
      <c r="I119" s="430">
        <v>1</v>
      </c>
    </row>
    <row r="120" spans="2:9">
      <c r="B120" s="430" t="s">
        <v>344</v>
      </c>
      <c r="C120" s="430" t="s">
        <v>13534</v>
      </c>
      <c r="D120" s="430" t="s">
        <v>13540</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election activeCell="B14" sqref="B14"/>
    </sheetView>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14555</v>
      </c>
      <c r="B1" s="1409" t="s">
        <v>308</v>
      </c>
    </row>
    <row r="2" spans="1:42">
      <c r="A2" s="1409" t="s">
        <v>310</v>
      </c>
      <c r="B2" s="1409" t="s">
        <v>323</v>
      </c>
      <c r="C2" s="1409" t="s">
        <v>333</v>
      </c>
      <c r="D2" s="1409" t="s">
        <v>14599</v>
      </c>
      <c r="E2" s="1409" t="s">
        <v>14600</v>
      </c>
      <c r="F2" s="1409" t="s">
        <v>14595</v>
      </c>
      <c r="G2" s="1409" t="s">
        <v>14596</v>
      </c>
      <c r="H2" s="1409" t="s">
        <v>14597</v>
      </c>
      <c r="I2" s="1409" t="s">
        <v>14598</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13541</v>
      </c>
      <c r="C3" s="1409" t="s">
        <v>14568</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7.0441298917568701E-2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7.0441298917568701E-2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7.0441298917568701E-2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7.0441298917568701E-2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7.0441298917568701E-2</v>
      </c>
      <c r="AO3" s="1401">
        <f t="shared" ref="AO3:AP3" si="1">AN3</f>
        <v>7.0441298917568701E-2</v>
      </c>
      <c r="AP3" s="1401">
        <f t="shared" si="1"/>
        <v>7.0441298917568701E-2</v>
      </c>
    </row>
    <row r="4" spans="1:42">
      <c r="B4" s="1409" t="s">
        <v>14556</v>
      </c>
      <c r="C4" s="1409" t="s">
        <v>14568</v>
      </c>
      <c r="D4" s="1409" t="s">
        <v>14604</v>
      </c>
      <c r="E4" s="1409" t="s">
        <v>1199</v>
      </c>
      <c r="F4" s="1409" t="s">
        <v>334</v>
      </c>
      <c r="G4" s="1409" t="s">
        <v>337</v>
      </c>
      <c r="H4" s="1409" t="s">
        <v>334</v>
      </c>
      <c r="I4" s="1409">
        <v>0</v>
      </c>
      <c r="J4" s="1689">
        <v>0.999</v>
      </c>
    </row>
    <row r="5" spans="1:42">
      <c r="A5" s="1409" t="s">
        <v>310</v>
      </c>
      <c r="B5" s="1409" t="s">
        <v>14759</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14594</v>
      </c>
      <c r="C6" s="1409" t="s">
        <v>14582</v>
      </c>
      <c r="D6" s="1409" t="s">
        <v>334</v>
      </c>
      <c r="E6" s="1409" t="s">
        <v>334</v>
      </c>
      <c r="F6" s="1409" t="s">
        <v>334</v>
      </c>
      <c r="G6" s="1409" t="s">
        <v>337</v>
      </c>
      <c r="H6" s="1409" t="s">
        <v>1194</v>
      </c>
      <c r="I6" s="1409">
        <v>0</v>
      </c>
      <c r="J6" s="1409">
        <v>0.01</v>
      </c>
    </row>
    <row r="7" spans="1:42">
      <c r="B7" s="1409" t="s">
        <v>14594</v>
      </c>
      <c r="C7" s="1409" t="s">
        <v>14582</v>
      </c>
      <c r="D7" s="1409" t="s">
        <v>334</v>
      </c>
      <c r="E7" s="1409" t="s">
        <v>334</v>
      </c>
      <c r="F7" s="1409" t="s">
        <v>334</v>
      </c>
      <c r="G7" s="1409" t="s">
        <v>337</v>
      </c>
      <c r="H7" s="1409" t="s">
        <v>338</v>
      </c>
      <c r="I7" s="1409">
        <v>0</v>
      </c>
      <c r="J7" s="1409">
        <v>0.01</v>
      </c>
    </row>
    <row r="12" spans="1:42">
      <c r="A12" s="1409" t="s">
        <v>310</v>
      </c>
    </row>
    <row r="13" spans="1:42">
      <c r="A13" s="1409" t="s">
        <v>310</v>
      </c>
      <c r="B13" s="1409" t="s">
        <v>14771</v>
      </c>
    </row>
    <row r="14" spans="1:42">
      <c r="A14" s="1409" t="s">
        <v>310</v>
      </c>
      <c r="D14" s="1409">
        <v>2020</v>
      </c>
      <c r="E14" s="1409">
        <v>2030</v>
      </c>
    </row>
    <row r="15" spans="1:42">
      <c r="A15" s="1409" t="s">
        <v>310</v>
      </c>
      <c r="B15" s="1409" t="s">
        <v>14760</v>
      </c>
    </row>
    <row r="16" spans="1:42">
      <c r="A16" s="1409" t="s">
        <v>310</v>
      </c>
      <c r="B16" s="1409" t="s">
        <v>14761</v>
      </c>
      <c r="D16" s="1409">
        <v>120000</v>
      </c>
      <c r="E16" s="1409">
        <v>120000</v>
      </c>
    </row>
    <row r="17" spans="1:5">
      <c r="A17" s="1409" t="s">
        <v>310</v>
      </c>
      <c r="B17" s="1409" t="s">
        <v>14762</v>
      </c>
      <c r="D17" s="1409">
        <v>7.6476644510745446</v>
      </c>
      <c r="E17" s="1409">
        <v>7.6476644510745446</v>
      </c>
    </row>
    <row r="18" spans="1:5">
      <c r="A18" s="1409" t="s">
        <v>310</v>
      </c>
      <c r="B18" s="1409" t="s">
        <v>14763</v>
      </c>
      <c r="D18" s="1409">
        <v>100</v>
      </c>
      <c r="E18" s="1409">
        <v>1000</v>
      </c>
    </row>
    <row r="19" spans="1:5">
      <c r="A19" s="1409" t="s">
        <v>310</v>
      </c>
      <c r="B19" s="1409" t="s">
        <v>1658</v>
      </c>
      <c r="C19" s="1409" t="s">
        <v>1146</v>
      </c>
      <c r="D19" s="1409">
        <v>764766.44510745455</v>
      </c>
      <c r="E19" s="1409">
        <v>7647664.4510745443</v>
      </c>
    </row>
    <row r="20" spans="1:5">
      <c r="A20" s="1409" t="s">
        <v>310</v>
      </c>
      <c r="B20" s="1409" t="s">
        <v>1658</v>
      </c>
      <c r="C20" s="1409" t="s">
        <v>1145</v>
      </c>
      <c r="D20" s="1409">
        <v>91771.973412894542</v>
      </c>
      <c r="E20" s="1409">
        <v>917719.73412894539</v>
      </c>
    </row>
    <row r="21" spans="1:5">
      <c r="A21" s="1409" t="s">
        <v>310</v>
      </c>
      <c r="B21" s="1409" t="s">
        <v>1123</v>
      </c>
      <c r="C21" s="1409" t="s">
        <v>14764</v>
      </c>
      <c r="D21" s="1409">
        <v>25487916</v>
      </c>
      <c r="E21" s="1409">
        <v>136199890</v>
      </c>
    </row>
    <row r="22" spans="1:5">
      <c r="A22" s="1409" t="s">
        <v>310</v>
      </c>
      <c r="B22" s="1409" t="s">
        <v>1123</v>
      </c>
      <c r="C22" s="1409" t="s">
        <v>14765</v>
      </c>
      <c r="D22" s="1409">
        <v>277.73093518787499</v>
      </c>
      <c r="E22" s="1409">
        <v>0</v>
      </c>
    </row>
    <row r="23" spans="1:5">
      <c r="A23" s="1409" t="s">
        <v>310</v>
      </c>
      <c r="B23" s="1409" t="s">
        <v>1123</v>
      </c>
      <c r="C23" s="1409" t="s">
        <v>14766</v>
      </c>
      <c r="D23" s="1409">
        <v>0</v>
      </c>
      <c r="E23" s="1409">
        <v>148.41120326269791</v>
      </c>
    </row>
    <row r="24" spans="1:5">
      <c r="A24" s="1409" t="s">
        <v>310</v>
      </c>
      <c r="B24" s="1409" t="s">
        <v>1123</v>
      </c>
      <c r="C24" s="1409" t="s">
        <v>14767</v>
      </c>
      <c r="D24" s="1409">
        <v>4165.964027818125</v>
      </c>
      <c r="E24" s="1409">
        <v>0</v>
      </c>
    </row>
    <row r="25" spans="1:5">
      <c r="A25" s="1409" t="s">
        <v>310</v>
      </c>
      <c r="B25" s="1409" t="s">
        <v>1123</v>
      </c>
      <c r="C25" s="1409" t="s">
        <v>14768</v>
      </c>
      <c r="D25" s="1409">
        <v>0</v>
      </c>
      <c r="E25" s="1409">
        <v>2226.1680489404685</v>
      </c>
    </row>
    <row r="26" spans="1:5">
      <c r="A26" s="1409" t="s">
        <v>310</v>
      </c>
      <c r="B26" s="1409" t="s">
        <v>1123</v>
      </c>
      <c r="C26" s="1409" t="s">
        <v>14770</v>
      </c>
      <c r="D26" s="1409">
        <v>3500.8101074101892</v>
      </c>
      <c r="E26" s="1409">
        <v>0</v>
      </c>
    </row>
    <row r="27" spans="1:5">
      <c r="A27" s="1409" t="s">
        <v>310</v>
      </c>
      <c r="B27" s="1409" t="s">
        <v>1123</v>
      </c>
      <c r="C27" s="1409" t="s">
        <v>14769</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election activeCell="A5" sqref="A5:XFD5"/>
    </sheetView>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14561</v>
      </c>
      <c r="B1" s="1409" t="s">
        <v>308</v>
      </c>
    </row>
    <row r="2" spans="1:9">
      <c r="A2" s="1409" t="s">
        <v>310</v>
      </c>
      <c r="B2" s="1409" t="s">
        <v>323</v>
      </c>
      <c r="C2" s="1409" t="s">
        <v>333</v>
      </c>
      <c r="D2" s="1409" t="s">
        <v>345</v>
      </c>
      <c r="E2" s="1409" t="s">
        <v>14601</v>
      </c>
      <c r="F2" s="1409" t="s">
        <v>14595</v>
      </c>
      <c r="G2" s="1409" t="s">
        <v>14596</v>
      </c>
      <c r="H2" s="1409" t="s">
        <v>14597</v>
      </c>
      <c r="I2" s="1409" t="s">
        <v>339</v>
      </c>
    </row>
    <row r="3" spans="1:9">
      <c r="B3" s="1409" t="s">
        <v>361</v>
      </c>
      <c r="C3" s="1409" t="s">
        <v>14568</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13564</v>
      </c>
      <c r="S1" s="430" t="s">
        <v>13565</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13566</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13567</v>
      </c>
      <c r="E3" s="430" t="s">
        <v>13568</v>
      </c>
      <c r="F3" s="430" t="s">
        <v>13569</v>
      </c>
      <c r="G3" s="430" t="s">
        <v>13570</v>
      </c>
      <c r="H3" s="430" t="s">
        <v>13571</v>
      </c>
      <c r="I3" s="430" t="s">
        <v>13572</v>
      </c>
      <c r="J3" s="430" t="s">
        <v>13573</v>
      </c>
      <c r="K3" s="430" t="s">
        <v>13574</v>
      </c>
      <c r="L3" s="430" t="s">
        <v>13575</v>
      </c>
      <c r="M3" s="430" t="s">
        <v>13576</v>
      </c>
      <c r="N3" s="430" t="s">
        <v>13577</v>
      </c>
      <c r="O3" s="430" t="s">
        <v>13578</v>
      </c>
      <c r="P3" s="430" t="s">
        <v>1013</v>
      </c>
      <c r="Q3" s="430" t="s">
        <v>13567</v>
      </c>
      <c r="R3" s="430" t="s">
        <v>13568</v>
      </c>
      <c r="S3" s="430" t="s">
        <v>13569</v>
      </c>
      <c r="T3" s="430" t="s">
        <v>13570</v>
      </c>
      <c r="U3" s="430" t="s">
        <v>13571</v>
      </c>
      <c r="V3" s="430" t="s">
        <v>13572</v>
      </c>
      <c r="W3" s="430" t="s">
        <v>13573</v>
      </c>
      <c r="X3" s="430" t="s">
        <v>13574</v>
      </c>
      <c r="Y3" s="430" t="s">
        <v>13575</v>
      </c>
      <c r="Z3" s="430" t="s">
        <v>13576</v>
      </c>
      <c r="AA3" s="430" t="s">
        <v>13577</v>
      </c>
      <c r="AB3" s="430" t="s">
        <v>13578</v>
      </c>
      <c r="AC3" s="430" t="s">
        <v>1013</v>
      </c>
    </row>
    <row r="4" spans="3:42">
      <c r="C4" s="430">
        <v>1960</v>
      </c>
      <c r="D4" s="430" t="s">
        <v>13579</v>
      </c>
      <c r="E4" s="430" t="s">
        <v>13579</v>
      </c>
      <c r="F4" s="430" t="s">
        <v>13579</v>
      </c>
      <c r="G4" s="430" t="s">
        <v>13579</v>
      </c>
      <c r="H4" s="430" t="s">
        <v>13579</v>
      </c>
      <c r="I4" s="430" t="s">
        <v>13579</v>
      </c>
      <c r="J4" s="430" t="s">
        <v>13579</v>
      </c>
      <c r="K4" s="430" t="s">
        <v>13579</v>
      </c>
      <c r="L4" s="430" t="s">
        <v>13579</v>
      </c>
      <c r="M4" s="430" t="s">
        <v>13579</v>
      </c>
      <c r="N4" s="430" t="s">
        <v>13579</v>
      </c>
      <c r="O4" s="430" t="s">
        <v>13579</v>
      </c>
      <c r="P4" s="430" t="s">
        <v>13579</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13579</v>
      </c>
      <c r="E5" s="430" t="s">
        <v>13579</v>
      </c>
      <c r="F5" s="430" t="s">
        <v>13579</v>
      </c>
      <c r="G5" s="430" t="s">
        <v>13579</v>
      </c>
      <c r="H5" s="430" t="s">
        <v>13579</v>
      </c>
      <c r="I5" s="430" t="s">
        <v>13579</v>
      </c>
      <c r="J5" s="430" t="s">
        <v>13579</v>
      </c>
      <c r="K5" s="430" t="s">
        <v>13579</v>
      </c>
      <c r="L5" s="430" t="s">
        <v>13579</v>
      </c>
      <c r="M5" s="430" t="s">
        <v>13579</v>
      </c>
      <c r="N5" s="430" t="s">
        <v>13579</v>
      </c>
      <c r="O5" s="430" t="s">
        <v>13579</v>
      </c>
      <c r="P5" s="430" t="s">
        <v>13579</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13579</v>
      </c>
      <c r="E6" s="430" t="s">
        <v>13579</v>
      </c>
      <c r="F6" s="430" t="s">
        <v>13579</v>
      </c>
      <c r="G6" s="430" t="s">
        <v>13579</v>
      </c>
      <c r="H6" s="430" t="s">
        <v>13579</v>
      </c>
      <c r="I6" s="430" t="s">
        <v>13579</v>
      </c>
      <c r="J6" s="430" t="s">
        <v>13579</v>
      </c>
      <c r="K6" s="430" t="s">
        <v>13579</v>
      </c>
      <c r="L6" s="430" t="s">
        <v>13579</v>
      </c>
      <c r="M6" s="430" t="s">
        <v>13579</v>
      </c>
      <c r="N6" s="430" t="s">
        <v>13579</v>
      </c>
      <c r="O6" s="430" t="s">
        <v>13579</v>
      </c>
      <c r="P6" s="430" t="s">
        <v>13579</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13579</v>
      </c>
      <c r="E7" s="430" t="s">
        <v>13579</v>
      </c>
      <c r="F7" s="430" t="s">
        <v>13579</v>
      </c>
      <c r="G7" s="430" t="s">
        <v>13579</v>
      </c>
      <c r="H7" s="430" t="s">
        <v>13579</v>
      </c>
      <c r="I7" s="430" t="s">
        <v>13579</v>
      </c>
      <c r="J7" s="430" t="s">
        <v>13579</v>
      </c>
      <c r="K7" s="430" t="s">
        <v>13579</v>
      </c>
      <c r="L7" s="430" t="s">
        <v>13579</v>
      </c>
      <c r="M7" s="430" t="s">
        <v>13579</v>
      </c>
      <c r="N7" s="430" t="s">
        <v>13579</v>
      </c>
      <c r="O7" s="430" t="s">
        <v>13579</v>
      </c>
      <c r="P7" s="430" t="s">
        <v>13579</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13579</v>
      </c>
      <c r="E8" s="430" t="s">
        <v>13579</v>
      </c>
      <c r="F8" s="430" t="s">
        <v>13579</v>
      </c>
      <c r="G8" s="430" t="s">
        <v>13580</v>
      </c>
      <c r="H8" s="430" t="s">
        <v>13580</v>
      </c>
      <c r="I8" s="430" t="s">
        <v>13580</v>
      </c>
      <c r="J8" s="430" t="s">
        <v>13580</v>
      </c>
      <c r="K8" s="430" t="s">
        <v>13580</v>
      </c>
      <c r="L8" s="430" t="s">
        <v>13580</v>
      </c>
      <c r="M8" s="430" t="s">
        <v>13580</v>
      </c>
      <c r="N8" s="430" t="s">
        <v>13580</v>
      </c>
      <c r="O8" s="430" t="s">
        <v>13580</v>
      </c>
      <c r="P8" s="430" t="s">
        <v>13580</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13580</v>
      </c>
      <c r="E9" s="430" t="s">
        <v>13580</v>
      </c>
      <c r="F9" s="430" t="s">
        <v>13580</v>
      </c>
      <c r="G9" s="430" t="s">
        <v>13580</v>
      </c>
      <c r="H9" s="430" t="s">
        <v>13580</v>
      </c>
      <c r="I9" s="430" t="s">
        <v>13580</v>
      </c>
      <c r="J9" s="430" t="s">
        <v>13580</v>
      </c>
      <c r="K9" s="430" t="s">
        <v>13580</v>
      </c>
      <c r="L9" s="430" t="s">
        <v>13580</v>
      </c>
      <c r="M9" s="430" t="s">
        <v>13580</v>
      </c>
      <c r="N9" s="430" t="s">
        <v>13580</v>
      </c>
      <c r="O9" s="430" t="s">
        <v>13580</v>
      </c>
      <c r="P9" s="430" t="s">
        <v>13580</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13580</v>
      </c>
      <c r="E10" s="430" t="s">
        <v>13580</v>
      </c>
      <c r="F10" s="430" t="s">
        <v>13581</v>
      </c>
      <c r="G10" s="430" t="s">
        <v>13581</v>
      </c>
      <c r="H10" s="430" t="s">
        <v>13581</v>
      </c>
      <c r="I10" s="430" t="s">
        <v>13581</v>
      </c>
      <c r="J10" s="430" t="s">
        <v>13581</v>
      </c>
      <c r="K10" s="430" t="s">
        <v>13581</v>
      </c>
      <c r="L10" s="430" t="s">
        <v>13581</v>
      </c>
      <c r="M10" s="430" t="s">
        <v>13581</v>
      </c>
      <c r="N10" s="430" t="s">
        <v>13581</v>
      </c>
      <c r="O10" s="430" t="s">
        <v>13581</v>
      </c>
      <c r="P10" s="430" t="s">
        <v>13581</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13581</v>
      </c>
      <c r="E11" s="430" t="s">
        <v>13581</v>
      </c>
      <c r="F11" s="430" t="s">
        <v>13581</v>
      </c>
      <c r="G11" s="430" t="s">
        <v>13581</v>
      </c>
      <c r="H11" s="430" t="s">
        <v>13581</v>
      </c>
      <c r="I11" s="430" t="s">
        <v>13581</v>
      </c>
      <c r="J11" s="430" t="s">
        <v>13581</v>
      </c>
      <c r="K11" s="430" t="s">
        <v>13581</v>
      </c>
      <c r="L11" s="430" t="s">
        <v>13581</v>
      </c>
      <c r="M11" s="430" t="s">
        <v>13581</v>
      </c>
      <c r="N11" s="430" t="s">
        <v>13581</v>
      </c>
      <c r="O11" s="430" t="s">
        <v>13581</v>
      </c>
      <c r="P11" s="430" t="s">
        <v>13581</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13581</v>
      </c>
      <c r="E12" s="430" t="s">
        <v>13581</v>
      </c>
      <c r="F12" s="430" t="s">
        <v>13581</v>
      </c>
      <c r="G12" s="430" t="s">
        <v>13581</v>
      </c>
      <c r="H12" s="430" t="s">
        <v>13581</v>
      </c>
      <c r="I12" s="430" t="s">
        <v>13581</v>
      </c>
      <c r="J12" s="430" t="s">
        <v>13582</v>
      </c>
      <c r="K12" s="430" t="s">
        <v>13582</v>
      </c>
      <c r="L12" s="430" t="s">
        <v>13582</v>
      </c>
      <c r="M12" s="430" t="s">
        <v>13582</v>
      </c>
      <c r="N12" s="430" t="s">
        <v>13582</v>
      </c>
      <c r="O12" s="430" t="s">
        <v>13582</v>
      </c>
      <c r="P12" s="430" t="s">
        <v>13582</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13582</v>
      </c>
      <c r="E13" s="430" t="s">
        <v>13582</v>
      </c>
      <c r="F13" s="430" t="s">
        <v>13582</v>
      </c>
      <c r="G13" s="430" t="s">
        <v>13582</v>
      </c>
      <c r="H13" s="430" t="s">
        <v>13582</v>
      </c>
      <c r="I13" s="430" t="s">
        <v>13582</v>
      </c>
      <c r="J13" s="430" t="s">
        <v>13582</v>
      </c>
      <c r="K13" s="430" t="s">
        <v>13582</v>
      </c>
      <c r="L13" s="430" t="s">
        <v>13582</v>
      </c>
      <c r="M13" s="430" t="s">
        <v>13583</v>
      </c>
      <c r="N13" s="430" t="s">
        <v>13583</v>
      </c>
      <c r="O13" s="430" t="s">
        <v>13583</v>
      </c>
      <c r="P13" s="430" t="s">
        <v>13582</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13583</v>
      </c>
      <c r="E14" s="430" t="s">
        <v>13583</v>
      </c>
      <c r="F14" s="430" t="s">
        <v>13583</v>
      </c>
      <c r="G14" s="430" t="s">
        <v>13583</v>
      </c>
      <c r="H14" s="430" t="s">
        <v>13583</v>
      </c>
      <c r="I14" s="430" t="s">
        <v>13583</v>
      </c>
      <c r="J14" s="430" t="s">
        <v>13583</v>
      </c>
      <c r="K14" s="430" t="s">
        <v>13584</v>
      </c>
      <c r="L14" s="430" t="s">
        <v>13584</v>
      </c>
      <c r="M14" s="430" t="s">
        <v>13584</v>
      </c>
      <c r="N14" s="430" t="s">
        <v>13584</v>
      </c>
      <c r="O14" s="430" t="s">
        <v>13584</v>
      </c>
      <c r="P14" s="430" t="s">
        <v>13583</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13584</v>
      </c>
      <c r="E15" s="430" t="s">
        <v>13584</v>
      </c>
      <c r="F15" s="430" t="s">
        <v>13584</v>
      </c>
      <c r="G15" s="430" t="s">
        <v>13584</v>
      </c>
      <c r="H15" s="430" t="s">
        <v>13584</v>
      </c>
      <c r="I15" s="430" t="s">
        <v>13584</v>
      </c>
      <c r="J15" s="430" t="s">
        <v>13584</v>
      </c>
      <c r="K15" s="430" t="s">
        <v>13585</v>
      </c>
      <c r="L15" s="430" t="s">
        <v>13585</v>
      </c>
      <c r="M15" s="430" t="s">
        <v>13585</v>
      </c>
      <c r="N15" s="430" t="s">
        <v>13585</v>
      </c>
      <c r="O15" s="430" t="s">
        <v>13585</v>
      </c>
      <c r="P15" s="430" t="s">
        <v>13584</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13585</v>
      </c>
      <c r="E16" s="430" t="s">
        <v>13585</v>
      </c>
      <c r="F16" s="430" t="s">
        <v>13585</v>
      </c>
      <c r="G16" s="430" t="s">
        <v>13585</v>
      </c>
      <c r="H16" s="430" t="s">
        <v>13585</v>
      </c>
      <c r="I16" s="430" t="s">
        <v>13585</v>
      </c>
      <c r="J16" s="430" t="s">
        <v>13586</v>
      </c>
      <c r="K16" s="430" t="s">
        <v>13586</v>
      </c>
      <c r="L16" s="430" t="s">
        <v>13586</v>
      </c>
      <c r="M16" s="430" t="s">
        <v>13587</v>
      </c>
      <c r="N16" s="430" t="s">
        <v>13587</v>
      </c>
      <c r="O16" s="430" t="s">
        <v>13587</v>
      </c>
      <c r="P16" s="430" t="s">
        <v>13586</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13587</v>
      </c>
      <c r="E17" s="430" t="s">
        <v>13587</v>
      </c>
      <c r="F17" s="430" t="s">
        <v>13587</v>
      </c>
      <c r="G17" s="430" t="s">
        <v>13588</v>
      </c>
      <c r="H17" s="430" t="s">
        <v>13588</v>
      </c>
      <c r="I17" s="430" t="s">
        <v>13588</v>
      </c>
      <c r="J17" s="430" t="s">
        <v>13588</v>
      </c>
      <c r="K17" s="430" t="s">
        <v>13588</v>
      </c>
      <c r="L17" s="430" t="s">
        <v>13588</v>
      </c>
      <c r="M17" s="430" t="s">
        <v>13589</v>
      </c>
      <c r="N17" s="430" t="s">
        <v>13589</v>
      </c>
      <c r="O17" s="430" t="s">
        <v>13589</v>
      </c>
      <c r="P17" s="430" t="s">
        <v>13588</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13589</v>
      </c>
      <c r="E18" s="430" t="s">
        <v>13589</v>
      </c>
      <c r="F18" s="430" t="s">
        <v>13590</v>
      </c>
      <c r="G18" s="430" t="s">
        <v>13590</v>
      </c>
      <c r="H18" s="430" t="s">
        <v>13590</v>
      </c>
      <c r="I18" s="430" t="s">
        <v>13591</v>
      </c>
      <c r="J18" s="430" t="s">
        <v>13591</v>
      </c>
      <c r="K18" s="430" t="s">
        <v>13591</v>
      </c>
      <c r="L18" s="430" t="s">
        <v>13592</v>
      </c>
      <c r="M18" s="430" t="s">
        <v>13592</v>
      </c>
      <c r="N18" s="430" t="s">
        <v>13592</v>
      </c>
      <c r="O18" s="430" t="s">
        <v>13592</v>
      </c>
      <c r="P18" s="430" t="s">
        <v>13591</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13593</v>
      </c>
      <c r="E19" s="430" t="s">
        <v>13593</v>
      </c>
      <c r="F19" s="430" t="s">
        <v>13593</v>
      </c>
      <c r="G19" s="430" t="s">
        <v>13594</v>
      </c>
      <c r="H19" s="430" t="s">
        <v>13594</v>
      </c>
      <c r="I19" s="430" t="s">
        <v>13594</v>
      </c>
      <c r="J19" s="430" t="s">
        <v>13595</v>
      </c>
      <c r="K19" s="430" t="s">
        <v>13595</v>
      </c>
      <c r="L19" s="430" t="s">
        <v>13595</v>
      </c>
      <c r="M19" s="430" t="s">
        <v>13595</v>
      </c>
      <c r="N19" s="430" t="s">
        <v>13596</v>
      </c>
      <c r="O19" s="430" t="s">
        <v>13596</v>
      </c>
      <c r="P19" s="430" t="s">
        <v>13594</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13596</v>
      </c>
      <c r="E20" s="430" t="s">
        <v>13596</v>
      </c>
      <c r="F20" s="430" t="s">
        <v>13597</v>
      </c>
      <c r="G20" s="430" t="s">
        <v>13597</v>
      </c>
      <c r="H20" s="430" t="s">
        <v>13597</v>
      </c>
      <c r="I20" s="430" t="s">
        <v>13598</v>
      </c>
      <c r="J20" s="430" t="s">
        <v>13598</v>
      </c>
      <c r="K20" s="430" t="s">
        <v>13599</v>
      </c>
      <c r="L20" s="430" t="s">
        <v>13599</v>
      </c>
      <c r="M20" s="430" t="s">
        <v>13599</v>
      </c>
      <c r="N20" s="430" t="s">
        <v>13599</v>
      </c>
      <c r="O20" s="430" t="s">
        <v>13599</v>
      </c>
      <c r="P20" s="430" t="s">
        <v>13598</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13600</v>
      </c>
      <c r="E21" s="430" t="s">
        <v>13600</v>
      </c>
      <c r="F21" s="430" t="s">
        <v>13600</v>
      </c>
      <c r="G21" s="430" t="s">
        <v>13601</v>
      </c>
      <c r="H21" s="430" t="s">
        <v>13601</v>
      </c>
      <c r="I21" s="430" t="s">
        <v>13601</v>
      </c>
      <c r="J21" s="430" t="s">
        <v>13601</v>
      </c>
      <c r="K21" s="430" t="s">
        <v>13602</v>
      </c>
      <c r="L21" s="430" t="s">
        <v>13602</v>
      </c>
      <c r="M21" s="430" t="s">
        <v>13602</v>
      </c>
      <c r="N21" s="430" t="s">
        <v>13602</v>
      </c>
      <c r="O21" s="430" t="s">
        <v>13603</v>
      </c>
      <c r="P21" s="430" t="s">
        <v>13601</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13603</v>
      </c>
      <c r="E22" s="430" t="s">
        <v>13603</v>
      </c>
      <c r="F22" s="430" t="s">
        <v>13603</v>
      </c>
      <c r="G22" s="430" t="s">
        <v>13604</v>
      </c>
      <c r="H22" s="430" t="s">
        <v>13604</v>
      </c>
      <c r="I22" s="430" t="s">
        <v>13604</v>
      </c>
      <c r="J22" s="430" t="s">
        <v>13605</v>
      </c>
      <c r="K22" s="430" t="s">
        <v>13605</v>
      </c>
      <c r="L22" s="430" t="s">
        <v>13606</v>
      </c>
      <c r="M22" s="430" t="s">
        <v>13606</v>
      </c>
      <c r="N22" s="430" t="s">
        <v>13606</v>
      </c>
      <c r="O22" s="430" t="s">
        <v>13606</v>
      </c>
      <c r="P22" s="430" t="s">
        <v>13607</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13608</v>
      </c>
      <c r="E23" s="430" t="s">
        <v>13608</v>
      </c>
      <c r="F23" s="430" t="s">
        <v>13609</v>
      </c>
      <c r="G23" s="430" t="s">
        <v>13609</v>
      </c>
      <c r="H23" s="430" t="s">
        <v>13609</v>
      </c>
      <c r="I23" s="430" t="s">
        <v>13610</v>
      </c>
      <c r="J23" s="430" t="s">
        <v>13611</v>
      </c>
      <c r="K23" s="430" t="s">
        <v>13611</v>
      </c>
      <c r="L23" s="430" t="s">
        <v>13612</v>
      </c>
      <c r="M23" s="430" t="s">
        <v>13612</v>
      </c>
      <c r="N23" s="430" t="s">
        <v>13612</v>
      </c>
      <c r="O23" s="430" t="s">
        <v>13613</v>
      </c>
      <c r="P23" s="430" t="s">
        <v>13614</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13613</v>
      </c>
      <c r="E24" s="430" t="s">
        <v>13615</v>
      </c>
      <c r="F24" s="430" t="s">
        <v>13615</v>
      </c>
      <c r="G24" s="430" t="s">
        <v>13615</v>
      </c>
      <c r="H24" s="430" t="s">
        <v>13616</v>
      </c>
      <c r="I24" s="430" t="s">
        <v>13617</v>
      </c>
      <c r="J24" s="430" t="s">
        <v>13618</v>
      </c>
      <c r="K24" s="430" t="s">
        <v>13618</v>
      </c>
      <c r="L24" s="430" t="s">
        <v>13619</v>
      </c>
      <c r="M24" s="430" t="s">
        <v>13620</v>
      </c>
      <c r="N24" s="430" t="s">
        <v>13620</v>
      </c>
      <c r="O24" s="430" t="s">
        <v>13621</v>
      </c>
      <c r="P24" s="430" t="s">
        <v>13618</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13621</v>
      </c>
      <c r="E25" s="430" t="s">
        <v>13622</v>
      </c>
      <c r="F25" s="430" t="s">
        <v>13622</v>
      </c>
      <c r="G25" s="430" t="s">
        <v>13622</v>
      </c>
      <c r="H25" s="430" t="s">
        <v>13623</v>
      </c>
      <c r="I25" s="430" t="s">
        <v>13624</v>
      </c>
      <c r="J25" s="430" t="s">
        <v>13625</v>
      </c>
      <c r="K25" s="430" t="s">
        <v>13626</v>
      </c>
      <c r="L25" s="430" t="s">
        <v>13627</v>
      </c>
      <c r="M25" s="430" t="s">
        <v>13627</v>
      </c>
      <c r="N25" s="430" t="s">
        <v>13628</v>
      </c>
      <c r="O25" s="430" t="s">
        <v>13628</v>
      </c>
      <c r="P25" s="430" t="s">
        <v>13625</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13628</v>
      </c>
      <c r="E26" s="430" t="s">
        <v>13629</v>
      </c>
      <c r="F26" s="430" t="s">
        <v>13630</v>
      </c>
      <c r="G26" s="430" t="s">
        <v>13630</v>
      </c>
      <c r="H26" s="430" t="s">
        <v>13631</v>
      </c>
      <c r="I26" s="430" t="s">
        <v>13631</v>
      </c>
      <c r="J26" s="430" t="s">
        <v>13632</v>
      </c>
      <c r="K26" s="430" t="s">
        <v>13633</v>
      </c>
      <c r="L26" s="430" t="s">
        <v>13634</v>
      </c>
      <c r="M26" s="430" t="s">
        <v>13635</v>
      </c>
      <c r="N26" s="430" t="s">
        <v>13636</v>
      </c>
      <c r="O26" s="430" t="s">
        <v>13636</v>
      </c>
      <c r="P26" s="430" t="s">
        <v>13632</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13636</v>
      </c>
      <c r="E27" s="430" t="s">
        <v>13637</v>
      </c>
      <c r="F27" s="430" t="s">
        <v>13637</v>
      </c>
      <c r="G27" s="430" t="s">
        <v>13638</v>
      </c>
      <c r="H27" s="430" t="s">
        <v>13639</v>
      </c>
      <c r="I27" s="430" t="s">
        <v>13639</v>
      </c>
      <c r="J27" s="430" t="s">
        <v>13640</v>
      </c>
      <c r="K27" s="430" t="s">
        <v>13641</v>
      </c>
      <c r="L27" s="430" t="s">
        <v>13641</v>
      </c>
      <c r="M27" s="430" t="s">
        <v>13642</v>
      </c>
      <c r="N27" s="430" t="s">
        <v>13643</v>
      </c>
      <c r="O27" s="430" t="s">
        <v>13643</v>
      </c>
      <c r="P27" s="430" t="s">
        <v>13640</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13644</v>
      </c>
      <c r="E28" s="430" t="s">
        <v>13644</v>
      </c>
      <c r="F28" s="430" t="s">
        <v>13645</v>
      </c>
      <c r="G28" s="430" t="s">
        <v>13646</v>
      </c>
      <c r="H28" s="430" t="s">
        <v>13647</v>
      </c>
      <c r="I28" s="430" t="s">
        <v>13647</v>
      </c>
      <c r="J28" s="430" t="s">
        <v>13648</v>
      </c>
      <c r="K28" s="430" t="s">
        <v>13649</v>
      </c>
      <c r="L28" s="430" t="s">
        <v>13650</v>
      </c>
      <c r="M28" s="430" t="s">
        <v>13651</v>
      </c>
      <c r="N28" s="430" t="s">
        <v>13652</v>
      </c>
      <c r="O28" s="430" t="s">
        <v>13653</v>
      </c>
      <c r="P28" s="430" t="s">
        <v>13648</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13654</v>
      </c>
      <c r="E29" s="430" t="s">
        <v>13655</v>
      </c>
      <c r="F29" s="430" t="s">
        <v>13655</v>
      </c>
      <c r="G29" s="430" t="s">
        <v>13656</v>
      </c>
      <c r="H29" s="430" t="s">
        <v>13657</v>
      </c>
      <c r="I29" s="430" t="s">
        <v>13658</v>
      </c>
      <c r="J29" s="430" t="s">
        <v>13658</v>
      </c>
      <c r="K29" s="430" t="s">
        <v>13659</v>
      </c>
      <c r="L29" s="430" t="s">
        <v>13660</v>
      </c>
      <c r="M29" s="430" t="s">
        <v>13661</v>
      </c>
      <c r="N29" s="430" t="s">
        <v>13662</v>
      </c>
      <c r="O29" s="430" t="s">
        <v>13663</v>
      </c>
      <c r="P29" s="430" t="s">
        <v>13658</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13664</v>
      </c>
      <c r="E30" s="430" t="s">
        <v>13665</v>
      </c>
      <c r="F30" s="430" t="s">
        <v>13666</v>
      </c>
      <c r="G30" s="430" t="s">
        <v>13667</v>
      </c>
      <c r="H30" s="430" t="s">
        <v>13667</v>
      </c>
      <c r="I30" s="430" t="s">
        <v>13668</v>
      </c>
      <c r="J30" s="430" t="s">
        <v>13669</v>
      </c>
      <c r="K30" s="430" t="s">
        <v>13670</v>
      </c>
      <c r="L30" s="430" t="s">
        <v>13671</v>
      </c>
      <c r="M30" s="430" t="s">
        <v>13672</v>
      </c>
      <c r="N30" s="430" t="s">
        <v>13673</v>
      </c>
      <c r="O30" s="430" t="s">
        <v>13674</v>
      </c>
      <c r="P30" s="430" t="s">
        <v>13669</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13675</v>
      </c>
      <c r="E31" s="430" t="s">
        <v>13676</v>
      </c>
      <c r="F31" s="430" t="s">
        <v>13677</v>
      </c>
      <c r="G31" s="430" t="s">
        <v>13678</v>
      </c>
      <c r="H31" s="430" t="s">
        <v>13679</v>
      </c>
      <c r="I31" s="430" t="s">
        <v>13680</v>
      </c>
      <c r="J31" s="430" t="s">
        <v>13681</v>
      </c>
      <c r="K31" s="430" t="s">
        <v>13682</v>
      </c>
      <c r="L31" s="430" t="s">
        <v>13683</v>
      </c>
      <c r="M31" s="430" t="s">
        <v>13684</v>
      </c>
      <c r="N31" s="430" t="s">
        <v>13685</v>
      </c>
      <c r="O31" s="430" t="s">
        <v>13686</v>
      </c>
      <c r="P31" s="430" t="s">
        <v>13681</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13687</v>
      </c>
      <c r="E32" s="430" t="s">
        <v>13687</v>
      </c>
      <c r="F32" s="430" t="s">
        <v>13688</v>
      </c>
      <c r="G32" s="430" t="s">
        <v>13689</v>
      </c>
      <c r="H32" s="430" t="s">
        <v>13690</v>
      </c>
      <c r="I32" s="430" t="s">
        <v>13691</v>
      </c>
      <c r="J32" s="430" t="s">
        <v>13692</v>
      </c>
      <c r="K32" s="430" t="s">
        <v>13693</v>
      </c>
      <c r="L32" s="430" t="s">
        <v>13694</v>
      </c>
      <c r="M32" s="430" t="s">
        <v>13695</v>
      </c>
      <c r="N32" s="430" t="s">
        <v>13696</v>
      </c>
      <c r="O32" s="430" t="s">
        <v>13697</v>
      </c>
      <c r="P32" s="430" t="s">
        <v>13692</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13698</v>
      </c>
      <c r="E33" s="430" t="s">
        <v>13699</v>
      </c>
      <c r="F33" s="430" t="s">
        <v>13700</v>
      </c>
      <c r="G33" s="430" t="s">
        <v>13701</v>
      </c>
      <c r="H33" s="430" t="s">
        <v>13702</v>
      </c>
      <c r="I33" s="430" t="s">
        <v>13703</v>
      </c>
      <c r="J33" s="430" t="s">
        <v>13704</v>
      </c>
      <c r="K33" s="430" t="s">
        <v>13705</v>
      </c>
      <c r="L33" s="430" t="s">
        <v>13706</v>
      </c>
      <c r="M33" s="430" t="s">
        <v>13707</v>
      </c>
      <c r="N33" s="430" t="s">
        <v>13708</v>
      </c>
      <c r="O33" s="430" t="s">
        <v>13709</v>
      </c>
      <c r="P33" s="430" t="s">
        <v>13710</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13711</v>
      </c>
      <c r="E34" s="430" t="s">
        <v>13712</v>
      </c>
      <c r="F34" s="430" t="s">
        <v>13713</v>
      </c>
      <c r="G34" s="430" t="s">
        <v>13714</v>
      </c>
      <c r="H34" s="430" t="s">
        <v>13715</v>
      </c>
      <c r="I34" s="430" t="s">
        <v>13716</v>
      </c>
      <c r="J34" s="430" t="s">
        <v>13717</v>
      </c>
      <c r="K34" s="430" t="s">
        <v>13718</v>
      </c>
      <c r="L34" s="430" t="s">
        <v>13719</v>
      </c>
      <c r="M34" s="430" t="s">
        <v>13720</v>
      </c>
      <c r="N34" s="430" t="s">
        <v>13721</v>
      </c>
      <c r="O34" s="430" t="s">
        <v>13722</v>
      </c>
      <c r="P34" s="430" t="s">
        <v>13717</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13723</v>
      </c>
      <c r="E35" s="430" t="s">
        <v>13724</v>
      </c>
      <c r="F35" s="430" t="s">
        <v>13725</v>
      </c>
      <c r="G35" s="430" t="s">
        <v>13726</v>
      </c>
      <c r="H35" s="430" t="s">
        <v>13727</v>
      </c>
      <c r="I35" s="430" t="s">
        <v>13728</v>
      </c>
      <c r="J35" s="430" t="s">
        <v>13729</v>
      </c>
      <c r="K35" s="430" t="s">
        <v>13730</v>
      </c>
      <c r="L35" s="430" t="s">
        <v>13731</v>
      </c>
      <c r="M35" s="430" t="s">
        <v>13732</v>
      </c>
      <c r="N35" s="430" t="s">
        <v>13733</v>
      </c>
      <c r="O35" s="430" t="s">
        <v>13734</v>
      </c>
      <c r="P35" s="430" t="s">
        <v>13729</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13735</v>
      </c>
      <c r="E36" s="430" t="s">
        <v>13736</v>
      </c>
      <c r="F36" s="430" t="s">
        <v>13737</v>
      </c>
      <c r="G36" s="430" t="s">
        <v>13738</v>
      </c>
      <c r="H36" s="430" t="s">
        <v>13739</v>
      </c>
      <c r="I36" s="430" t="s">
        <v>13740</v>
      </c>
      <c r="J36" s="430" t="s">
        <v>13741</v>
      </c>
      <c r="K36" s="430" t="s">
        <v>13742</v>
      </c>
      <c r="L36" s="430" t="s">
        <v>13743</v>
      </c>
      <c r="M36" s="430" t="s">
        <v>13744</v>
      </c>
      <c r="N36" s="430" t="s">
        <v>13745</v>
      </c>
      <c r="O36" s="430" t="s">
        <v>13745</v>
      </c>
      <c r="P36" s="430" t="s">
        <v>13746</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13747</v>
      </c>
      <c r="E37" s="430" t="s">
        <v>13748</v>
      </c>
      <c r="F37" s="430" t="s">
        <v>13749</v>
      </c>
      <c r="G37" s="430" t="s">
        <v>13750</v>
      </c>
      <c r="H37" s="430" t="s">
        <v>13751</v>
      </c>
      <c r="I37" s="430" t="s">
        <v>13752</v>
      </c>
      <c r="J37" s="430" t="s">
        <v>13753</v>
      </c>
      <c r="K37" s="430" t="s">
        <v>13754</v>
      </c>
      <c r="L37" s="430" t="s">
        <v>13755</v>
      </c>
      <c r="M37" s="430" t="s">
        <v>13756</v>
      </c>
      <c r="N37" s="430" t="s">
        <v>13757</v>
      </c>
      <c r="O37" s="430" t="s">
        <v>13758</v>
      </c>
      <c r="P37" s="430" t="s">
        <v>13759</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13760</v>
      </c>
      <c r="E38" s="430" t="s">
        <v>13761</v>
      </c>
      <c r="F38" s="430" t="s">
        <v>13762</v>
      </c>
      <c r="G38" s="430" t="s">
        <v>13763</v>
      </c>
      <c r="H38" s="430" t="s">
        <v>13764</v>
      </c>
      <c r="I38" s="430" t="s">
        <v>13765</v>
      </c>
      <c r="J38" s="430" t="s">
        <v>13766</v>
      </c>
      <c r="K38" s="430" t="s">
        <v>13767</v>
      </c>
      <c r="L38" s="430" t="s">
        <v>13768</v>
      </c>
      <c r="M38" s="430" t="s">
        <v>13769</v>
      </c>
      <c r="N38" s="430" t="s">
        <v>13770</v>
      </c>
      <c r="O38" s="430" t="s">
        <v>13770</v>
      </c>
      <c r="P38" s="430" t="s">
        <v>13771</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13772</v>
      </c>
      <c r="E39" s="430" t="s">
        <v>13773</v>
      </c>
      <c r="F39" s="430" t="s">
        <v>13774</v>
      </c>
      <c r="G39" s="430" t="s">
        <v>13775</v>
      </c>
      <c r="H39" s="430" t="s">
        <v>13776</v>
      </c>
      <c r="I39" s="430" t="s">
        <v>13776</v>
      </c>
      <c r="J39" s="430" t="s">
        <v>13777</v>
      </c>
      <c r="K39" s="430" t="s">
        <v>13778</v>
      </c>
      <c r="L39" s="430" t="s">
        <v>13778</v>
      </c>
      <c r="M39" s="430" t="s">
        <v>13779</v>
      </c>
      <c r="N39" s="430" t="s">
        <v>13780</v>
      </c>
      <c r="O39" s="430" t="s">
        <v>13781</v>
      </c>
      <c r="P39" s="430" t="s">
        <v>13776</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13782</v>
      </c>
      <c r="E40" s="430" t="s">
        <v>13783</v>
      </c>
      <c r="F40" s="430" t="s">
        <v>13784</v>
      </c>
      <c r="G40" s="430" t="s">
        <v>13785</v>
      </c>
      <c r="H40" s="430" t="s">
        <v>13786</v>
      </c>
      <c r="I40" s="430" t="s">
        <v>13787</v>
      </c>
      <c r="J40" s="430" t="s">
        <v>13788</v>
      </c>
      <c r="K40" s="430" t="s">
        <v>13789</v>
      </c>
      <c r="L40" s="430" t="s">
        <v>13790</v>
      </c>
      <c r="M40" s="430" t="s">
        <v>13791</v>
      </c>
      <c r="N40" s="430" t="s">
        <v>13792</v>
      </c>
      <c r="O40" s="430" t="s">
        <v>13793</v>
      </c>
      <c r="P40" s="430" t="s">
        <v>13794</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13795</v>
      </c>
      <c r="E41" s="430" t="s">
        <v>13796</v>
      </c>
      <c r="F41" s="430" t="s">
        <v>13797</v>
      </c>
      <c r="G41" s="430" t="s">
        <v>13798</v>
      </c>
      <c r="H41" s="430" t="s">
        <v>13799</v>
      </c>
      <c r="I41" s="430" t="s">
        <v>13800</v>
      </c>
      <c r="J41" s="430" t="s">
        <v>13801</v>
      </c>
      <c r="K41" s="430" t="s">
        <v>13801</v>
      </c>
      <c r="L41" s="430" t="s">
        <v>13802</v>
      </c>
      <c r="M41" s="430" t="s">
        <v>13803</v>
      </c>
      <c r="N41" s="430" t="s">
        <v>13802</v>
      </c>
      <c r="O41" s="430" t="s">
        <v>13803</v>
      </c>
      <c r="P41" s="430" t="s">
        <v>13804</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13805</v>
      </c>
      <c r="E42" s="430" t="s">
        <v>13806</v>
      </c>
      <c r="F42" s="430" t="s">
        <v>13807</v>
      </c>
      <c r="G42" s="430" t="s">
        <v>13808</v>
      </c>
      <c r="H42" s="430" t="s">
        <v>13809</v>
      </c>
      <c r="I42" s="430" t="s">
        <v>13810</v>
      </c>
      <c r="J42" s="430" t="s">
        <v>13811</v>
      </c>
      <c r="K42" s="430" t="s">
        <v>13812</v>
      </c>
      <c r="L42" s="430" t="s">
        <v>13813</v>
      </c>
      <c r="M42" s="430" t="s">
        <v>13814</v>
      </c>
      <c r="N42" s="430" t="s">
        <v>13814</v>
      </c>
      <c r="O42" s="430" t="s">
        <v>13814</v>
      </c>
      <c r="P42" s="430" t="s">
        <v>13815</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13816</v>
      </c>
      <c r="E43" s="430" t="s">
        <v>13816</v>
      </c>
      <c r="F43" s="430" t="s">
        <v>13816</v>
      </c>
      <c r="G43" s="430" t="s">
        <v>13817</v>
      </c>
      <c r="H43" s="430" t="s">
        <v>13817</v>
      </c>
      <c r="I43" s="430" t="s">
        <v>13818</v>
      </c>
      <c r="J43" s="430" t="s">
        <v>13818</v>
      </c>
      <c r="K43" s="430" t="s">
        <v>13819</v>
      </c>
      <c r="L43" s="430" t="s">
        <v>13818</v>
      </c>
      <c r="M43" s="430" t="s">
        <v>13820</v>
      </c>
      <c r="N43" s="430" t="s">
        <v>13821</v>
      </c>
      <c r="O43" s="430" t="s">
        <v>13822</v>
      </c>
      <c r="P43" s="430" t="s">
        <v>13818</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13823</v>
      </c>
      <c r="E44" s="430" t="s">
        <v>13824</v>
      </c>
      <c r="F44" s="430" t="s">
        <v>13825</v>
      </c>
      <c r="G44" s="430" t="s">
        <v>13826</v>
      </c>
      <c r="H44" s="430" t="s">
        <v>13827</v>
      </c>
      <c r="I44" s="430" t="s">
        <v>13828</v>
      </c>
      <c r="J44" s="430" t="s">
        <v>13829</v>
      </c>
      <c r="K44" s="430" t="s">
        <v>13830</v>
      </c>
      <c r="L44" s="430" t="s">
        <v>13831</v>
      </c>
      <c r="M44" s="430" t="s">
        <v>13832</v>
      </c>
      <c r="N44" s="430" t="s">
        <v>13833</v>
      </c>
      <c r="O44" s="430" t="s">
        <v>13834</v>
      </c>
      <c r="P44" s="430" t="s">
        <v>13828</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13835</v>
      </c>
      <c r="E45" s="430" t="s">
        <v>13836</v>
      </c>
      <c r="F45" s="430" t="s">
        <v>13837</v>
      </c>
      <c r="G45" s="430" t="s">
        <v>13838</v>
      </c>
      <c r="H45" s="430" t="s">
        <v>13839</v>
      </c>
      <c r="I45" s="430" t="s">
        <v>13840</v>
      </c>
      <c r="J45" s="430" t="s">
        <v>13840</v>
      </c>
      <c r="K45" s="430" t="s">
        <v>13841</v>
      </c>
      <c r="L45" s="430" t="s">
        <v>13840</v>
      </c>
      <c r="M45" s="430" t="s">
        <v>13840</v>
      </c>
      <c r="N45" s="430" t="s">
        <v>13842</v>
      </c>
      <c r="O45" s="430" t="s">
        <v>13843</v>
      </c>
      <c r="P45" s="430" t="s">
        <v>13839</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13844</v>
      </c>
      <c r="E46" s="430" t="s">
        <v>13845</v>
      </c>
      <c r="F46" s="430" t="s">
        <v>13846</v>
      </c>
      <c r="G46" s="430" t="s">
        <v>13847</v>
      </c>
      <c r="H46" s="430" t="s">
        <v>13848</v>
      </c>
      <c r="I46" s="430" t="s">
        <v>13849</v>
      </c>
      <c r="J46" s="430" t="s">
        <v>13850</v>
      </c>
      <c r="K46" s="430" t="s">
        <v>13851</v>
      </c>
      <c r="L46" s="430" t="s">
        <v>13852</v>
      </c>
      <c r="M46" s="430" t="s">
        <v>13853</v>
      </c>
      <c r="N46" s="430" t="s">
        <v>13854</v>
      </c>
      <c r="O46" s="430" t="s">
        <v>13854</v>
      </c>
      <c r="P46" s="430" t="s">
        <v>13855</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13856</v>
      </c>
      <c r="E47" s="430" t="s">
        <v>13857</v>
      </c>
      <c r="F47" s="430" t="s">
        <v>13858</v>
      </c>
      <c r="G47" s="430" t="s">
        <v>13859</v>
      </c>
      <c r="H47" s="430" t="s">
        <v>13858</v>
      </c>
      <c r="I47" s="430" t="s">
        <v>13860</v>
      </c>
      <c r="J47" s="430" t="s">
        <v>13860</v>
      </c>
      <c r="K47" s="430" t="s">
        <v>13858</v>
      </c>
      <c r="L47" s="430" t="s">
        <v>13860</v>
      </c>
      <c r="M47" s="430" t="s">
        <v>13856</v>
      </c>
      <c r="N47" s="430" t="s">
        <v>13861</v>
      </c>
      <c r="O47" s="430" t="s">
        <v>13861</v>
      </c>
      <c r="P47" s="430" t="s">
        <v>13862</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13863</v>
      </c>
      <c r="E48" s="430" t="s">
        <v>13860</v>
      </c>
      <c r="F48" s="430" t="s">
        <v>13864</v>
      </c>
      <c r="G48" s="430" t="s">
        <v>13865</v>
      </c>
      <c r="H48" s="430" t="s">
        <v>13865</v>
      </c>
      <c r="I48" s="430" t="s">
        <v>13866</v>
      </c>
      <c r="J48" s="430" t="s">
        <v>13867</v>
      </c>
      <c r="K48" s="430" t="s">
        <v>13867</v>
      </c>
      <c r="L48" s="430" t="s">
        <v>13867</v>
      </c>
      <c r="M48" s="430" t="s">
        <v>13868</v>
      </c>
      <c r="N48" s="430" t="s">
        <v>13869</v>
      </c>
      <c r="O48" s="430" t="s">
        <v>13870</v>
      </c>
      <c r="P48" s="430" t="s">
        <v>13866</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13871</v>
      </c>
      <c r="E49" s="430" t="s">
        <v>13872</v>
      </c>
      <c r="F49" s="430" t="s">
        <v>13873</v>
      </c>
      <c r="G49" s="430" t="s">
        <v>13874</v>
      </c>
      <c r="H49" s="430" t="s">
        <v>13874</v>
      </c>
      <c r="I49" s="430" t="s">
        <v>13875</v>
      </c>
      <c r="J49" s="430" t="s">
        <v>13876</v>
      </c>
      <c r="K49" s="430" t="s">
        <v>13877</v>
      </c>
      <c r="L49" s="430" t="s">
        <v>13878</v>
      </c>
      <c r="M49" s="430" t="s">
        <v>13878</v>
      </c>
      <c r="N49" s="430" t="s">
        <v>13878</v>
      </c>
      <c r="O49" s="430" t="s">
        <v>13878</v>
      </c>
      <c r="P49" s="430" t="s">
        <v>13879</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13880</v>
      </c>
      <c r="E50" s="430" t="s">
        <v>13881</v>
      </c>
      <c r="F50" s="430" t="s">
        <v>13882</v>
      </c>
      <c r="G50" s="430" t="s">
        <v>13883</v>
      </c>
      <c r="H50" s="430" t="s">
        <v>13884</v>
      </c>
      <c r="I50" s="430" t="s">
        <v>13885</v>
      </c>
      <c r="J50" s="430" t="s">
        <v>13886</v>
      </c>
      <c r="K50" s="430" t="s">
        <v>13887</v>
      </c>
      <c r="L50" s="430" t="s">
        <v>13888</v>
      </c>
      <c r="M50" s="430" t="s">
        <v>13889</v>
      </c>
      <c r="N50" s="430" t="s">
        <v>13888</v>
      </c>
      <c r="O50" s="430" t="s">
        <v>13890</v>
      </c>
      <c r="P50" s="430" t="s">
        <v>13891</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13892</v>
      </c>
      <c r="E51" s="430" t="s">
        <v>13893</v>
      </c>
      <c r="F51" s="430" t="s">
        <v>13894</v>
      </c>
      <c r="G51" s="430" t="s">
        <v>13895</v>
      </c>
      <c r="H51" s="430" t="s">
        <v>13896</v>
      </c>
      <c r="I51" s="430" t="s">
        <v>13897</v>
      </c>
      <c r="J51" s="430" t="s">
        <v>13898</v>
      </c>
      <c r="K51" s="430" t="s">
        <v>13899</v>
      </c>
      <c r="L51" s="430" t="s">
        <v>13900</v>
      </c>
      <c r="M51" s="430" t="s">
        <v>13901</v>
      </c>
      <c r="N51" s="430" t="s">
        <v>13902</v>
      </c>
      <c r="O51" s="430" t="s">
        <v>13903</v>
      </c>
      <c r="P51" s="430" t="s">
        <v>13904</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13905</v>
      </c>
      <c r="E52" s="430" t="s">
        <v>13906</v>
      </c>
      <c r="F52" s="430" t="s">
        <v>13907</v>
      </c>
      <c r="G52" s="430" t="s">
        <v>13908</v>
      </c>
      <c r="H52" s="430" t="s">
        <v>13909</v>
      </c>
      <c r="I52" s="430" t="s">
        <v>13910</v>
      </c>
      <c r="J52" s="430" t="s">
        <v>13911</v>
      </c>
      <c r="K52" s="430" t="s">
        <v>13912</v>
      </c>
      <c r="L52" s="430" t="s">
        <v>13913</v>
      </c>
      <c r="M52" s="430" t="s">
        <v>13913</v>
      </c>
      <c r="N52" s="430" t="s">
        <v>13914</v>
      </c>
      <c r="O52" s="430" t="s">
        <v>13915</v>
      </c>
      <c r="P52" s="430" t="s">
        <v>13916</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13917</v>
      </c>
      <c r="E53" s="430" t="s">
        <v>13918</v>
      </c>
      <c r="F53" s="430" t="s">
        <v>13919</v>
      </c>
      <c r="G53" s="430" t="s">
        <v>13920</v>
      </c>
      <c r="H53" s="430" t="s">
        <v>13921</v>
      </c>
      <c r="I53" s="430" t="s">
        <v>13922</v>
      </c>
      <c r="J53" s="430" t="s">
        <v>13923</v>
      </c>
      <c r="K53" s="430" t="s">
        <v>13924</v>
      </c>
      <c r="L53" s="430" t="s">
        <v>13925</v>
      </c>
      <c r="M53" s="430" t="s">
        <v>13925</v>
      </c>
      <c r="N53" s="430" t="s">
        <v>13925</v>
      </c>
      <c r="O53" s="430" t="s">
        <v>13926</v>
      </c>
      <c r="P53" s="430" t="s">
        <v>13927</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13928</v>
      </c>
      <c r="E54" s="430" t="s">
        <v>13929</v>
      </c>
      <c r="F54" s="430" t="s">
        <v>13930</v>
      </c>
      <c r="G54" s="430" t="s">
        <v>13931</v>
      </c>
      <c r="H54" s="430" t="s">
        <v>13932</v>
      </c>
      <c r="I54" s="430" t="s">
        <v>13932</v>
      </c>
      <c r="J54" s="430" t="s">
        <v>13933</v>
      </c>
      <c r="K54" s="430" t="s">
        <v>13933</v>
      </c>
      <c r="L54" s="430" t="s">
        <v>13934</v>
      </c>
      <c r="M54" s="430" t="s">
        <v>13935</v>
      </c>
      <c r="N54" s="430" t="s">
        <v>13936</v>
      </c>
      <c r="O54" s="430" t="s">
        <v>13937</v>
      </c>
      <c r="P54" s="430" t="s">
        <v>13938</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13939</v>
      </c>
      <c r="E55" s="430" t="s">
        <v>13940</v>
      </c>
      <c r="F55" s="430" t="s">
        <v>13941</v>
      </c>
      <c r="G55" s="430" t="s">
        <v>13942</v>
      </c>
      <c r="H55" s="430" t="s">
        <v>13943</v>
      </c>
      <c r="I55" s="430" t="s">
        <v>13944</v>
      </c>
      <c r="J55" s="430" t="s">
        <v>13945</v>
      </c>
      <c r="K55" s="430" t="s">
        <v>13946</v>
      </c>
      <c r="L55" s="430" t="s">
        <v>13947</v>
      </c>
      <c r="M55" s="430" t="s">
        <v>13948</v>
      </c>
      <c r="N55" s="430" t="s">
        <v>13949</v>
      </c>
      <c r="O55" s="430" t="s">
        <v>13950</v>
      </c>
      <c r="P55" s="430" t="s">
        <v>13951</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13952</v>
      </c>
      <c r="E56" s="430" t="s">
        <v>13953</v>
      </c>
      <c r="F56" s="430" t="s">
        <v>13954</v>
      </c>
      <c r="G56" s="430" t="s">
        <v>13955</v>
      </c>
      <c r="H56" s="430" t="s">
        <v>13955</v>
      </c>
      <c r="I56" s="430" t="s">
        <v>13956</v>
      </c>
      <c r="J56" s="430" t="s">
        <v>13957</v>
      </c>
      <c r="K56" s="430" t="s">
        <v>13958</v>
      </c>
      <c r="L56" s="430" t="s">
        <v>13959</v>
      </c>
      <c r="M56" s="430" t="s">
        <v>13960</v>
      </c>
      <c r="N56" s="430" t="s">
        <v>13961</v>
      </c>
      <c r="O56" s="430" t="s">
        <v>13962</v>
      </c>
      <c r="P56" s="430" t="s">
        <v>13957</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13963</v>
      </c>
      <c r="E57" s="430" t="s">
        <v>13964</v>
      </c>
      <c r="F57" s="430" t="s">
        <v>13965</v>
      </c>
      <c r="G57" s="430" t="s">
        <v>13966</v>
      </c>
      <c r="H57" s="430" t="s">
        <v>13967</v>
      </c>
      <c r="I57" s="430" t="s">
        <v>13966</v>
      </c>
      <c r="J57" s="430" t="s">
        <v>13968</v>
      </c>
      <c r="K57" s="430" t="s">
        <v>13969</v>
      </c>
      <c r="L57" s="430" t="s">
        <v>13970</v>
      </c>
      <c r="M57" s="430" t="s">
        <v>13971</v>
      </c>
      <c r="N57" s="430" t="s">
        <v>13972</v>
      </c>
      <c r="O57" s="430" t="s">
        <v>13973</v>
      </c>
      <c r="P57" s="430" t="s">
        <v>13974</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13976</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13976</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HydrogenELT2019</vt:lpstr>
      <vt:lpstr>H2Storage</vt:lpstr>
      <vt:lpstr>H2Storage-Items</vt:lpstr>
      <vt:lpstr>H2Storage-TSData</vt:lpstr>
      <vt:lpstr>H2Storage-TIDData</vt:lpstr>
      <vt:lpstr>Hydrogen2012</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2021-05-24T08:28:00Z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