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comments24.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5.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6.xml" ContentType="application/vnd.openxmlformats-officedocument.spreadsheetml.comments+xml"/>
  <Override PartName="/xl/threadedComments/threadedComment9.xml" ContentType="application/vnd.ms-excel.threadedcomments+xml"/>
  <Override PartName="/xl/comments27.xml" ContentType="application/vnd.openxmlformats-officedocument.spreadsheetml.comments+xml"/>
  <Override PartName="/xl/threadedComments/threadedComment10.xml" ContentType="application/vnd.ms-excel.threadedcomments+xml"/>
  <Override PartName="/xl/comments28.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drawings/drawing27.xml" ContentType="application/vnd.openxmlformats-officedocument.drawing+xml"/>
  <Override PartName="/xl/comments35.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6.xml" ContentType="application/vnd.openxmlformats-officedocument.spreadsheetml.comments+xml"/>
  <Override PartName="/xl/threadedComments/threadedComment11.xml" ContentType="application/vnd.ms-excel.threadedcomments+xml"/>
  <Override PartName="/xl/comments37.xml" ContentType="application/vnd.openxmlformats-officedocument.spreadsheetml.comments+xml"/>
  <Override PartName="/xl/comments38.xml" ContentType="application/vnd.openxmlformats-officedocument.spreadsheetml.comments+xml"/>
  <Override PartName="/xl/drawings/drawing28.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29.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3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FEB92497-7E75-41B4-8B06-366E485BF667}" xr6:coauthVersionLast="47" xr6:coauthVersionMax="47" xr10:uidLastSave="{00000000-0000-0000-0000-000000000000}"/>
  <bookViews>
    <workbookView xWindow="75" yWindow="525" windowWidth="28800" windowHeight="14745" firstSheet="44" activeTab="52" xr2:uid="{A8F69BB2-4447-4BDA-A230-C2FC73200F46}"/>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5" i="28" l="1"/>
  <c r="K44" i="28" s="1"/>
  <c r="L45" i="28"/>
  <c r="L44" i="28" s="1"/>
  <c r="M45" i="28"/>
  <c r="M44" i="28" s="1"/>
  <c r="N45" i="28"/>
  <c r="N44" i="28" s="1"/>
  <c r="O45" i="28"/>
  <c r="O44" i="28" s="1"/>
  <c r="P45" i="28"/>
  <c r="P44" i="28" s="1"/>
  <c r="Q45" i="28"/>
  <c r="Q44" i="28" s="1"/>
  <c r="R45" i="28"/>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S45" i="28"/>
  <c r="T45" i="28"/>
  <c r="U45" i="28"/>
  <c r="V45" i="28"/>
  <c r="W45" i="28"/>
  <c r="X45" i="28"/>
  <c r="Y45" i="28"/>
  <c r="Z45" i="28"/>
  <c r="AA45" i="28"/>
  <c r="AB45" i="28"/>
  <c r="AC45" i="28"/>
  <c r="AD45" i="28"/>
  <c r="AE45" i="28"/>
  <c r="AF45" i="28"/>
  <c r="AG45" i="28"/>
  <c r="AH45" i="28"/>
  <c r="AI45" i="28"/>
  <c r="AJ45" i="28"/>
  <c r="AK45" i="28"/>
  <c r="AL45" i="28"/>
  <c r="AM45" i="28"/>
  <c r="AN45" i="28"/>
  <c r="AO45" i="28"/>
  <c r="AP45" i="28"/>
  <c r="J45" i="28"/>
  <c r="J44" i="28" s="1"/>
  <c r="I69" i="6"/>
  <c r="J69" i="6"/>
  <c r="K69" i="6"/>
  <c r="S30" i="28" l="1"/>
  <c r="T30" i="28"/>
  <c r="M85" i="6"/>
  <c r="M92" i="6"/>
  <c r="D5" i="94"/>
  <c r="D4" i="92"/>
  <c r="I25" i="51" l="1"/>
  <c r="L25" i="51"/>
  <c r="N25" i="51"/>
  <c r="M25" i="51"/>
  <c r="AI33" i="51"/>
  <c r="AH33" i="51"/>
  <c r="AG33" i="51"/>
  <c r="AG32" i="51"/>
  <c r="AH31" i="51"/>
  <c r="AI31" i="51" s="1"/>
  <c r="AI30" i="51"/>
  <c r="AI32" i="51" s="1"/>
  <c r="AH30" i="51"/>
  <c r="AH32" i="51" s="1"/>
  <c r="Y19" i="51"/>
  <c r="Y18" i="51"/>
  <c r="Z22" i="51"/>
  <c r="Z21" i="51"/>
  <c r="Y21" i="51"/>
  <c r="Y17" i="51"/>
  <c r="F30" i="85"/>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F16" i="85" l="1"/>
  <c r="F15" i="85"/>
  <c r="I11" i="79"/>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X4" i="92" a="1"/>
  <c r="X4" i="92" s="1"/>
  <c r="AD4" i="92" a="1"/>
  <c r="AD4" i="92" s="1"/>
  <c r="AE4" i="92" a="1"/>
  <c r="AE4" i="92" s="1"/>
  <c r="AM4" i="92" a="1"/>
  <c r="AM4" i="92" s="1"/>
  <c r="W5" i="92" a="1"/>
  <c r="W5" i="92" s="1"/>
  <c r="X5" i="92" a="1"/>
  <c r="X5" i="92" s="1"/>
  <c r="AC5" i="92" a="1"/>
  <c r="AC5" i="92" s="1"/>
  <c r="AE5" i="92" a="1"/>
  <c r="AE5" i="92" s="1"/>
  <c r="AK5" i="92" a="1"/>
  <c r="AK5" i="92" s="1"/>
  <c r="AM5" i="92" a="1"/>
  <c r="AM5" i="92" s="1"/>
  <c r="J4" i="92" a="1"/>
  <c r="J4" i="92" s="1"/>
  <c r="M4" i="92" a="1"/>
  <c r="M4" i="92" s="1"/>
  <c r="N4" i="92" a="1"/>
  <c r="N4" i="92" s="1"/>
  <c r="O4" i="92" a="1"/>
  <c r="O4" i="92" s="1"/>
  <c r="J5" i="92" a="1"/>
  <c r="J5" i="92" s="1"/>
  <c r="K5" i="92" a="1"/>
  <c r="K5" i="92" s="1"/>
  <c r="L5" i="92" a="1"/>
  <c r="L5" i="92" s="1"/>
  <c r="M5" i="92" a="1"/>
  <c r="M5" i="92" s="1"/>
  <c r="N5" i="92" a="1"/>
  <c r="N5" i="92" s="1"/>
  <c r="Q5" i="92" a="1"/>
  <c r="Q5" i="92" s="1"/>
  <c r="D9" i="92"/>
  <c r="D8" i="92"/>
  <c r="D7" i="92"/>
  <c r="D6" i="92"/>
  <c r="D7" i="93"/>
  <c r="D11" i="93" s="1"/>
  <c r="D6" i="93"/>
  <c r="D10" i="93" s="1"/>
  <c r="D5" i="93"/>
  <c r="D13" i="93" s="1"/>
  <c r="D4" i="93"/>
  <c r="D12"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35" i="94"/>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P4" i="92" l="1" a="1"/>
  <c r="P4" i="92" s="1"/>
  <c r="AF5" i="92" a="1"/>
  <c r="AF5" i="92" s="1"/>
  <c r="S5" i="92" a="1"/>
  <c r="S5" i="92" s="1"/>
  <c r="Y4" i="92" a="1"/>
  <c r="Y4" i="92" s="1"/>
  <c r="AD5" i="92" a="1"/>
  <c r="AD5" i="92" s="1"/>
  <c r="AK4" i="92" a="1"/>
  <c r="AK4" i="92" s="1"/>
  <c r="W4" i="92" a="1"/>
  <c r="W4" i="92" s="1"/>
  <c r="AJ4" i="92" a="1"/>
  <c r="AJ4" i="92" s="1"/>
  <c r="V4" i="92" a="1"/>
  <c r="V4" i="92" s="1"/>
  <c r="P5" i="92" a="1"/>
  <c r="P5" i="92" s="1"/>
  <c r="L4" i="92" a="1"/>
  <c r="L4" i="92" s="1"/>
  <c r="AA5" i="92" a="1"/>
  <c r="AA5" i="92" s="1"/>
  <c r="AI4" i="92" a="1"/>
  <c r="AI4" i="92" s="1"/>
  <c r="U4" i="92" a="1"/>
  <c r="U4" i="92" s="1"/>
  <c r="O5" i="92" a="1"/>
  <c r="O5" i="92" s="1"/>
  <c r="K4" i="92" a="1"/>
  <c r="K4" i="92" s="1"/>
  <c r="Z5" i="92" a="1"/>
  <c r="Z5" i="92" s="1"/>
  <c r="AH4" i="92" a="1"/>
  <c r="AH4" i="92" s="1"/>
  <c r="T4" i="92" a="1"/>
  <c r="T4" i="92" s="1"/>
  <c r="Y5" i="92" a="1"/>
  <c r="Y5" i="92" s="1"/>
  <c r="AF4" i="92" a="1"/>
  <c r="AF4" i="92" s="1"/>
  <c r="S4" i="92" a="1"/>
  <c r="S4" i="92" s="1"/>
  <c r="AJ5" i="92" a="1"/>
  <c r="AJ5" i="92" s="1"/>
  <c r="V5" i="92" a="1"/>
  <c r="V5" i="92" s="1"/>
  <c r="AC4" i="92" a="1"/>
  <c r="AC4" i="92" s="1"/>
  <c r="AI5" i="92" a="1"/>
  <c r="AI5" i="92" s="1"/>
  <c r="U5" i="92" a="1"/>
  <c r="U5" i="92" s="1"/>
  <c r="AA4" i="92" a="1"/>
  <c r="AA4" i="92" s="1"/>
  <c r="Q4" i="92" a="1"/>
  <c r="Q4" i="92" s="1"/>
  <c r="AH5" i="92" a="1"/>
  <c r="AH5" i="92" s="1"/>
  <c r="T5" i="92" a="1"/>
  <c r="T5" i="92" s="1"/>
  <c r="Z4" i="92" a="1"/>
  <c r="Z4" i="92" s="1"/>
  <c r="Z3" i="92" a="1"/>
  <c r="Z3" i="92" s="1"/>
  <c r="R11" i="92" a="1"/>
  <c r="R11" i="92" s="1"/>
  <c r="J13" i="92" a="1"/>
  <c r="J13" i="92" s="1"/>
  <c r="Q12" i="92" a="1"/>
  <c r="Q12" i="92" s="1"/>
  <c r="N14" i="92" a="1"/>
  <c r="N14" i="92" s="1"/>
  <c r="W7" i="92" a="1"/>
  <c r="W7" i="92" s="1"/>
  <c r="Y8" i="92" a="1"/>
  <c r="Y8" i="92" s="1"/>
  <c r="S6" i="92" a="1"/>
  <c r="S6"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V7" i="92" a="1"/>
  <c r="V7" i="92" s="1"/>
  <c r="Q9" i="92" a="1"/>
  <c r="Q9" i="92" s="1"/>
  <c r="P8" i="92" a="1"/>
  <c r="P8" i="92" s="1"/>
  <c r="O8" i="92" a="1"/>
  <c r="O8" i="92" s="1"/>
  <c r="N8" i="92" a="1"/>
  <c r="N8" i="92" s="1"/>
  <c r="L8" i="92" a="1"/>
  <c r="L8" i="92" s="1"/>
  <c r="J6" i="92" a="1"/>
  <c r="J6" i="92" s="1"/>
  <c r="P9" i="92" a="1"/>
  <c r="P9" i="92" s="1"/>
  <c r="AJ9" i="92" a="1"/>
  <c r="AJ9" i="92" s="1"/>
  <c r="AA9" i="92" a="1"/>
  <c r="AA9" i="92" s="1"/>
  <c r="X8" i="92" a="1"/>
  <c r="X8" i="92" s="1"/>
  <c r="AM7" i="92" a="1"/>
  <c r="AM7" i="92" s="1"/>
  <c r="AD7" i="92" a="1"/>
  <c r="AD7" i="92" s="1"/>
  <c r="U7" i="92" a="1"/>
  <c r="U7" i="92" s="1"/>
  <c r="AJ6" i="92" a="1"/>
  <c r="AJ6" i="92" s="1"/>
  <c r="AA6" i="92" a="1"/>
  <c r="AA6" i="92" s="1"/>
  <c r="L7" i="92" a="1"/>
  <c r="L7" i="92" s="1"/>
  <c r="M8" i="92" a="1"/>
  <c r="M8" i="92" s="1"/>
  <c r="K7" i="92" a="1"/>
  <c r="K7" i="92" s="1"/>
  <c r="Z9" i="92" a="1"/>
  <c r="Z9" i="92" s="1"/>
  <c r="AF8" i="92" a="1"/>
  <c r="AF8" i="92" s="1"/>
  <c r="T7" i="92" a="1"/>
  <c r="T7" i="92" s="1"/>
  <c r="Z6" i="92" a="1"/>
  <c r="Z6" i="92" s="1"/>
  <c r="AI9" i="92" a="1"/>
  <c r="AI9" i="92" s="1"/>
  <c r="Y9" i="92" a="1"/>
  <c r="Y9" i="92" s="1"/>
  <c r="AE8" i="92" a="1"/>
  <c r="AE8" i="92" s="1"/>
  <c r="W8" i="92" a="1"/>
  <c r="W8" i="92" s="1"/>
  <c r="AK7" i="92" a="1"/>
  <c r="AK7" i="92" s="1"/>
  <c r="AC7" i="92" a="1"/>
  <c r="AC7" i="92" s="1"/>
  <c r="S7" i="92" a="1"/>
  <c r="S7" i="92" s="1"/>
  <c r="AI6" i="92" a="1"/>
  <c r="AI6" i="92" s="1"/>
  <c r="Y6" i="92" a="1"/>
  <c r="Y6" i="92" s="1"/>
  <c r="N9" i="92" a="1"/>
  <c r="N9" i="92" s="1"/>
  <c r="Q6" i="92" a="1"/>
  <c r="Q6" i="92" s="1"/>
  <c r="AH9" i="92" a="1"/>
  <c r="AH9" i="92" s="1"/>
  <c r="V8" i="92" a="1"/>
  <c r="V8" i="92" s="1"/>
  <c r="AH6" i="92" a="1"/>
  <c r="AH6" i="92" s="1"/>
  <c r="M9" i="92" a="1"/>
  <c r="M9" i="92" s="1"/>
  <c r="X9" i="92" a="1"/>
  <c r="X9" i="92" s="1"/>
  <c r="AM8" i="92" a="1"/>
  <c r="AM8" i="92" s="1"/>
  <c r="AD8" i="92" a="1"/>
  <c r="AD8" i="92" s="1"/>
  <c r="U8" i="92" a="1"/>
  <c r="U8" i="92" s="1"/>
  <c r="AJ7" i="92" a="1"/>
  <c r="AJ7" i="92" s="1"/>
  <c r="AA7" i="92" a="1"/>
  <c r="AA7" i="92" s="1"/>
  <c r="X6" i="92" a="1"/>
  <c r="X6" i="92" s="1"/>
  <c r="O9" i="92" a="1"/>
  <c r="O9" i="92" s="1"/>
  <c r="P6" i="92" a="1"/>
  <c r="P6" i="92" s="1"/>
  <c r="L9" i="92" a="1"/>
  <c r="L9" i="92" s="1"/>
  <c r="J8" i="92" a="1"/>
  <c r="J8" i="92" s="1"/>
  <c r="AF9" i="92" a="1"/>
  <c r="AF9" i="92" s="1"/>
  <c r="T8" i="92" a="1"/>
  <c r="T8" i="92" s="1"/>
  <c r="Z7" i="92" a="1"/>
  <c r="Z7" i="92" s="1"/>
  <c r="AF6" i="92" a="1"/>
  <c r="AF6" i="92" s="1"/>
  <c r="K9" i="92" a="1"/>
  <c r="K9" i="92" s="1"/>
  <c r="Q7" i="92" a="1"/>
  <c r="Q7" i="92" s="1"/>
  <c r="O6" i="92" a="1"/>
  <c r="O6" i="92" s="1"/>
  <c r="AE9" i="92" a="1"/>
  <c r="AE9" i="92" s="1"/>
  <c r="W9" i="92" a="1"/>
  <c r="W9" i="92" s="1"/>
  <c r="AK8" i="92" a="1"/>
  <c r="AK8" i="92" s="1"/>
  <c r="AC8" i="92" a="1"/>
  <c r="AC8" i="92" s="1"/>
  <c r="S8" i="92" a="1"/>
  <c r="S8" i="92" s="1"/>
  <c r="AI7" i="92" a="1"/>
  <c r="AI7" i="92" s="1"/>
  <c r="Y7" i="92" a="1"/>
  <c r="Y7" i="92" s="1"/>
  <c r="AE6" i="92" a="1"/>
  <c r="AE6" i="92" s="1"/>
  <c r="W6" i="92" a="1"/>
  <c r="W6" i="92" s="1"/>
  <c r="J9" i="92" a="1"/>
  <c r="J9" i="92" s="1"/>
  <c r="P7" i="92" a="1"/>
  <c r="P7" i="92" s="1"/>
  <c r="N6" i="92" a="1"/>
  <c r="N6" i="92" s="1"/>
  <c r="V9" i="92" a="1"/>
  <c r="V9" i="92" s="1"/>
  <c r="AH7" i="92" a="1"/>
  <c r="AH7" i="92" s="1"/>
  <c r="V6" i="92" a="1"/>
  <c r="V6" i="92" s="1"/>
  <c r="AM9" i="92" a="1"/>
  <c r="AM9" i="92" s="1"/>
  <c r="AD9" i="92" a="1"/>
  <c r="AD9" i="92" s="1"/>
  <c r="U9" i="92" a="1"/>
  <c r="U9" i="92" s="1"/>
  <c r="AJ8" i="92" a="1"/>
  <c r="AJ8" i="92" s="1"/>
  <c r="AA8" i="92" a="1"/>
  <c r="AA8" i="92" s="1"/>
  <c r="X7" i="92" a="1"/>
  <c r="X7" i="92" s="1"/>
  <c r="AM6" i="92" a="1"/>
  <c r="AM6" i="92" s="1"/>
  <c r="AD6" i="92" a="1"/>
  <c r="AD6" i="92" s="1"/>
  <c r="U6" i="92" a="1"/>
  <c r="U6" i="92" s="1"/>
  <c r="O7" i="92" a="1"/>
  <c r="O7" i="92" s="1"/>
  <c r="M6" i="92" a="1"/>
  <c r="M6" i="92" s="1"/>
  <c r="Q8" i="92" a="1"/>
  <c r="Q8" i="92" s="1"/>
  <c r="N7" i="92" a="1"/>
  <c r="N7" i="92" s="1"/>
  <c r="L6" i="92" a="1"/>
  <c r="L6" i="92" s="1"/>
  <c r="T9" i="92" a="1"/>
  <c r="T9" i="92" s="1"/>
  <c r="Z8" i="92" a="1"/>
  <c r="Z8" i="92" s="1"/>
  <c r="AF7" i="92" a="1"/>
  <c r="AF7" i="92" s="1"/>
  <c r="T6" i="92" a="1"/>
  <c r="T6" i="92" s="1"/>
  <c r="K6" i="92" a="1"/>
  <c r="K6" i="92" s="1"/>
  <c r="AK9" i="92" a="1"/>
  <c r="AK9" i="92" s="1"/>
  <c r="AC9" i="92" a="1"/>
  <c r="AC9" i="92" s="1"/>
  <c r="AI8" i="92" a="1"/>
  <c r="AI8" i="92" s="1"/>
  <c r="AE7" i="92" a="1"/>
  <c r="AE7" i="92" s="1"/>
  <c r="AK6" i="92" a="1"/>
  <c r="AK6" i="92" s="1"/>
  <c r="AC6" i="92" a="1"/>
  <c r="AC6" i="92" s="1"/>
  <c r="C84" i="94"/>
  <c r="C131" i="94"/>
  <c r="I27" i="94"/>
  <c r="I31" i="94" s="1"/>
  <c r="G13" i="94" s="1"/>
  <c r="H13" i="94" s="1"/>
  <c r="I13" i="94" s="1"/>
  <c r="J13" i="94" s="1"/>
  <c r="K13" i="94" s="1"/>
  <c r="L13" i="94" s="1"/>
  <c r="M13" i="94" s="1"/>
  <c r="AP6" i="92" s="1" a="1"/>
  <c r="AP6" i="92" s="1"/>
  <c r="J29" i="94"/>
  <c r="C72" i="94"/>
  <c r="D111" i="94"/>
  <c r="D112" i="94" s="1"/>
  <c r="D113" i="94" s="1"/>
  <c r="D28" i="94"/>
  <c r="C82" i="94"/>
  <c r="C96" i="94"/>
  <c r="C71" i="94"/>
  <c r="K340" i="29"/>
  <c r="L339" i="29"/>
  <c r="B345" i="29"/>
  <c r="D345" i="29"/>
  <c r="F345" i="29"/>
  <c r="E344" i="29"/>
  <c r="B344" i="29"/>
  <c r="G344" i="29" s="1"/>
  <c r="F344" i="29"/>
  <c r="D116" i="94" l="1"/>
  <c r="E116" i="94" s="1"/>
  <c r="AN6" i="92" a="1"/>
  <c r="AN6" i="92" s="1"/>
  <c r="AL6" i="92" a="1"/>
  <c r="AL6" i="92" s="1"/>
  <c r="R6" i="92" a="1"/>
  <c r="R6" i="92" s="1"/>
  <c r="AG6" i="92" a="1"/>
  <c r="AG6" i="92" s="1"/>
  <c r="AO6" i="92" a="1"/>
  <c r="AO6" i="92" s="1"/>
  <c r="AB6" i="92" a="1"/>
  <c r="AB6" i="92" s="1"/>
  <c r="I32" i="94"/>
  <c r="G14" i="94" s="1"/>
  <c r="R7" i="92" s="1" a="1"/>
  <c r="R7" i="92" s="1"/>
  <c r="D36" i="94"/>
  <c r="G5" i="94" s="1"/>
  <c r="R4" i="92" s="1" a="1"/>
  <c r="R4" i="92" s="1"/>
  <c r="D29" i="94"/>
  <c r="D27" i="94" s="1"/>
  <c r="C83" i="94"/>
  <c r="H339" i="29"/>
  <c r="D339" i="29"/>
  <c r="F339" i="29"/>
  <c r="B339" i="29"/>
  <c r="G339" i="29" s="1"/>
  <c r="L340" i="29"/>
  <c r="K341" i="29"/>
  <c r="H345" i="29"/>
  <c r="G345" i="29"/>
  <c r="E118" i="94" l="1"/>
  <c r="F116" i="94"/>
  <c r="F118" i="94" s="1"/>
  <c r="H5" i="94"/>
  <c r="AB4" i="92" s="1" a="1"/>
  <c r="AB4" i="92" s="1"/>
  <c r="H14"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I14" i="94" l="1"/>
  <c r="AB7" i="92" a="1"/>
  <c r="AB7" i="92" s="1"/>
  <c r="H11" i="94"/>
  <c r="H12" i="94"/>
  <c r="H10" i="94"/>
  <c r="AB5" i="92" s="1" a="1"/>
  <c r="AB5" i="92" s="1"/>
  <c r="I5" i="94"/>
  <c r="AG4" i="92" s="1" a="1"/>
  <c r="AG4" i="92" s="1"/>
  <c r="K343" i="29"/>
  <c r="H341" i="29"/>
  <c r="F341" i="29"/>
  <c r="E341" i="29"/>
  <c r="B341" i="29"/>
  <c r="G341" i="29" s="1"/>
  <c r="J14" i="94" l="1"/>
  <c r="AG7" i="92" a="1"/>
  <c r="AG7" i="92" s="1"/>
  <c r="I12" i="94"/>
  <c r="AB9" i="92" a="1"/>
  <c r="AB9" i="92" s="1"/>
  <c r="I11" i="94"/>
  <c r="AB8" i="92" a="1"/>
  <c r="AB8" i="92" s="1"/>
  <c r="I10" i="94"/>
  <c r="AG5" i="92" s="1" a="1"/>
  <c r="AG5" i="92" s="1"/>
  <c r="J5" i="94"/>
  <c r="AL4" i="92" s="1" a="1"/>
  <c r="AL4" i="92" s="1"/>
  <c r="K344" i="29"/>
  <c r="J11" i="94" l="1"/>
  <c r="AG8" i="92" a="1"/>
  <c r="AG8" i="92" s="1"/>
  <c r="J12" i="94"/>
  <c r="AG9" i="92" a="1"/>
  <c r="AG9" i="92" s="1"/>
  <c r="K14" i="94"/>
  <c r="AL7" i="92" a="1"/>
  <c r="AL7" i="92" s="1"/>
  <c r="K5" i="94"/>
  <c r="AN4" i="92" s="1" a="1"/>
  <c r="AN4" i="92" s="1"/>
  <c r="J10" i="94"/>
  <c r="AL5" i="92" s="1" a="1"/>
  <c r="AL5" i="92" s="1"/>
  <c r="K345" i="29"/>
  <c r="L14" i="94" l="1"/>
  <c r="AN7" i="92" a="1"/>
  <c r="AN7" i="92" s="1"/>
  <c r="K12" i="94"/>
  <c r="AL9" i="92" a="1"/>
  <c r="AL9" i="92" s="1"/>
  <c r="K11" i="94"/>
  <c r="AL8" i="92" a="1"/>
  <c r="AL8" i="92" s="1"/>
  <c r="K10" i="94"/>
  <c r="AN5" i="92" s="1" a="1"/>
  <c r="AN5" i="92" s="1"/>
  <c r="L5" i="94"/>
  <c r="AO4" i="92" s="1" a="1"/>
  <c r="AO4" i="92" s="1"/>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B307" i="39"/>
  <c r="I307" i="39"/>
  <c r="I308" i="39" s="1"/>
  <c r="B308" i="39"/>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M14" i="94"/>
  <c r="AP7" i="92" s="1" a="1"/>
  <c r="AP7" i="92" s="1"/>
  <c r="AO7" i="92" a="1"/>
  <c r="AO7" i="92" s="1"/>
  <c r="X169" i="7"/>
  <c r="AB169" i="7"/>
  <c r="Y169" i="7"/>
  <c r="Z169" i="7"/>
  <c r="AC169" i="7"/>
  <c r="AA169" i="7"/>
  <c r="M5" i="94"/>
  <c r="AP4" i="92" s="1" a="1"/>
  <c r="AP4" i="92" s="1"/>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300" i="39" l="1"/>
  <c r="B301" i="39"/>
  <c r="B302" i="39"/>
  <c r="B303" i="39"/>
  <c r="B304" i="39"/>
  <c r="B305" i="39"/>
  <c r="B306" i="39"/>
  <c r="B300" i="38"/>
  <c r="B301" i="38"/>
  <c r="B302" i="38"/>
  <c r="B303" i="38"/>
  <c r="B304" i="38"/>
  <c r="B305" i="38"/>
  <c r="B306" i="38"/>
  <c r="B307" i="38"/>
  <c r="B308" i="38"/>
  <c r="B309" i="38"/>
  <c r="B78" i="34"/>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J45" i="83" s="1"/>
  <c r="M17" i="83"/>
  <c r="M44" i="83" s="1"/>
  <c r="L17" i="83"/>
  <c r="K17" i="83"/>
  <c r="J17" i="83"/>
  <c r="J44" i="83" s="1"/>
  <c r="M16" i="83"/>
  <c r="L16" i="83"/>
  <c r="K16" i="83"/>
  <c r="J16" i="83"/>
  <c r="M15" i="83"/>
  <c r="L15" i="83"/>
  <c r="K15" i="83"/>
  <c r="K42" i="83" s="1"/>
  <c r="J15" i="83"/>
  <c r="M14" i="83"/>
  <c r="M86" i="83" s="1"/>
  <c r="L14" i="83"/>
  <c r="K14" i="83"/>
  <c r="J14" i="83"/>
  <c r="J86" i="83" s="1"/>
  <c r="M88" i="83" l="1"/>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B296" i="39"/>
  <c r="B297" i="39"/>
  <c r="B298" i="39"/>
  <c r="B299" i="39"/>
  <c r="B297" i="38"/>
  <c r="B298" i="38"/>
  <c r="B299" i="38"/>
  <c r="B296" i="38"/>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B294" i="39"/>
  <c r="B295" i="39"/>
  <c r="B294" i="38"/>
  <c r="B295" i="3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I294" i="39" s="1"/>
  <c r="I295" i="39" s="1"/>
  <c r="I296" i="39" s="1"/>
  <c r="I297" i="39" s="1"/>
  <c r="I298" i="39" s="1"/>
  <c r="I299" i="39" s="1"/>
  <c r="I300" i="39" s="1"/>
  <c r="I301" i="39" s="1"/>
  <c r="I302" i="39" s="1"/>
  <c r="I303" i="39" s="1"/>
  <c r="I304" i="39" s="1"/>
  <c r="I305" i="39" s="1"/>
  <c r="I306"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E16" i="38"/>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AK30" i="9" l="1"/>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AS17" i="38"/>
  <c r="AT17" i="38" s="1"/>
  <c r="C17" i="38" s="1"/>
  <c r="AV17" i="38"/>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O31" i="9" l="1"/>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E17" i="38"/>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AG32" i="9" l="1"/>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AS18" i="38"/>
  <c r="AT18" i="38" s="1"/>
  <c r="E18" i="38" s="1"/>
  <c r="D24" i="10"/>
  <c r="G24" i="10"/>
  <c r="H24" i="10"/>
  <c r="AR35" i="9"/>
  <c r="AS35" i="9" s="1"/>
  <c r="A34" i="9"/>
  <c r="I32" i="9"/>
  <c r="F25" i="10"/>
  <c r="I25" i="10"/>
  <c r="L25" i="10"/>
  <c r="B33" i="9"/>
  <c r="F33" i="9" s="1"/>
  <c r="C33" i="9"/>
  <c r="AV18" i="38"/>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K33" i="9" l="1"/>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AV19" i="38"/>
  <c r="AS19" i="38"/>
  <c r="AT19" i="38" s="1"/>
  <c r="C19" i="38" s="1"/>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O34" i="9" l="1"/>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A18" i="38"/>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W41" i="9"/>
  <c r="K41" i="9"/>
  <c r="AG41" i="9"/>
  <c r="U41" i="9"/>
  <c r="AF41" i="9"/>
  <c r="T41" i="9"/>
  <c r="AD41" i="9"/>
  <c r="AO41" i="9"/>
  <c r="AC41" i="9"/>
  <c r="Q41" i="9"/>
  <c r="P41" i="9"/>
  <c r="AM41" i="9"/>
  <c r="AA41" i="9"/>
  <c r="O41" i="9"/>
  <c r="AJ41" i="9"/>
  <c r="X41" i="9"/>
  <c r="L41" i="9"/>
  <c r="AL41" i="9"/>
  <c r="AH41" i="9"/>
  <c r="Y41" i="9"/>
  <c r="AE41" i="9"/>
  <c r="Z41" i="9"/>
  <c r="S41" i="9"/>
  <c r="N41" i="9"/>
  <c r="AK41" i="9"/>
  <c r="V41" i="9"/>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E22" i="38"/>
  <c r="J284" i="28"/>
  <c r="N26" i="39"/>
  <c r="D26" i="39" s="1"/>
  <c r="A26" i="39" s="1"/>
  <c r="L27" i="39"/>
  <c r="O27" i="39"/>
  <c r="I21" i="37"/>
  <c r="J22" i="35"/>
  <c r="J21" i="38" l="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AS23" i="38"/>
  <c r="AT23" i="38" s="1"/>
  <c r="C23" i="38" s="1"/>
  <c r="A21" i="38"/>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U22" i="38"/>
  <c r="D22" i="38" s="1"/>
  <c r="AR289" i="28"/>
  <c r="C288" i="28"/>
  <c r="AV23" i="38"/>
  <c r="M24" i="36"/>
  <c r="K24" i="36" s="1"/>
  <c r="L24" i="36" s="1"/>
  <c r="C24" i="36" s="1"/>
  <c r="A24" i="36" s="1"/>
  <c r="B24" i="36" s="1"/>
  <c r="I24" i="36" s="1"/>
  <c r="C21" i="37"/>
  <c r="A21" i="37" s="1"/>
  <c r="D21" i="37" s="1"/>
  <c r="M27" i="39"/>
  <c r="C27" i="39" s="1"/>
  <c r="J23" i="35"/>
  <c r="J22" i="38" l="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E23" i="38"/>
  <c r="H24" i="36"/>
  <c r="F24" i="36"/>
  <c r="B24" i="35"/>
  <c r="C289" i="28"/>
  <c r="AU289" i="28" s="1"/>
  <c r="AR290" i="28"/>
  <c r="AR291" i="28"/>
  <c r="AR25" i="35"/>
  <c r="D23" i="36"/>
  <c r="M25" i="36"/>
  <c r="K25" i="36" s="1"/>
  <c r="F288" i="28"/>
  <c r="AS289" i="28"/>
  <c r="AS290" i="28" s="1"/>
  <c r="H288" i="28"/>
  <c r="I288" i="28"/>
  <c r="G288" i="28"/>
  <c r="B288" i="28"/>
  <c r="A22" i="38"/>
  <c r="I23" i="35"/>
  <c r="B287" i="28"/>
  <c r="I287" i="28"/>
  <c r="H287" i="28"/>
  <c r="G287" i="28"/>
  <c r="D287" i="28"/>
  <c r="F287" i="28"/>
  <c r="E287" i="28"/>
  <c r="E23" i="36"/>
  <c r="N27" i="39"/>
  <c r="D27" i="39" s="1"/>
  <c r="A27" i="39" s="1"/>
  <c r="O28" i="39"/>
  <c r="L28" i="39"/>
  <c r="E24" i="36"/>
  <c r="D24" i="36"/>
  <c r="H22" i="37"/>
  <c r="J24" i="35"/>
  <c r="AS24" i="38" l="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AU23" i="38"/>
  <c r="D23" i="38" s="1"/>
  <c r="AV24" i="38"/>
  <c r="L25" i="36"/>
  <c r="C25" i="36" s="1"/>
  <c r="A25" i="36" s="1"/>
  <c r="I22" i="37"/>
  <c r="M28" i="39"/>
  <c r="C28" i="39" s="1"/>
  <c r="J23" i="38" l="1"/>
  <c r="A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S25" i="38"/>
  <c r="AV25" i="38"/>
  <c r="A25" i="35"/>
  <c r="E290" i="28"/>
  <c r="AU290" i="28"/>
  <c r="C23" i="34"/>
  <c r="C292" i="28"/>
  <c r="AR294" i="28"/>
  <c r="AR295" i="28"/>
  <c r="C295" i="28" s="1"/>
  <c r="AU295" i="28" s="1"/>
  <c r="C293" i="28"/>
  <c r="AR26" i="35"/>
  <c r="AU24" i="38"/>
  <c r="D24" i="38" s="1"/>
  <c r="N28" i="39"/>
  <c r="D28" i="39" s="1"/>
  <c r="A28" i="39" s="1"/>
  <c r="L29" i="39"/>
  <c r="O29" i="39"/>
  <c r="F25" i="36"/>
  <c r="B25" i="36"/>
  <c r="I25" i="36" s="1"/>
  <c r="G25" i="36"/>
  <c r="H25" i="36"/>
  <c r="M26" i="36"/>
  <c r="C22" i="37"/>
  <c r="A22" i="37" s="1"/>
  <c r="D22" i="37" s="1"/>
  <c r="J24" i="38" l="1"/>
  <c r="A24"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AT25" i="38"/>
  <c r="C25" i="38" s="1"/>
  <c r="J291" i="28"/>
  <c r="D290" i="28"/>
  <c r="J290" i="28"/>
  <c r="I24" i="34"/>
  <c r="D25" i="36"/>
  <c r="E25" i="36"/>
  <c r="K26" i="36"/>
  <c r="A24" i="27"/>
  <c r="D24" i="27" s="1"/>
  <c r="H23" i="37"/>
  <c r="I25" i="27"/>
  <c r="M29" i="39"/>
  <c r="C29" i="39" s="1"/>
  <c r="J25" i="35"/>
  <c r="AI47" i="9" l="1"/>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A30" i="38"/>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A45" i="38"/>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A48" i="38"/>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L67" i="27"/>
  <c r="F67" i="27" s="1"/>
  <c r="N67" i="34"/>
  <c r="M67" i="34"/>
  <c r="F64" i="35"/>
  <c r="C80" i="10"/>
  <c r="B80" i="10" s="1"/>
  <c r="G80" i="10" s="1"/>
  <c r="K81" i="10"/>
  <c r="N77" i="39"/>
  <c r="D77" i="39" s="1"/>
  <c r="A77" i="39" s="1"/>
  <c r="L78" i="39"/>
  <c r="O78" i="39"/>
  <c r="D64" i="35"/>
  <c r="E64" i="35"/>
  <c r="A64" i="38"/>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A74" i="38"/>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K143" i="10"/>
  <c r="C142" i="10"/>
  <c r="B142" i="10" s="1"/>
  <c r="E142" i="10" s="1"/>
  <c r="N139" i="39"/>
  <c r="D139" i="39" s="1"/>
  <c r="A139" i="39" s="1"/>
  <c r="L140" i="39"/>
  <c r="O140" i="39"/>
  <c r="L101" i="36"/>
  <c r="C101" i="36" s="1"/>
  <c r="A101" i="36" s="1"/>
  <c r="AT114" i="38"/>
  <c r="C114" i="38" s="1"/>
  <c r="B111" i="35"/>
  <c r="AR112" i="35"/>
  <c r="A113" i="38"/>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C185" i="10"/>
  <c r="B185" i="10" s="1"/>
  <c r="H185" i="10" s="1"/>
  <c r="K186" i="10"/>
  <c r="N182" i="39"/>
  <c r="D182" i="39" s="1"/>
  <c r="A182" i="39" s="1"/>
  <c r="L183" i="39"/>
  <c r="O183" i="39"/>
  <c r="D130" i="36"/>
  <c r="B143" i="35"/>
  <c r="E130" i="36"/>
  <c r="AS144" i="35"/>
  <c r="C144" i="35" s="1"/>
  <c r="AT147" i="38"/>
  <c r="E147" i="38" s="1"/>
  <c r="K131" i="36"/>
  <c r="A146" i="38"/>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K190" i="10"/>
  <c r="C189" i="10"/>
  <c r="B189" i="10" s="1"/>
  <c r="E189" i="10" s="1"/>
  <c r="N186" i="39"/>
  <c r="D186" i="39" s="1"/>
  <c r="A186" i="39" s="1"/>
  <c r="O187" i="39"/>
  <c r="L187" i="39"/>
  <c r="B146" i="35"/>
  <c r="AT150" i="38"/>
  <c r="C150" i="38" s="1"/>
  <c r="H133" i="36"/>
  <c r="F133" i="36"/>
  <c r="G133" i="36"/>
  <c r="B133" i="36"/>
  <c r="I133" i="36" s="1"/>
  <c r="A149" i="38"/>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E233" i="10"/>
  <c r="D233" i="10"/>
  <c r="H233" i="10"/>
  <c r="G233" i="10"/>
  <c r="F234" i="10"/>
  <c r="L234" i="10"/>
  <c r="I234" i="10"/>
  <c r="A234" i="10" s="1"/>
  <c r="N231" i="39"/>
  <c r="D231" i="39" s="1"/>
  <c r="A231" i="39" s="1"/>
  <c r="O232" i="39"/>
  <c r="L232" i="39"/>
  <c r="B178" i="35"/>
  <c r="A184" i="38"/>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T224" i="35"/>
  <c r="AR224" i="35" s="1"/>
  <c r="N292" i="39"/>
  <c r="D292" i="39" s="1"/>
  <c r="A292" i="39" s="1"/>
  <c r="O293" i="39"/>
  <c r="L293" i="39"/>
  <c r="AT234" i="38"/>
  <c r="E234" i="38" s="1"/>
  <c r="B204" i="36"/>
  <c r="I204" i="36" s="1"/>
  <c r="H204" i="36"/>
  <c r="G204" i="36"/>
  <c r="F204" i="36"/>
  <c r="A233" i="38"/>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O294" i="39"/>
  <c r="L294" i="39"/>
  <c r="L205" i="36"/>
  <c r="C205" i="36" s="1"/>
  <c r="A205" i="36" s="1"/>
  <c r="AT235" i="38"/>
  <c r="E235" i="38" s="1"/>
  <c r="A224" i="35"/>
  <c r="D223" i="35"/>
  <c r="H223" i="35"/>
  <c r="AU235" i="38" l="1"/>
  <c r="D235" i="38" s="1"/>
  <c r="AS236" i="38"/>
  <c r="AV236" i="38"/>
  <c r="M206" i="36"/>
  <c r="H205" i="36"/>
  <c r="B205" i="36"/>
  <c r="I205" i="36" s="1"/>
  <c r="G205" i="36"/>
  <c r="F205" i="36"/>
  <c r="C235" i="38"/>
  <c r="B224" i="35"/>
  <c r="M294" i="39"/>
  <c r="C294" i="39" s="1"/>
  <c r="AS225" i="35"/>
  <c r="C225" i="35" s="1"/>
  <c r="J224" i="35"/>
  <c r="J235" i="38" l="1"/>
  <c r="A235" i="38" s="1"/>
  <c r="D224" i="35"/>
  <c r="G224" i="35"/>
  <c r="H224" i="35"/>
  <c r="N294" i="39"/>
  <c r="D294" i="39" s="1"/>
  <c r="A294" i="39" s="1"/>
  <c r="L295" i="39"/>
  <c r="O295" i="39"/>
  <c r="D205" i="36"/>
  <c r="E224" i="35"/>
  <c r="E205" i="36"/>
  <c r="I224" i="35"/>
  <c r="F224" i="35"/>
  <c r="K206" i="36"/>
  <c r="AT236" i="38"/>
  <c r="C236" i="38" s="1"/>
  <c r="A225" i="35"/>
  <c r="AT226" i="35"/>
  <c r="L206" i="36" l="1"/>
  <c r="C206" i="36" s="1"/>
  <c r="A206" i="36" s="1"/>
  <c r="B225" i="35"/>
  <c r="E236" i="38"/>
  <c r="AR226" i="35"/>
  <c r="M295" i="39"/>
  <c r="C295" i="39" s="1"/>
  <c r="J225" i="35"/>
  <c r="F225" i="35" l="1"/>
  <c r="N295" i="39"/>
  <c r="D295" i="39" s="1"/>
  <c r="A295" i="39" s="1"/>
  <c r="L296" i="39"/>
  <c r="O296" i="39"/>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M296" i="39"/>
  <c r="C296" i="39" s="1"/>
  <c r="N296" i="39" l="1"/>
  <c r="D296" i="39" s="1"/>
  <c r="A296" i="39" s="1"/>
  <c r="L297" i="39"/>
  <c r="O297" i="39"/>
  <c r="AU237" i="38"/>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M297" i="39"/>
  <c r="C297" i="39" s="1"/>
  <c r="G226" i="35"/>
  <c r="AU238" i="38" l="1"/>
  <c r="D238" i="38" s="1"/>
  <c r="AV239" i="38"/>
  <c r="AS239" i="38"/>
  <c r="N297" i="39"/>
  <c r="D297" i="39" s="1"/>
  <c r="A297" i="39" s="1"/>
  <c r="O298" i="39"/>
  <c r="L298" i="39"/>
  <c r="D207" i="36"/>
  <c r="B227" i="35"/>
  <c r="E207" i="36"/>
  <c r="K208" i="36"/>
  <c r="C238" i="38"/>
  <c r="AS228" i="35"/>
  <c r="C228" i="35" s="1"/>
  <c r="J227" i="35"/>
  <c r="J238" i="38" l="1"/>
  <c r="A238" i="38" s="1"/>
  <c r="D227" i="35"/>
  <c r="H227" i="35"/>
  <c r="G227" i="35"/>
  <c r="E227" i="35"/>
  <c r="I227" i="35"/>
  <c r="F227" i="35"/>
  <c r="M298" i="39"/>
  <c r="C298" i="39" s="1"/>
  <c r="AT239" i="38"/>
  <c r="E239" i="38" s="1"/>
  <c r="AT229" i="35"/>
  <c r="A228" i="35"/>
  <c r="L208" i="36"/>
  <c r="C208" i="36" s="1"/>
  <c r="A208" i="36" s="1"/>
  <c r="AU239" i="38" l="1"/>
  <c r="D239" i="38" s="1"/>
  <c r="AV240" i="38"/>
  <c r="AS240" i="38"/>
  <c r="N298" i="39"/>
  <c r="D298" i="39" s="1"/>
  <c r="A298" i="39" s="1"/>
  <c r="L299" i="39"/>
  <c r="O299" i="39"/>
  <c r="AR229" i="35"/>
  <c r="C239" i="38"/>
  <c r="M209" i="36"/>
  <c r="H208" i="36"/>
  <c r="G208" i="36"/>
  <c r="F208" i="36"/>
  <c r="B208" i="36"/>
  <c r="I208" i="36" s="1"/>
  <c r="B228" i="35"/>
  <c r="J228" i="35"/>
  <c r="J239" i="38" l="1"/>
  <c r="A239" i="38" s="1"/>
  <c r="F228" i="35"/>
  <c r="E208" i="36"/>
  <c r="AS229" i="35"/>
  <c r="C229" i="35" s="1"/>
  <c r="G228" i="35"/>
  <c r="H228" i="35"/>
  <c r="M299" i="39"/>
  <c r="C299" i="39" s="1"/>
  <c r="N299" i="39" s="1"/>
  <c r="D299" i="39" s="1"/>
  <c r="A299" i="39" s="1"/>
  <c r="AT240" i="38"/>
  <c r="E240" i="38" s="1"/>
  <c r="E228" i="35"/>
  <c r="K209" i="36"/>
  <c r="D228" i="35"/>
  <c r="D208" i="36"/>
  <c r="I228" i="35"/>
  <c r="O300" i="39" l="1"/>
  <c r="L300" i="39"/>
  <c r="AU240" i="38"/>
  <c r="D240" i="38" s="1"/>
  <c r="AV241" i="38"/>
  <c r="AS241" i="38"/>
  <c r="C240" i="38"/>
  <c r="L209" i="36"/>
  <c r="C209" i="36" s="1"/>
  <c r="A209" i="36" s="1"/>
  <c r="A229" i="35"/>
  <c r="AT230" i="35"/>
  <c r="J240" i="38" l="1"/>
  <c r="A240" i="38" s="1"/>
  <c r="M300" i="39"/>
  <c r="C300" i="39" s="1"/>
  <c r="B229" i="35"/>
  <c r="G209" i="36"/>
  <c r="H209" i="36"/>
  <c r="F209" i="36"/>
  <c r="B209" i="36"/>
  <c r="I209" i="36" s="1"/>
  <c r="M210" i="36"/>
  <c r="AR230" i="35"/>
  <c r="AT241" i="38"/>
  <c r="C241" i="38" s="1"/>
  <c r="J229" i="35"/>
  <c r="F229" i="35" l="1"/>
  <c r="N300" i="39"/>
  <c r="D300" i="39" s="1"/>
  <c r="A300" i="39" s="1"/>
  <c r="L301" i="39"/>
  <c r="O301" i="39"/>
  <c r="I229" i="35"/>
  <c r="E209" i="36"/>
  <c r="D209" i="36"/>
  <c r="G229" i="35"/>
  <c r="D229" i="35"/>
  <c r="E241" i="38"/>
  <c r="AS230" i="35"/>
  <c r="C230" i="35" s="1"/>
  <c r="K210" i="36"/>
  <c r="H229" i="35"/>
  <c r="E229" i="35"/>
  <c r="M301" i="39" l="1"/>
  <c r="C301" i="39" s="1"/>
  <c r="L210" i="36"/>
  <c r="C210" i="36" s="1"/>
  <c r="A210" i="36" s="1"/>
  <c r="A230" i="35"/>
  <c r="AT231" i="35"/>
  <c r="AU241" i="38"/>
  <c r="D241" i="38" s="1"/>
  <c r="AS242" i="38"/>
  <c r="AV242" i="38"/>
  <c r="J241" i="38" l="1"/>
  <c r="A241" i="38" s="1"/>
  <c r="N301" i="39"/>
  <c r="D301" i="39" s="1"/>
  <c r="A301" i="39" s="1"/>
  <c r="O302" i="39"/>
  <c r="L302" i="39"/>
  <c r="AT242" i="38"/>
  <c r="C242" i="38" s="1"/>
  <c r="AR231" i="35"/>
  <c r="B230" i="35"/>
  <c r="M211" i="36"/>
  <c r="H210" i="36"/>
  <c r="G210" i="36"/>
  <c r="B210" i="36"/>
  <c r="I210" i="36" s="1"/>
  <c r="F210" i="36"/>
  <c r="J230" i="35"/>
  <c r="M302" i="39" l="1"/>
  <c r="C302" i="39" s="1"/>
  <c r="E210" i="36"/>
  <c r="AS231" i="35"/>
  <c r="C231" i="35" s="1"/>
  <c r="E230" i="35"/>
  <c r="K211" i="36"/>
  <c r="D210" i="36"/>
  <c r="E242" i="38"/>
  <c r="G230" i="35"/>
  <c r="H230" i="35"/>
  <c r="D230" i="35"/>
  <c r="F230" i="35"/>
  <c r="I230" i="35"/>
  <c r="AT232" i="35" l="1"/>
  <c r="AR232" i="35" s="1"/>
  <c r="N302" i="39"/>
  <c r="D302" i="39" s="1"/>
  <c r="A302" i="39" s="1"/>
  <c r="L303" i="39"/>
  <c r="O303" i="39"/>
  <c r="L211" i="36"/>
  <c r="C211" i="36" s="1"/>
  <c r="A211" i="36" s="1"/>
  <c r="A231" i="35"/>
  <c r="AU242" i="38"/>
  <c r="D242" i="38" s="1"/>
  <c r="AS243" i="38"/>
  <c r="AV243" i="38"/>
  <c r="J242" i="38" l="1"/>
  <c r="A242" i="38" s="1"/>
  <c r="M303" i="39"/>
  <c r="C303" i="39" s="1"/>
  <c r="B231" i="35"/>
  <c r="AT243" i="38"/>
  <c r="E243" i="38" s="1"/>
  <c r="M212" i="36"/>
  <c r="AS232" i="35"/>
  <c r="C232" i="35" s="1"/>
  <c r="F211" i="36"/>
  <c r="H211" i="36"/>
  <c r="B211" i="36"/>
  <c r="I211" i="36" s="1"/>
  <c r="G211" i="36"/>
  <c r="J231" i="35"/>
  <c r="AT233" i="35" l="1"/>
  <c r="AR233" i="35" s="1"/>
  <c r="F231" i="35"/>
  <c r="N303" i="39"/>
  <c r="D303" i="39" s="1"/>
  <c r="A303" i="39" s="1"/>
  <c r="L304" i="39"/>
  <c r="O304" i="39"/>
  <c r="H231" i="35"/>
  <c r="I231" i="35"/>
  <c r="D231" i="35"/>
  <c r="G231" i="35"/>
  <c r="AU243" i="38"/>
  <c r="D243" i="38" s="1"/>
  <c r="AV244" i="38"/>
  <c r="AS244" i="38"/>
  <c r="C243" i="38"/>
  <c r="E211" i="36"/>
  <c r="D211" i="36"/>
  <c r="A232" i="35"/>
  <c r="E231" i="35"/>
  <c r="K212" i="36"/>
  <c r="J243" i="38" l="1"/>
  <c r="A243" i="38" s="1"/>
  <c r="M304" i="39"/>
  <c r="C304" i="39" s="1"/>
  <c r="AT244" i="38"/>
  <c r="E244" i="38" s="1"/>
  <c r="B232" i="35"/>
  <c r="AS233" i="35"/>
  <c r="C233" i="35" s="1"/>
  <c r="L212" i="36"/>
  <c r="C212" i="36" s="1"/>
  <c r="A212" i="36" s="1"/>
  <c r="J232" i="35"/>
  <c r="E232" i="35" l="1"/>
  <c r="N304" i="39"/>
  <c r="D304" i="39" s="1"/>
  <c r="A304" i="39" s="1"/>
  <c r="L305" i="39"/>
  <c r="O305" i="39"/>
  <c r="AU244" i="38"/>
  <c r="D244" i="38" s="1"/>
  <c r="AS245" i="38"/>
  <c r="AV245" i="38"/>
  <c r="G232" i="35"/>
  <c r="D232" i="35"/>
  <c r="F232" i="35"/>
  <c r="I232" i="35"/>
  <c r="F212" i="36"/>
  <c r="H212" i="36"/>
  <c r="B212" i="36"/>
  <c r="I212" i="36" s="1"/>
  <c r="G212" i="36"/>
  <c r="C244" i="38"/>
  <c r="A233" i="35"/>
  <c r="M213" i="36"/>
  <c r="AT234" i="35"/>
  <c r="H232" i="35"/>
  <c r="J244" i="38" l="1"/>
  <c r="A244" i="38" s="1"/>
  <c r="M305" i="39"/>
  <c r="C305" i="39" s="1"/>
  <c r="E212" i="36"/>
  <c r="D212" i="36"/>
  <c r="AR234" i="35"/>
  <c r="K213" i="36"/>
  <c r="AT245" i="38"/>
  <c r="E245" i="38" s="1"/>
  <c r="B233" i="35"/>
  <c r="J233" i="35"/>
  <c r="E233" i="35" l="1"/>
  <c r="N305" i="39"/>
  <c r="D305" i="39" s="1"/>
  <c r="A305" i="39" s="1"/>
  <c r="O306" i="39"/>
  <c r="L306" i="39"/>
  <c r="H233" i="35"/>
  <c r="AU245" i="38"/>
  <c r="D245" i="38" s="1"/>
  <c r="AS246" i="38"/>
  <c r="AV246" i="38"/>
  <c r="G233" i="35"/>
  <c r="C245" i="38"/>
  <c r="D233" i="35"/>
  <c r="F233" i="35"/>
  <c r="L213" i="36"/>
  <c r="C213" i="36" s="1"/>
  <c r="A213" i="36" s="1"/>
  <c r="AS234" i="35"/>
  <c r="C234" i="35" s="1"/>
  <c r="I233" i="35"/>
  <c r="J245" i="38" l="1"/>
  <c r="A245" i="38" s="1"/>
  <c r="M306" i="39"/>
  <c r="C306" i="39" s="1"/>
  <c r="N306" i="39" s="1"/>
  <c r="D306" i="39" s="1"/>
  <c r="A306" i="39" s="1"/>
  <c r="M214" i="36"/>
  <c r="B213" i="36"/>
  <c r="I213" i="36" s="1"/>
  <c r="G213" i="36"/>
  <c r="F213" i="36"/>
  <c r="H213" i="36"/>
  <c r="A234" i="35"/>
  <c r="AT235" i="35"/>
  <c r="AT246" i="38"/>
  <c r="E246" i="38" s="1"/>
  <c r="L307" i="39" l="1"/>
  <c r="O307" i="39"/>
  <c r="E213" i="36"/>
  <c r="AU246" i="38"/>
  <c r="D246" i="38" s="1"/>
  <c r="AS247" i="38"/>
  <c r="AV247" i="38"/>
  <c r="B234" i="35"/>
  <c r="AR235" i="35"/>
  <c r="D213" i="36"/>
  <c r="C246" i="38"/>
  <c r="K214" i="36"/>
  <c r="J234" i="35"/>
  <c r="J246" i="38" l="1"/>
  <c r="A246" i="38" s="1"/>
  <c r="M307" i="39"/>
  <c r="C307" i="39" s="1"/>
  <c r="L214" i="36"/>
  <c r="C214" i="36" s="1"/>
  <c r="A214" i="36" s="1"/>
  <c r="G234" i="35"/>
  <c r="F234" i="35"/>
  <c r="D234" i="35"/>
  <c r="I234" i="35"/>
  <c r="AT247" i="38"/>
  <c r="E247" i="38" s="1"/>
  <c r="H234" i="35"/>
  <c r="E234" i="35"/>
  <c r="AS235" i="35"/>
  <c r="C235" i="35" s="1"/>
  <c r="N307" i="39" l="1"/>
  <c r="D307" i="39" s="1"/>
  <c r="A307" i="39" s="1"/>
  <c r="L308" i="39"/>
  <c r="O308" i="39"/>
  <c r="AU247" i="38"/>
  <c r="D247" i="38" s="1"/>
  <c r="AV248" i="38"/>
  <c r="AS248" i="38"/>
  <c r="C247" i="38"/>
  <c r="AT236" i="35"/>
  <c r="A235" i="35"/>
  <c r="M215" i="36"/>
  <c r="G214" i="36"/>
  <c r="H214" i="36"/>
  <c r="F214" i="36"/>
  <c r="B214" i="36"/>
  <c r="I214" i="36" s="1"/>
  <c r="J247" i="38" l="1"/>
  <c r="A247" i="38" s="1"/>
  <c r="M308" i="39"/>
  <c r="C308" i="39" s="1"/>
  <c r="N308" i="39" s="1"/>
  <c r="D308" i="39" s="1"/>
  <c r="A308" i="39"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AV294" i="38"/>
  <c r="AS294" i="38"/>
  <c r="M251" i="36"/>
  <c r="AS276" i="35"/>
  <c r="C276" i="35" s="1"/>
  <c r="F275" i="35"/>
  <c r="G275" i="35"/>
  <c r="H250" i="36"/>
  <c r="B250" i="36"/>
  <c r="I250" i="36" s="1"/>
  <c r="F250" i="36"/>
  <c r="G250" i="36"/>
  <c r="D275" i="35"/>
  <c r="C293" i="38"/>
  <c r="E275" i="35"/>
  <c r="H275" i="35"/>
  <c r="I275" i="35"/>
  <c r="J293" i="38" l="1"/>
  <c r="A293" i="38" s="1"/>
  <c r="A276" i="35"/>
  <c r="AT277" i="35"/>
  <c r="K251" i="36"/>
  <c r="AT294" i="38"/>
  <c r="E294" i="38" s="1"/>
  <c r="E250" i="36"/>
  <c r="D250" i="36"/>
  <c r="AU294" i="38" l="1"/>
  <c r="D294" i="38" s="1"/>
  <c r="AV295" i="38"/>
  <c r="AS295" i="38"/>
  <c r="L251" i="36"/>
  <c r="C251" i="36" s="1"/>
  <c r="A251" i="36" s="1"/>
  <c r="AR277" i="35"/>
  <c r="C294" i="38"/>
  <c r="B276" i="35"/>
  <c r="J276" i="35"/>
  <c r="J294" i="38" l="1"/>
  <c r="A294" i="38" s="1"/>
  <c r="I276" i="35"/>
  <c r="H276" i="35"/>
  <c r="E276" i="35"/>
  <c r="F276" i="35"/>
  <c r="AS277" i="35"/>
  <c r="C277" i="35" s="1"/>
  <c r="M252" i="36"/>
  <c r="G251" i="36"/>
  <c r="H251" i="36"/>
  <c r="B251" i="36"/>
  <c r="I251" i="36" s="1"/>
  <c r="F251" i="36"/>
  <c r="AT295" i="38"/>
  <c r="C295" i="38" s="1"/>
  <c r="D276" i="35"/>
  <c r="G276" i="35"/>
  <c r="E295" i="38" l="1"/>
  <c r="E251" i="36"/>
  <c r="D251" i="36"/>
  <c r="K252" i="36"/>
  <c r="A277" i="35"/>
  <c r="AT278" i="35"/>
  <c r="AU295" i="38" l="1"/>
  <c r="D295" i="38" s="1"/>
  <c r="AV296" i="38"/>
  <c r="AS296" i="38"/>
  <c r="AT296" i="38" s="1"/>
  <c r="C296" i="38" s="1"/>
  <c r="AR278" i="35"/>
  <c r="L252" i="36"/>
  <c r="C252" i="36" s="1"/>
  <c r="A252" i="36" s="1"/>
  <c r="B277" i="35"/>
  <c r="J277" i="35"/>
  <c r="J295" i="38" l="1"/>
  <c r="A295" i="38" s="1"/>
  <c r="G277" i="35"/>
  <c r="F277" i="35"/>
  <c r="H277" i="35"/>
  <c r="D277" i="35"/>
  <c r="B252" i="36"/>
  <c r="I252" i="36" s="1"/>
  <c r="F252" i="36"/>
  <c r="H252" i="36"/>
  <c r="G252" i="36"/>
  <c r="M253" i="36"/>
  <c r="AS278" i="35"/>
  <c r="C278" i="35" s="1"/>
  <c r="E296" i="38"/>
  <c r="E277" i="35"/>
  <c r="I277" i="35"/>
  <c r="D252" i="36" l="1"/>
  <c r="K253" i="36"/>
  <c r="AT279" i="35"/>
  <c r="A278" i="35"/>
  <c r="E252" i="36"/>
  <c r="AU296" i="38"/>
  <c r="D296" i="38" s="1"/>
  <c r="AV297" i="38"/>
  <c r="AS297" i="38"/>
  <c r="J296" i="38" l="1"/>
  <c r="A296" i="38" s="1"/>
  <c r="AT297" i="38"/>
  <c r="E297" i="38" s="1"/>
  <c r="B278" i="35"/>
  <c r="AR279" i="35"/>
  <c r="L253" i="36"/>
  <c r="C253" i="36" s="1"/>
  <c r="A253" i="36" s="1"/>
  <c r="J278" i="35"/>
  <c r="E278" i="35" l="1"/>
  <c r="AU297" i="38"/>
  <c r="D297" i="38" s="1"/>
  <c r="AV298" i="38"/>
  <c r="AS298" i="38"/>
  <c r="H278" i="35"/>
  <c r="H253" i="36"/>
  <c r="F253" i="36"/>
  <c r="B253" i="36"/>
  <c r="I253" i="36" s="1"/>
  <c r="G253" i="36"/>
  <c r="F278" i="35"/>
  <c r="I278" i="35"/>
  <c r="M254" i="36"/>
  <c r="AS279" i="35"/>
  <c r="C279" i="35" s="1"/>
  <c r="C297" i="38"/>
  <c r="D278" i="35"/>
  <c r="G278" i="35"/>
  <c r="J297" i="38" l="1"/>
  <c r="A297" i="38" s="1"/>
  <c r="D253" i="36"/>
  <c r="AT298" i="38"/>
  <c r="E298" i="38" s="1"/>
  <c r="A279" i="35"/>
  <c r="AT280" i="35"/>
  <c r="K254" i="36"/>
  <c r="E253" i="36"/>
  <c r="AU298" i="38" l="1"/>
  <c r="D298" i="38" s="1"/>
  <c r="AS299" i="38"/>
  <c r="AV299" i="38"/>
  <c r="B279" i="35"/>
  <c r="C298" i="38"/>
  <c r="AR280" i="35"/>
  <c r="L254" i="36"/>
  <c r="C254" i="36" s="1"/>
  <c r="A254" i="36" s="1"/>
  <c r="J279" i="35"/>
  <c r="J298" i="38" l="1"/>
  <c r="A298" i="38" s="1"/>
  <c r="F279" i="35"/>
  <c r="G279" i="35"/>
  <c r="H279" i="35"/>
  <c r="E279" i="35"/>
  <c r="I279" i="35"/>
  <c r="D279" i="35"/>
  <c r="AT299" i="38"/>
  <c r="E299" i="38" s="1"/>
  <c r="G254" i="36"/>
  <c r="B254" i="36"/>
  <c r="I254" i="36" s="1"/>
  <c r="H254" i="36"/>
  <c r="F254" i="36"/>
  <c r="M255" i="36"/>
  <c r="AS280" i="35"/>
  <c r="C280" i="35" s="1"/>
  <c r="AS300" i="38" l="1"/>
  <c r="AT300" i="38" s="1"/>
  <c r="C300" i="38" s="1"/>
  <c r="AV300" i="38"/>
  <c r="E254" i="36"/>
  <c r="D254" i="36"/>
  <c r="AU299" i="38"/>
  <c r="D299" i="38" s="1"/>
  <c r="C299" i="38"/>
  <c r="K255" i="36"/>
  <c r="A280" i="35"/>
  <c r="AT281" i="35"/>
  <c r="J299" i="38" l="1"/>
  <c r="A299" i="38" s="1"/>
  <c r="E300" i="38"/>
  <c r="L255" i="36"/>
  <c r="C255" i="36" s="1"/>
  <c r="A255" i="36" s="1"/>
  <c r="AR281" i="35"/>
  <c r="B280" i="35"/>
  <c r="J280" i="35"/>
  <c r="AV301" i="38" l="1"/>
  <c r="D280" i="35"/>
  <c r="AS301" i="38"/>
  <c r="AU300" i="38"/>
  <c r="D300" i="38" s="1"/>
  <c r="G280" i="35"/>
  <c r="H280" i="35"/>
  <c r="F280" i="35"/>
  <c r="E280" i="35"/>
  <c r="I280" i="35"/>
  <c r="AS281" i="35"/>
  <c r="C281" i="35" s="1"/>
  <c r="M256" i="36"/>
  <c r="G255" i="36"/>
  <c r="F255" i="36"/>
  <c r="B255" i="36"/>
  <c r="I255" i="36" s="1"/>
  <c r="H255" i="36"/>
  <c r="J300" i="38" l="1"/>
  <c r="A300" i="38" s="1"/>
  <c r="AT282" i="35"/>
  <c r="AR282" i="35" s="1"/>
  <c r="AT301" i="38"/>
  <c r="C301" i="38" s="1"/>
  <c r="D255" i="36"/>
  <c r="A281" i="35"/>
  <c r="K256" i="36"/>
  <c r="E255" i="36"/>
  <c r="E301" i="38" l="1"/>
  <c r="B281" i="35"/>
  <c r="L256" i="36"/>
  <c r="C256" i="36" s="1"/>
  <c r="A256" i="36" s="1"/>
  <c r="AS282" i="35"/>
  <c r="C282" i="35" s="1"/>
  <c r="J281" i="35"/>
  <c r="AT283" i="35" l="1"/>
  <c r="AR283" i="35" s="1"/>
  <c r="I281" i="35"/>
  <c r="AU301" i="38"/>
  <c r="D301" i="38" s="1"/>
  <c r="AV302" i="38"/>
  <c r="AS302" i="38"/>
  <c r="A282" i="35"/>
  <c r="D281" i="35"/>
  <c r="B256" i="36"/>
  <c r="I256" i="36" s="1"/>
  <c r="H256" i="36"/>
  <c r="F256" i="36"/>
  <c r="G256" i="36"/>
  <c r="M257" i="36"/>
  <c r="E281" i="35"/>
  <c r="H281" i="35"/>
  <c r="F281" i="35"/>
  <c r="G281" i="35"/>
  <c r="J301" i="38" l="1"/>
  <c r="A301" i="38" s="1"/>
  <c r="AT302" i="38"/>
  <c r="C302" i="38" s="1"/>
  <c r="D256" i="36"/>
  <c r="E256" i="36"/>
  <c r="B282" i="35"/>
  <c r="AS283" i="35"/>
  <c r="C283" i="35" s="1"/>
  <c r="K257" i="36"/>
  <c r="J282" i="35"/>
  <c r="I282" i="35" l="1"/>
  <c r="E302" i="38"/>
  <c r="AT284" i="35"/>
  <c r="A283" i="35"/>
  <c r="E282" i="35"/>
  <c r="F282" i="35"/>
  <c r="D282" i="35"/>
  <c r="G282" i="35"/>
  <c r="H282" i="35"/>
  <c r="L257" i="36"/>
  <c r="C257" i="36" s="1"/>
  <c r="A257" i="36" s="1"/>
  <c r="AU302" i="38" l="1"/>
  <c r="D302" i="38" s="1"/>
  <c r="AV303" i="38"/>
  <c r="AS303" i="38"/>
  <c r="M258" i="36"/>
  <c r="F257" i="36"/>
  <c r="G257" i="36"/>
  <c r="H257" i="36"/>
  <c r="B257" i="36"/>
  <c r="I257" i="36" s="1"/>
  <c r="B283" i="35"/>
  <c r="AR284" i="35"/>
  <c r="J283" i="35"/>
  <c r="J302" i="38" l="1"/>
  <c r="A302" i="38" s="1"/>
  <c r="F283" i="35"/>
  <c r="AT303" i="38"/>
  <c r="C303" i="38" s="1"/>
  <c r="I283" i="35"/>
  <c r="AS284" i="35"/>
  <c r="C284" i="35" s="1"/>
  <c r="G283" i="35"/>
  <c r="E283" i="35"/>
  <c r="H283" i="35"/>
  <c r="E257" i="36"/>
  <c r="D257" i="36"/>
  <c r="D283" i="35"/>
  <c r="K258" i="36"/>
  <c r="E303" i="38" l="1"/>
  <c r="L258" i="36"/>
  <c r="C258" i="36" s="1"/>
  <c r="A258" i="36" s="1"/>
  <c r="AT285" i="35"/>
  <c r="A284" i="35"/>
  <c r="AU303" i="38" l="1"/>
  <c r="D303" i="38" s="1"/>
  <c r="AS304" i="38"/>
  <c r="AV304" i="38"/>
  <c r="B284" i="35"/>
  <c r="AR285" i="35"/>
  <c r="M259" i="36"/>
  <c r="B258" i="36"/>
  <c r="I258" i="36" s="1"/>
  <c r="F258" i="36"/>
  <c r="H258" i="36"/>
  <c r="G258" i="36"/>
  <c r="J284" i="35"/>
  <c r="J303" i="38" l="1"/>
  <c r="A303" i="38" s="1"/>
  <c r="E284" i="35"/>
  <c r="AT304" i="38"/>
  <c r="C304" i="38" s="1"/>
  <c r="I284" i="35"/>
  <c r="F284" i="35"/>
  <c r="G284" i="35"/>
  <c r="H284" i="35"/>
  <c r="D284" i="35"/>
  <c r="K259" i="36"/>
  <c r="AS285" i="35"/>
  <c r="C285" i="35" s="1"/>
  <c r="D258" i="36"/>
  <c r="E258" i="36"/>
  <c r="AT286" i="35" l="1"/>
  <c r="AR286" i="35" s="1"/>
  <c r="E304" i="38"/>
  <c r="L259" i="36"/>
  <c r="C259" i="36" s="1"/>
  <c r="A259" i="36" s="1"/>
  <c r="A285" i="35"/>
  <c r="AU304" i="38" l="1"/>
  <c r="D304" i="38" s="1"/>
  <c r="AS305" i="38"/>
  <c r="AV305" i="38"/>
  <c r="AS286" i="35"/>
  <c r="C286" i="35" s="1"/>
  <c r="B285" i="35"/>
  <c r="F259" i="36"/>
  <c r="G259" i="36"/>
  <c r="H259" i="36"/>
  <c r="B259" i="36"/>
  <c r="I259" i="36" s="1"/>
  <c r="M260" i="36"/>
  <c r="J285" i="35"/>
  <c r="J304" i="38" l="1"/>
  <c r="A304" i="38" s="1"/>
  <c r="AT287" i="35"/>
  <c r="AR287" i="35" s="1"/>
  <c r="I285" i="35"/>
  <c r="AT305" i="38"/>
  <c r="E305" i="38" s="1"/>
  <c r="A286" i="35"/>
  <c r="B286" i="35" s="1"/>
  <c r="E259" i="36"/>
  <c r="G285" i="35"/>
  <c r="D259" i="36"/>
  <c r="D285" i="35"/>
  <c r="E285" i="35"/>
  <c r="H285" i="35"/>
  <c r="F285" i="35"/>
  <c r="K260" i="36"/>
  <c r="J286" i="35"/>
  <c r="H286" i="35" l="1"/>
  <c r="AU305" i="38"/>
  <c r="D305" i="38" s="1"/>
  <c r="AS306" i="38"/>
  <c r="AV306" i="38"/>
  <c r="C305" i="38"/>
  <c r="AS287" i="35"/>
  <c r="C287" i="35" s="1"/>
  <c r="F286" i="35"/>
  <c r="G286" i="35"/>
  <c r="D286" i="35"/>
  <c r="E286" i="35"/>
  <c r="I286" i="35"/>
  <c r="L260" i="36"/>
  <c r="C260" i="36" s="1"/>
  <c r="A260" i="36" s="1"/>
  <c r="J305" i="38" l="1"/>
  <c r="A305" i="38" s="1"/>
  <c r="AT306" i="38"/>
  <c r="C306" i="38" s="1"/>
  <c r="A287" i="35"/>
  <c r="AT288" i="35"/>
  <c r="G260" i="36"/>
  <c r="B260" i="36"/>
  <c r="I260" i="36" s="1"/>
  <c r="F260" i="36"/>
  <c r="H260" i="36"/>
  <c r="M261" i="36"/>
  <c r="E306" i="38" l="1"/>
  <c r="AR288" i="35"/>
  <c r="B287" i="35"/>
  <c r="K261" i="36"/>
  <c r="D260" i="36"/>
  <c r="E260" i="36"/>
  <c r="J287" i="35"/>
  <c r="E287" i="35" l="1"/>
  <c r="AU306" i="38"/>
  <c r="D306" i="38" s="1"/>
  <c r="AV307" i="38"/>
  <c r="AS307" i="38"/>
  <c r="G287" i="35"/>
  <c r="I287" i="35"/>
  <c r="F287" i="35"/>
  <c r="D287" i="35"/>
  <c r="AS288" i="35"/>
  <c r="C288" i="35" s="1"/>
  <c r="H287" i="35"/>
  <c r="L261" i="36"/>
  <c r="C261" i="36" s="1"/>
  <c r="A261" i="36" s="1"/>
  <c r="J306" i="38" l="1"/>
  <c r="A306" i="38" s="1"/>
  <c r="AT307" i="38"/>
  <c r="C307" i="38" s="1"/>
  <c r="A288" i="35"/>
  <c r="AT289" i="35"/>
  <c r="G261" i="36"/>
  <c r="F261" i="36"/>
  <c r="H261" i="36"/>
  <c r="B261" i="36"/>
  <c r="I261" i="36" s="1"/>
  <c r="M262" i="36"/>
  <c r="E307" i="38" l="1"/>
  <c r="AR289" i="35"/>
  <c r="B288" i="35"/>
  <c r="K262" i="36"/>
  <c r="D261" i="36"/>
  <c r="E261" i="36"/>
  <c r="J288" i="35"/>
  <c r="I288" i="35" l="1"/>
  <c r="AU307" i="38"/>
  <c r="D307" i="38" s="1"/>
  <c r="AS308" i="38"/>
  <c r="AV308" i="38"/>
  <c r="H288" i="35"/>
  <c r="G288" i="35"/>
  <c r="E288" i="35"/>
  <c r="D288" i="35"/>
  <c r="AS289" i="35"/>
  <c r="C289" i="35" s="1"/>
  <c r="F288" i="35"/>
  <c r="L262" i="36"/>
  <c r="C262" i="36" s="1"/>
  <c r="A262" i="36" s="1"/>
  <c r="J307" i="38" l="1"/>
  <c r="A307" i="38" s="1"/>
  <c r="AT308" i="38"/>
  <c r="E308" i="38" s="1"/>
  <c r="A289" i="35"/>
  <c r="AT290" i="35"/>
  <c r="H262" i="36"/>
  <c r="F262" i="36"/>
  <c r="B262" i="36"/>
  <c r="I262" i="36" s="1"/>
  <c r="G262" i="36"/>
  <c r="M263" i="36"/>
  <c r="AU308" i="38" l="1"/>
  <c r="D308" i="38" s="1"/>
  <c r="AV309" i="38"/>
  <c r="AS309" i="38"/>
  <c r="C308" i="38"/>
  <c r="B289" i="35"/>
  <c r="AR290" i="35"/>
  <c r="E262" i="36"/>
  <c r="K263" i="36"/>
  <c r="D262" i="36"/>
  <c r="J289" i="35"/>
  <c r="J308" i="38" l="1"/>
  <c r="A308" i="38" s="1"/>
  <c r="F289" i="35"/>
  <c r="AT309" i="38"/>
  <c r="C309" i="38" s="1"/>
  <c r="I289" i="35"/>
  <c r="AS290" i="35"/>
  <c r="C290" i="35" s="1"/>
  <c r="H289" i="35"/>
  <c r="G289" i="35"/>
  <c r="E289" i="35"/>
  <c r="D289" i="35"/>
  <c r="L263" i="36"/>
  <c r="C263" i="36" s="1"/>
  <c r="A263" i="36" s="1"/>
  <c r="AT291" i="35" l="1"/>
  <c r="E309" i="38"/>
  <c r="A290" i="35"/>
  <c r="M264" i="36"/>
  <c r="F263" i="36"/>
  <c r="B263" i="36"/>
  <c r="I263" i="36" s="1"/>
  <c r="G263" i="36"/>
  <c r="H263" i="36"/>
  <c r="AR291" i="35" l="1"/>
  <c r="AU309" i="38"/>
  <c r="D309" i="38" s="1"/>
  <c r="B290" i="35"/>
  <c r="E263" i="36"/>
  <c r="D263" i="36"/>
  <c r="K264" i="36"/>
  <c r="J290" i="35"/>
  <c r="J309" i="38" l="1"/>
  <c r="A309" i="38" s="1"/>
  <c r="AS291" i="35"/>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I29" i="6"/>
  <c r="H100" i="6"/>
  <c r="M55" i="9" s="1"/>
  <c r="H82" i="6"/>
  <c r="M37" i="9" s="1"/>
  <c r="I28" i="6"/>
  <c r="G103" i="6"/>
  <c r="J58" i="9" s="1"/>
  <c r="G86" i="6"/>
  <c r="J41" i="9"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X38" i="7" s="1"/>
  <c r="J111" i="28"/>
  <c r="J105" i="28"/>
  <c r="V90" i="7"/>
  <c r="H255" i="26"/>
  <c r="W49" i="7"/>
  <c r="K65" i="28"/>
  <c r="L297" i="36" l="1"/>
  <c r="C297" i="36" s="1"/>
  <c r="A297" i="36" s="1"/>
  <c r="B297" i="36" s="1"/>
  <c r="I297" i="36" s="1"/>
  <c r="X49" i="7"/>
  <c r="L65" i="28"/>
  <c r="Y38" i="7"/>
  <c r="W90" i="7"/>
  <c r="K105" i="28"/>
  <c r="F297" i="36" l="1"/>
  <c r="H297" i="36"/>
  <c r="G297" i="36"/>
  <c r="E297" i="36"/>
  <c r="D297" i="36"/>
  <c r="X90" i="7"/>
  <c r="L105" i="28"/>
  <c r="Z38" i="7"/>
  <c r="M65" i="28"/>
  <c r="Y49" i="7"/>
  <c r="N65" i="28" l="1"/>
  <c r="Z49" i="7"/>
  <c r="AA38" i="7"/>
  <c r="Y90" i="7"/>
  <c r="M105" i="28"/>
  <c r="N105" i="28" l="1"/>
  <c r="Z90" i="7"/>
  <c r="AB38" i="7"/>
  <c r="O65" i="28"/>
  <c r="AA49" i="7"/>
  <c r="AE38" i="7" l="1"/>
  <c r="AC38" i="7"/>
  <c r="AD38" i="7"/>
  <c r="AM38" i="7"/>
  <c r="AW38" i="7" a="1"/>
  <c r="AW38" i="7" s="1"/>
  <c r="P65" i="28"/>
  <c r="AB49" i="7"/>
  <c r="AA90" i="7"/>
  <c r="O105" i="28"/>
  <c r="P105" i="28" l="1"/>
  <c r="AB90" i="7"/>
  <c r="Q65" i="28"/>
  <c r="AC49" i="7"/>
  <c r="R65" i="28" l="1"/>
  <c r="AD49" i="7"/>
  <c r="Q105" i="28"/>
  <c r="AC90" i="7"/>
  <c r="R105" i="28" l="1"/>
  <c r="AD90" i="7"/>
  <c r="AF38" i="7"/>
  <c r="S65" i="28"/>
  <c r="AE49" i="7"/>
  <c r="T65" i="28" l="1"/>
  <c r="AF49" i="7"/>
  <c r="AG38" i="7"/>
  <c r="AE90" i="7"/>
  <c r="S105" i="28"/>
  <c r="AF90" i="7" l="1"/>
  <c r="T105" i="28"/>
  <c r="AH38" i="7"/>
  <c r="U65" i="28"/>
  <c r="AG49" i="7"/>
  <c r="AH49" i="7" l="1"/>
  <c r="V65" i="28"/>
  <c r="AI38" i="7"/>
  <c r="AG90" i="7"/>
  <c r="U105" i="28"/>
  <c r="AH90" i="7" l="1"/>
  <c r="V105" i="28"/>
  <c r="AJ38" i="7"/>
  <c r="AI49" i="7"/>
  <c r="W65" i="28"/>
  <c r="X65" i="28" l="1"/>
  <c r="AJ49" i="7"/>
  <c r="AK38" i="7"/>
  <c r="W105" i="28"/>
  <c r="AI90" i="7"/>
  <c r="AJ90" i="7" l="1"/>
  <c r="X105" i="28"/>
  <c r="AL38" i="7"/>
  <c r="Y65" i="28"/>
  <c r="AK49" i="7"/>
  <c r="Z65" i="28" l="1"/>
  <c r="AL49" i="7"/>
  <c r="Y105" i="28"/>
  <c r="AK90" i="7"/>
  <c r="AL90" i="7" l="1"/>
  <c r="Z105" i="28"/>
  <c r="AN38" i="7"/>
  <c r="AA65" i="28"/>
  <c r="AM49" i="7"/>
  <c r="AB65" i="28" l="1"/>
  <c r="AN49" i="7"/>
  <c r="AO38" i="7"/>
  <c r="AA105" i="28"/>
  <c r="AM90" i="7"/>
  <c r="AB105" i="28" l="1"/>
  <c r="AN90" i="7"/>
  <c r="AP38" i="7"/>
  <c r="AO49" i="7"/>
  <c r="AC65" i="28"/>
  <c r="AP49" i="7" l="1"/>
  <c r="AD65" i="28"/>
  <c r="AQ38" i="7"/>
  <c r="AO90" i="7"/>
  <c r="AC105" i="28"/>
  <c r="AD105" i="28" l="1"/>
  <c r="AP90" i="7"/>
  <c r="AR38" i="7"/>
  <c r="AE65" i="28"/>
  <c r="AQ49" i="7"/>
  <c r="AR49" i="7" l="1"/>
  <c r="AF65" i="28"/>
  <c r="AS38" i="7"/>
  <c r="AE105" i="28"/>
  <c r="AQ90" i="7"/>
  <c r="AF105" i="28" l="1"/>
  <c r="AR90" i="7"/>
  <c r="AT38" i="7"/>
  <c r="AG65" i="28"/>
  <c r="AS49" i="7"/>
  <c r="AT49" i="7" l="1"/>
  <c r="AH65" i="28"/>
  <c r="AU38" i="7"/>
  <c r="AG105" i="28"/>
  <c r="AS90" i="7"/>
  <c r="AH105" i="28" l="1"/>
  <c r="AT90" i="7"/>
  <c r="AV38" i="7"/>
  <c r="AI65" i="28"/>
  <c r="AU49" i="7"/>
  <c r="AV49" i="7" l="1"/>
  <c r="AJ65" i="28"/>
  <c r="AU90" i="7"/>
  <c r="AI105" i="28"/>
  <c r="AJ105" i="28" l="1"/>
  <c r="AV90" i="7"/>
  <c r="AX38" i="7"/>
  <c r="AK65" i="28"/>
  <c r="AW49" i="7"/>
  <c r="AX49" i="7" l="1"/>
  <c r="AL65" i="28"/>
  <c r="AY38" i="7"/>
  <c r="AW90" i="7"/>
  <c r="AK105" i="28"/>
  <c r="AL105" i="28" l="1"/>
  <c r="AX90" i="7"/>
  <c r="AZ38" i="7"/>
  <c r="AM65" i="28"/>
  <c r="AY49" i="7"/>
  <c r="AY90" i="7" l="1"/>
  <c r="AM105" i="28"/>
  <c r="AN65" i="28"/>
  <c r="AZ49" i="7"/>
  <c r="BA38" i="7"/>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E16" authorId="0"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0" shapeId="0" xr:uid="{810C286E-38BF-407C-AAF0-09447E9DE0BD}">
      <text>
        <r>
          <rPr>
            <b/>
            <sz val="9"/>
            <color indexed="81"/>
            <rFont val="Tahoma"/>
            <family val="2"/>
          </rPr>
          <t>Fadiel:</t>
        </r>
        <r>
          <rPr>
            <sz val="9"/>
            <color indexed="81"/>
            <rFont val="Tahoma"/>
            <family val="2"/>
          </rPr>
          <t xml:space="preserve">
Guessitmate
</t>
        </r>
      </text>
    </comment>
    <comment ref="G21" authorId="0" shapeId="0" xr:uid="{80838D66-21FC-45A4-9951-B0C4B98038AB}">
      <text>
        <r>
          <rPr>
            <b/>
            <sz val="9"/>
            <color indexed="81"/>
            <rFont val="Tahoma"/>
            <family val="2"/>
          </rPr>
          <t>Fadiel:</t>
        </r>
        <r>
          <rPr>
            <sz val="9"/>
            <color indexed="81"/>
            <rFont val="Tahoma"/>
            <family val="2"/>
          </rPr>
          <t xml:space="preserve">
From SATIM for new GTL
</t>
        </r>
      </text>
    </comment>
    <comment ref="C46" authorId="0"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0" shapeId="0" xr:uid="{77376628-426B-43E7-A7CC-FA2A2B3F8D4B}">
      <text>
        <r>
          <rPr>
            <b/>
            <sz val="9"/>
            <color indexed="81"/>
            <rFont val="Tahoma"/>
            <family val="2"/>
          </rPr>
          <t>Fadiel:</t>
        </r>
        <r>
          <rPr>
            <sz val="9"/>
            <color indexed="81"/>
            <rFont val="Tahoma"/>
            <family val="2"/>
          </rPr>
          <t xml:space="preserve">
JetFuel</t>
        </r>
      </text>
    </comment>
    <comment ref="A59" authorId="0" shapeId="0" xr:uid="{73C728B6-F449-4589-959D-5464C6DADFF2}">
      <text>
        <r>
          <rPr>
            <b/>
            <sz val="9"/>
            <color indexed="81"/>
            <rFont val="Tahoma"/>
            <family val="2"/>
          </rPr>
          <t>Fadiel:</t>
        </r>
        <r>
          <rPr>
            <sz val="9"/>
            <color indexed="81"/>
            <rFont val="Tahoma"/>
            <family val="2"/>
          </rPr>
          <t xml:space="preserve">
No DAC</t>
        </r>
      </text>
    </comment>
    <comment ref="A66" authorId="0" shapeId="0" xr:uid="{81FF0514-D35E-4462-863A-9469730E364D}">
      <text>
        <r>
          <rPr>
            <b/>
            <sz val="9"/>
            <color indexed="81"/>
            <rFont val="Tahoma"/>
            <family val="2"/>
          </rPr>
          <t>Fadiel:</t>
        </r>
        <r>
          <rPr>
            <sz val="9"/>
            <color indexed="81"/>
            <rFont val="Tahoma"/>
            <family val="2"/>
          </rPr>
          <t xml:space="preserve">
JetFuel</t>
        </r>
      </text>
    </comment>
    <comment ref="B66" authorId="0" shapeId="0" xr:uid="{EF9485C9-826B-4046-B6EB-555B5AAEC60B}">
      <text>
        <r>
          <rPr>
            <b/>
            <sz val="9"/>
            <color indexed="81"/>
            <rFont val="Tahoma"/>
            <family val="2"/>
          </rPr>
          <t>Fadiel:</t>
        </r>
        <r>
          <rPr>
            <sz val="9"/>
            <color indexed="81"/>
            <rFont val="Tahoma"/>
            <family val="2"/>
          </rPr>
          <t xml:space="preserve">
JetFuel</t>
        </r>
      </text>
    </comment>
    <comment ref="C66" authorId="0"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0" shapeId="0" xr:uid="{351DC354-0ADB-4336-B9FE-A980AA839529}">
      <text>
        <r>
          <rPr>
            <b/>
            <sz val="9"/>
            <color indexed="81"/>
            <rFont val="Tahoma"/>
            <family val="2"/>
          </rPr>
          <t>Fadiel:</t>
        </r>
        <r>
          <rPr>
            <sz val="9"/>
            <color indexed="81"/>
            <rFont val="Tahoma"/>
            <family val="2"/>
          </rPr>
          <t xml:space="preserve">
JetFuel</t>
        </r>
      </text>
    </comment>
    <comment ref="A97" authorId="0" shapeId="0" xr:uid="{C8476D86-8EF6-4F85-992F-D01594F23919}">
      <text>
        <r>
          <rPr>
            <b/>
            <sz val="9"/>
            <color indexed="81"/>
            <rFont val="Tahoma"/>
            <family val="2"/>
          </rPr>
          <t>Fadiel:</t>
        </r>
        <r>
          <rPr>
            <sz val="9"/>
            <color indexed="81"/>
            <rFont val="Tahoma"/>
            <family val="2"/>
          </rPr>
          <t xml:space="preserve">
JetFuel</t>
        </r>
      </text>
    </comment>
    <comment ref="D109" authorId="0" shapeId="0" xr:uid="{ECFD87FA-B514-498A-A090-83A43396BF65}">
      <text>
        <r>
          <rPr>
            <b/>
            <sz val="9"/>
            <color indexed="81"/>
            <rFont val="Tahoma"/>
            <family val="2"/>
          </rPr>
          <t>Fadiel:</t>
        </r>
        <r>
          <rPr>
            <sz val="9"/>
            <color indexed="81"/>
            <rFont val="Tahoma"/>
            <family val="2"/>
          </rPr>
          <t xml:space="preserve">
Chem Eng Eco (1989)</t>
        </r>
      </text>
    </comment>
    <comment ref="T136" authorId="0"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0"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5" authorId="0" shapeId="0" xr:uid="{00000000-0006-0000-3100-000001000000}">
      <text>
        <r>
          <rPr>
            <b/>
            <sz val="9"/>
            <color indexed="81"/>
            <rFont val="Tahoma"/>
            <family val="2"/>
          </rPr>
          <t>bruno merven:</t>
        </r>
        <r>
          <rPr>
            <sz val="9"/>
            <color indexed="81"/>
            <rFont val="Tahoma"/>
            <family val="2"/>
          </rPr>
          <t xml:space="preserve">
based on IPPC AR4 working group 1 - physical science basis 2007.</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<sst xmlns="http://schemas.openxmlformats.org/spreadsheetml/2006/main" count="29040" uniqueCount="14802">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</sst>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35">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2.emf"/><Relationship Id="rId1" Type="http://schemas.openxmlformats.org/officeDocument/2006/relationships/image" Target="../media/image91.emf"/><Relationship Id="rId4" Type="http://schemas.openxmlformats.org/officeDocument/2006/relationships/image" Target="../media/image94.emf"/></Relationships>
</file>

<file path=xl/drawings/_rels/vmlDrawing44.vml.rels><?xml version="1.0" encoding="UTF-8" standalone="yes"?>
<Relationships xmlns="http://schemas.openxmlformats.org/package/2006/relationships"><Relationship Id="rId8" Type="http://schemas.openxmlformats.org/officeDocument/2006/relationships/image" Target="../media/image97.emf"/><Relationship Id="rId3" Type="http://schemas.openxmlformats.org/officeDocument/2006/relationships/image" Target="../media/image102.emf"/><Relationship Id="rId7" Type="http://schemas.openxmlformats.org/officeDocument/2006/relationships/image" Target="../media/image98.emf"/><Relationship Id="rId2" Type="http://schemas.openxmlformats.org/officeDocument/2006/relationships/image" Target="../media/image103.emf"/><Relationship Id="rId1" Type="http://schemas.openxmlformats.org/officeDocument/2006/relationships/image" Target="../media/image104.emf"/><Relationship Id="rId6" Type="http://schemas.openxmlformats.org/officeDocument/2006/relationships/image" Target="../media/image99.emf"/><Relationship Id="rId5" Type="http://schemas.openxmlformats.org/officeDocument/2006/relationships/image" Target="../media/image100.emf"/><Relationship Id="rId4" Type="http://schemas.openxmlformats.org/officeDocument/2006/relationships/image" Target="../media/image101.emf"/><Relationship Id="rId9" Type="http://schemas.openxmlformats.org/officeDocument/2006/relationships/image" Target="../media/image96.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06.emf"/><Relationship Id="rId3" Type="http://schemas.openxmlformats.org/officeDocument/2006/relationships/image" Target="../media/image111.emf"/><Relationship Id="rId7" Type="http://schemas.openxmlformats.org/officeDocument/2006/relationships/image" Target="../media/image107.emf"/><Relationship Id="rId2" Type="http://schemas.openxmlformats.org/officeDocument/2006/relationships/image" Target="../media/image112.emf"/><Relationship Id="rId1" Type="http://schemas.openxmlformats.org/officeDocument/2006/relationships/image" Target="../media/image113.emf"/><Relationship Id="rId6" Type="http://schemas.openxmlformats.org/officeDocument/2006/relationships/image" Target="../media/image108.emf"/><Relationship Id="rId5" Type="http://schemas.openxmlformats.org/officeDocument/2006/relationships/image" Target="../media/image109.emf"/><Relationship Id="rId4" Type="http://schemas.openxmlformats.org/officeDocument/2006/relationships/image" Target="../media/image110.emf"/><Relationship Id="rId9" Type="http://schemas.openxmlformats.org/officeDocument/2006/relationships/image" Target="../media/image105.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3">
          <cell r="BO3" t="str">
            <v>AI</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0">
          <cell r="G10" t="str">
            <v>s1d1b1</v>
          </cell>
        </row>
      </sheetData>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0.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1.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2.xml"/><Relationship Id="rId1" Type="http://schemas.openxmlformats.org/officeDocument/2006/relationships/hyperlink" Target="https://www1.oanda.com/currency/converter/" TargetMode="External"/><Relationship Id="rId4" Type="http://schemas.openxmlformats.org/officeDocument/2006/relationships/comments" Target="../comments23.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7.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5.xml"/><Relationship Id="rId4" Type="http://schemas.openxmlformats.org/officeDocument/2006/relationships/vmlDrawing" Target="../drawings/vmlDrawing30.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31.vml"/><Relationship Id="rId1" Type="http://schemas.openxmlformats.org/officeDocument/2006/relationships/printerSettings" Target="../printerSettings/printerSettings28.bin"/><Relationship Id="rId4" Type="http://schemas.microsoft.com/office/2017/10/relationships/threadedComment" Target="../threadedComments/threadedComment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1.bin"/><Relationship Id="rId4" Type="http://schemas.microsoft.com/office/2017/10/relationships/threadedComment" Target="../threadedComments/threadedComment10.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4.vml"/><Relationship Id="rId7" Type="http://schemas.openxmlformats.org/officeDocument/2006/relationships/image" Target="../media/image92.emf"/><Relationship Id="rId12" Type="http://schemas.openxmlformats.org/officeDocument/2006/relationships/comments" Target="../comments29.xml"/><Relationship Id="rId2" Type="http://schemas.openxmlformats.org/officeDocument/2006/relationships/drawing" Target="../drawings/drawing26.xml"/><Relationship Id="rId1" Type="http://schemas.openxmlformats.org/officeDocument/2006/relationships/printerSettings" Target="../printerSettings/printerSettings34.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7.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8.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9.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7.xml"/><Relationship Id="rId1" Type="http://schemas.openxmlformats.org/officeDocument/2006/relationships/printerSettings" Target="../printerSettings/printerSettings38.bin"/><Relationship Id="rId4" Type="http://schemas.openxmlformats.org/officeDocument/2006/relationships/comments" Target="../comments35.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36.xml"/><Relationship Id="rId1" Type="http://schemas.openxmlformats.org/officeDocument/2006/relationships/vmlDrawing" Target="../drawings/vmlDrawing41.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42.vml"/><Relationship Id="rId1" Type="http://schemas.openxmlformats.org/officeDocument/2006/relationships/printerSettings" Target="../printerSettings/printerSettings4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43.v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0.emf"/><Relationship Id="rId18" Type="http://schemas.openxmlformats.org/officeDocument/2006/relationships/control" Target="../activeX/activeX54.xml"/><Relationship Id="rId3" Type="http://schemas.openxmlformats.org/officeDocument/2006/relationships/vmlDrawing" Target="../drawings/vmlDrawing44.vml"/><Relationship Id="rId21" Type="http://schemas.openxmlformats.org/officeDocument/2006/relationships/image" Target="../media/image104.emf"/><Relationship Id="rId7" Type="http://schemas.openxmlformats.org/officeDocument/2006/relationships/image" Target="../media/image97.emf"/><Relationship Id="rId12" Type="http://schemas.openxmlformats.org/officeDocument/2006/relationships/control" Target="../activeX/activeX51.xml"/><Relationship Id="rId17" Type="http://schemas.openxmlformats.org/officeDocument/2006/relationships/image" Target="../media/image102.emf"/><Relationship Id="rId2" Type="http://schemas.openxmlformats.org/officeDocument/2006/relationships/drawing" Target="../drawings/drawing28.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3.bin"/><Relationship Id="rId6" Type="http://schemas.openxmlformats.org/officeDocument/2006/relationships/control" Target="../activeX/activeX48.xml"/><Relationship Id="rId11" Type="http://schemas.openxmlformats.org/officeDocument/2006/relationships/image" Target="../media/image99.emf"/><Relationship Id="rId5" Type="http://schemas.openxmlformats.org/officeDocument/2006/relationships/image" Target="../media/image96.emf"/><Relationship Id="rId15" Type="http://schemas.openxmlformats.org/officeDocument/2006/relationships/image" Target="../media/image101.emf"/><Relationship Id="rId10" Type="http://schemas.openxmlformats.org/officeDocument/2006/relationships/control" Target="../activeX/activeX50.xml"/><Relationship Id="rId19" Type="http://schemas.openxmlformats.org/officeDocument/2006/relationships/image" Target="../media/image103.emf"/><Relationship Id="rId4" Type="http://schemas.openxmlformats.org/officeDocument/2006/relationships/control" Target="../activeX/activeX47.xml"/><Relationship Id="rId9" Type="http://schemas.openxmlformats.org/officeDocument/2006/relationships/image" Target="../media/image98.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09.emf"/><Relationship Id="rId18" Type="http://schemas.openxmlformats.org/officeDocument/2006/relationships/control" Target="../activeX/activeX63.xml"/><Relationship Id="rId3" Type="http://schemas.openxmlformats.org/officeDocument/2006/relationships/vmlDrawing" Target="../drawings/vmlDrawing45.vml"/><Relationship Id="rId21" Type="http://schemas.openxmlformats.org/officeDocument/2006/relationships/image" Target="../media/image113.emf"/><Relationship Id="rId7" Type="http://schemas.openxmlformats.org/officeDocument/2006/relationships/image" Target="../media/image106.emf"/><Relationship Id="rId12" Type="http://schemas.openxmlformats.org/officeDocument/2006/relationships/control" Target="../activeX/activeX60.xml"/><Relationship Id="rId17" Type="http://schemas.openxmlformats.org/officeDocument/2006/relationships/image" Target="../media/image111.emf"/><Relationship Id="rId2" Type="http://schemas.openxmlformats.org/officeDocument/2006/relationships/drawing" Target="../drawings/drawing29.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4.bin"/><Relationship Id="rId6" Type="http://schemas.openxmlformats.org/officeDocument/2006/relationships/control" Target="../activeX/activeX57.xml"/><Relationship Id="rId11" Type="http://schemas.openxmlformats.org/officeDocument/2006/relationships/image" Target="../media/image108.emf"/><Relationship Id="rId5" Type="http://schemas.openxmlformats.org/officeDocument/2006/relationships/image" Target="../media/image105.emf"/><Relationship Id="rId15" Type="http://schemas.openxmlformats.org/officeDocument/2006/relationships/image" Target="../media/image110.emf"/><Relationship Id="rId10" Type="http://schemas.openxmlformats.org/officeDocument/2006/relationships/control" Target="../activeX/activeX59.xml"/><Relationship Id="rId19" Type="http://schemas.openxmlformats.org/officeDocument/2006/relationships/image" Target="../media/image112.emf"/><Relationship Id="rId4" Type="http://schemas.openxmlformats.org/officeDocument/2006/relationships/control" Target="../activeX/activeX56.xml"/><Relationship Id="rId9" Type="http://schemas.openxmlformats.org/officeDocument/2006/relationships/image" Target="../media/image107.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46.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election activeCell="B7" sqref="B7"/>
    </sheetView>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0" workbookViewId="0">
      <selection activeCell="D112" sqref="D112:D113"/>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44412.932853935185</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8" spans="1:4">
      <c r="A118" s="1470">
        <f ca="1">NOW()</f>
        <v>44412.932853935185</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pane xSplit="4" ySplit="4" topLeftCell="E5" activePane="bottomRight" state="frozen"/>
      <selection pane="topRight" activeCell="E1" sqref="E1"/>
      <selection pane="bottomLeft" activeCell="A5" sqref="A5"/>
      <selection pane="bottomRight" activeCell="H59" sqref="H59"/>
    </sheetView>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93">
        <v>56.1</v>
      </c>
      <c r="AZ26" s="93">
        <v>1E-3</v>
      </c>
      <c r="BA26" s="93">
        <v>1E-4</v>
      </c>
      <c r="BB26" s="93">
        <v>0</v>
      </c>
      <c r="BC26" s="93">
        <v>0.15</v>
      </c>
      <c r="BD26" s="93">
        <v>0.02</v>
      </c>
      <c r="BE26" s="93">
        <v>5.0000000000000001E-3</v>
      </c>
      <c r="BF26" s="93">
        <v>0</v>
      </c>
      <c r="BG26" s="93">
        <v>0</v>
      </c>
      <c r="BH26" s="93">
        <v>0</v>
      </c>
      <c r="BI26" s="93">
        <v>0</v>
      </c>
      <c r="BJ26" s="93">
        <v>0</v>
      </c>
      <c r="BK26" s="93">
        <v>0</v>
      </c>
      <c r="BL26" s="93">
        <v>0</v>
      </c>
      <c r="BM26" s="93">
        <v>0</v>
      </c>
      <c r="BN26" s="93">
        <v>0</v>
      </c>
      <c r="BO26" s="93">
        <f t="shared" si="35"/>
        <v>21</v>
      </c>
      <c r="BP26" s="93">
        <f t="shared" si="46"/>
        <v>6</v>
      </c>
      <c r="BR26" s="93">
        <f t="shared" si="47"/>
        <v>1</v>
      </c>
      <c r="BS26" s="93">
        <f t="shared" si="48"/>
        <v>2</v>
      </c>
      <c r="BT26" s="93">
        <f t="shared" si="49"/>
        <v>3</v>
      </c>
      <c r="BU26" s="93">
        <f t="shared" si="50"/>
        <v>3</v>
      </c>
      <c r="BV26" s="93">
        <f t="shared" si="51"/>
        <v>4</v>
      </c>
      <c r="BW26" s="93">
        <f t="shared" si="52"/>
        <v>5</v>
      </c>
      <c r="BX26" s="93">
        <f t="shared" si="53"/>
        <v>6</v>
      </c>
      <c r="BY26" s="93">
        <f t="shared" si="54"/>
        <v>6</v>
      </c>
      <c r="BZ26" s="93">
        <f t="shared" si="55"/>
        <v>6</v>
      </c>
      <c r="CA26" s="93">
        <f t="shared" si="56"/>
        <v>6</v>
      </c>
      <c r="CB26" s="93">
        <f t="shared" si="57"/>
        <v>6</v>
      </c>
      <c r="CC26" s="93">
        <f t="shared" si="58"/>
        <v>6</v>
      </c>
      <c r="CD26" s="93">
        <f t="shared" si="59"/>
        <v>6</v>
      </c>
      <c r="CE26" s="93">
        <f t="shared" si="60"/>
        <v>6</v>
      </c>
      <c r="CF26" s="93">
        <f t="shared" si="61"/>
        <v>6</v>
      </c>
      <c r="CG26" s="93">
        <f t="shared" si="62"/>
        <v>6</v>
      </c>
      <c r="CH26" s="93">
        <f>IFERROR(HLOOKUP(CH$4,$BR26:$CG$46,$BO26,FALSE),"")</f>
        <v>1</v>
      </c>
      <c r="CI26" s="93">
        <f>IFERROR(HLOOKUP(CI$4,$BR26:$CG$46,$BO26,FALSE),"")</f>
        <v>2</v>
      </c>
      <c r="CJ26" s="93">
        <f>IFERROR(HLOOKUP(CJ$4,$BR26:$CG$46,$BO26,FALSE),"")</f>
        <v>3</v>
      </c>
      <c r="CK26" s="93">
        <f>IFERROR(HLOOKUP(CK$4,$BR26:$CG$46,$BO26,FALSE),"")</f>
        <v>5</v>
      </c>
      <c r="CL26" s="93">
        <f>IFERROR(HLOOKUP(CL$4,$BR26:$CG$46,$BO26,FALSE),"")</f>
        <v>6</v>
      </c>
      <c r="CM26" s="93">
        <f>IFERROR(HLOOKUP(CM$4,$BR26:$CG$46,$BO26,FALSE),"")</f>
        <v>7</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topLeftCell="K1" workbookViewId="0">
      <selection activeCell="W7" sqref="W7"/>
    </sheetView>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pane xSplit="3" ySplit="26" topLeftCell="N99" activePane="bottomRight" state="frozen"/>
      <selection pane="topRight" activeCell="D1" sqref="D1"/>
      <selection pane="bottomLeft" activeCell="A27" sqref="A27"/>
      <selection pane="bottomRight" activeCell="AO116" sqref="AO116"/>
    </sheetView>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topLeftCell="A51" workbookViewId="0">
      <selection activeCell="F52" sqref="F52"/>
    </sheetView>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topLeftCell="BS88" zoomScale="80" zoomScaleNormal="80" workbookViewId="0">
      <selection activeCell="CL92" sqref="CL92"/>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topLeftCell="A49" workbookViewId="0">
      <selection activeCell="C67" sqref="C67"/>
    </sheetView>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76</v>
      </c>
      <c r="G6" s="6">
        <f>+SUP!L14</f>
        <v>93</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796">
        <v>2010</v>
      </c>
      <c r="N22" s="1796"/>
      <c r="O22" s="1796"/>
      <c r="P22" s="1796"/>
      <c r="R22" s="1796">
        <v>2010</v>
      </c>
      <c r="S22" s="1796"/>
      <c r="T22" s="1796"/>
      <c r="U22" s="1796"/>
      <c r="X22" s="430" t="s">
        <v>1007</v>
      </c>
    </row>
    <row r="23" spans="2:27" s="430" customFormat="1">
      <c r="C23" s="6"/>
      <c r="D23" s="6"/>
      <c r="E23" s="6"/>
      <c r="F23" s="6"/>
      <c r="G23" s="6"/>
      <c r="H23" s="6"/>
      <c r="I23" s="6"/>
      <c r="J23" s="430">
        <v>1</v>
      </c>
      <c r="K23" s="430">
        <f>J23+1</f>
        <v>2</v>
      </c>
      <c r="M23" s="1794" t="s">
        <v>978</v>
      </c>
      <c r="N23" s="1795"/>
      <c r="O23" s="1794" t="s">
        <v>965</v>
      </c>
      <c r="P23" s="1795"/>
      <c r="R23" s="1794" t="s">
        <v>978</v>
      </c>
      <c r="S23" s="1795"/>
      <c r="T23" s="1794" t="s">
        <v>965</v>
      </c>
      <c r="U23" s="1795"/>
    </row>
    <row r="24" spans="2:27" s="430" customFormat="1" ht="15.75" thickBot="1">
      <c r="C24" s="6"/>
      <c r="D24" s="6"/>
      <c r="E24" s="6"/>
      <c r="F24" s="6"/>
      <c r="G24" s="6"/>
      <c r="H24" s="6"/>
      <c r="I24" s="6"/>
      <c r="K24" s="6">
        <v>2012</v>
      </c>
      <c r="L24" s="6"/>
      <c r="M24" s="1794" t="s">
        <v>345</v>
      </c>
      <c r="N24" s="1795"/>
      <c r="O24" s="1794" t="s">
        <v>345</v>
      </c>
      <c r="P24" s="1795"/>
      <c r="R24" s="1794" t="s">
        <v>979</v>
      </c>
      <c r="S24" s="1795"/>
      <c r="T24" s="1794" t="s">
        <v>979</v>
      </c>
      <c r="U24" s="1795"/>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7.6000000000000005</v>
      </c>
      <c r="AA27" s="615">
        <f>+G6*G8</f>
        <v>9.3000000000000007</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4.5599999999999996</v>
      </c>
      <c r="AA30" s="615">
        <f>G6*G9</f>
        <v>5.58</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6.08</v>
      </c>
      <c r="AA33" s="615">
        <f>G6*G10</f>
        <v>7.44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11.724</v>
      </c>
      <c r="AA36" s="615">
        <f>G6*G7+G11</f>
        <v>14.257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15.344000000000001</v>
      </c>
      <c r="AA39" s="615">
        <f>G6*G7+G12+$H$39</f>
        <v>17.876999999999999</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topLeftCell="O111" workbookViewId="0">
      <selection activeCell="V126" sqref="V126"/>
    </sheetView>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25" t="s">
        <v>1905</v>
      </c>
      <c r="AD1" s="1825"/>
      <c r="AE1" s="1825"/>
    </row>
    <row r="2" spans="1:31" ht="15.75" customHeight="1">
      <c r="A2" s="1811" t="s">
        <v>1723</v>
      </c>
      <c r="B2" s="1813" t="s">
        <v>1724</v>
      </c>
      <c r="C2" s="1815" t="s">
        <v>1725</v>
      </c>
      <c r="D2" s="1816"/>
      <c r="E2" s="1817"/>
      <c r="F2" s="1820" t="s">
        <v>1726</v>
      </c>
      <c r="G2" s="1155"/>
      <c r="H2" s="1155"/>
      <c r="I2" s="1155"/>
      <c r="J2" s="1155"/>
      <c r="U2" s="1149" t="s">
        <v>1930</v>
      </c>
      <c r="V2" s="1133">
        <v>18.235131074122162</v>
      </c>
      <c r="W2" s="1164" t="s">
        <v>1931</v>
      </c>
      <c r="AC2" s="1141" t="s">
        <v>1906</v>
      </c>
      <c r="AD2" s="1142">
        <f>AD3*AD4/10^3</f>
        <v>5.4839199999999998E-2</v>
      </c>
      <c r="AE2" s="1048" t="s">
        <v>248</v>
      </c>
    </row>
    <row r="3" spans="1:31">
      <c r="A3" s="1812"/>
      <c r="B3" s="1814"/>
      <c r="C3" s="1818"/>
      <c r="D3" s="1819"/>
      <c r="E3" s="1819"/>
      <c r="F3" s="1821"/>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26" t="s">
        <v>251</v>
      </c>
      <c r="AD20" s="1826"/>
      <c r="AE20" s="1826"/>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23"/>
      <c r="I26" s="1823"/>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5" t="s">
        <v>1897</v>
      </c>
      <c r="M27" s="1802" t="s">
        <v>1401</v>
      </c>
      <c r="N27" s="1129" t="s">
        <v>1898</v>
      </c>
      <c r="O27" s="1135" t="s">
        <v>1899</v>
      </c>
      <c r="P27" s="1127" t="s">
        <v>1898</v>
      </c>
      <c r="Q27" s="1140" t="s">
        <v>1899</v>
      </c>
      <c r="R27" s="1805" t="s">
        <v>1937</v>
      </c>
      <c r="S27" s="1805" t="s">
        <v>1947</v>
      </c>
      <c r="T27" s="1805" t="s">
        <v>1981</v>
      </c>
      <c r="U27" s="1805" t="s">
        <v>1937</v>
      </c>
      <c r="V27" s="1805" t="s">
        <v>1947</v>
      </c>
      <c r="W27" s="1805" t="s">
        <v>1981</v>
      </c>
      <c r="X27" s="1153"/>
      <c r="Y27" s="1153"/>
      <c r="Z27" s="1153"/>
      <c r="AA27" s="1153"/>
    </row>
    <row r="28" spans="1:31">
      <c r="A28" s="430" t="s">
        <v>1748</v>
      </c>
      <c r="C28" s="430" t="s">
        <v>1900</v>
      </c>
      <c r="D28" s="430" t="s">
        <v>1900</v>
      </c>
      <c r="E28" s="430" t="s">
        <v>1900</v>
      </c>
      <c r="F28" s="6" t="s">
        <v>1901</v>
      </c>
      <c r="G28" s="6" t="s">
        <v>1938</v>
      </c>
      <c r="H28" s="1824" t="s">
        <v>1940</v>
      </c>
      <c r="I28" s="1824"/>
      <c r="J28" s="6" t="s">
        <v>1901</v>
      </c>
      <c r="K28" s="430" t="s">
        <v>1938</v>
      </c>
      <c r="L28" s="1806"/>
      <c r="M28" s="1803"/>
      <c r="N28" s="877"/>
      <c r="O28" s="1136"/>
      <c r="P28" s="1136"/>
      <c r="Q28" s="1131"/>
      <c r="R28" s="1806"/>
      <c r="S28" s="1806"/>
      <c r="T28" s="1806"/>
      <c r="U28" s="1806"/>
      <c r="V28" s="1806"/>
      <c r="W28" s="1806"/>
      <c r="X28" s="532"/>
      <c r="Y28" s="532"/>
      <c r="Z28" s="532"/>
      <c r="AA28" s="532"/>
    </row>
    <row r="29" spans="1:31" ht="15.75" thickBot="1">
      <c r="A29" s="392" t="s">
        <v>1902</v>
      </c>
      <c r="F29" s="6" t="s">
        <v>1903</v>
      </c>
      <c r="G29" s="6" t="s">
        <v>1939</v>
      </c>
      <c r="H29" s="612"/>
      <c r="I29" s="612"/>
      <c r="J29" s="6" t="s">
        <v>1903</v>
      </c>
      <c r="K29" s="430" t="s">
        <v>1903</v>
      </c>
      <c r="L29" s="1807"/>
      <c r="M29" s="1804"/>
      <c r="N29" s="1130" t="s">
        <v>1100</v>
      </c>
      <c r="O29" s="1137" t="s">
        <v>1100</v>
      </c>
      <c r="P29" s="548" t="s">
        <v>1100</v>
      </c>
      <c r="Q29" s="687" t="s">
        <v>1100</v>
      </c>
      <c r="R29" s="1807"/>
      <c r="S29" s="1807"/>
      <c r="T29" s="1807"/>
      <c r="U29" s="1807"/>
      <c r="V29" s="1807"/>
      <c r="W29" s="1807"/>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08"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09"/>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09"/>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09"/>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09"/>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10"/>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08"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09"/>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09"/>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10"/>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08"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09"/>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10"/>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2" t="s">
        <v>1843</v>
      </c>
      <c r="E74" s="1822"/>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797" t="s">
        <v>1957</v>
      </c>
      <c r="B98" s="1170" t="s">
        <v>42</v>
      </c>
      <c r="C98" s="1799" t="s">
        <v>1966</v>
      </c>
      <c r="D98" s="1170">
        <v>0.77</v>
      </c>
      <c r="E98" s="1170">
        <v>18</v>
      </c>
    </row>
    <row r="99" spans="1:18" ht="23.25" thickBot="1">
      <c r="A99" s="1798"/>
      <c r="B99" s="1170" t="s">
        <v>1958</v>
      </c>
      <c r="C99" s="1800"/>
      <c r="D99" s="1170">
        <v>0.18</v>
      </c>
      <c r="E99" s="1170">
        <v>2.5</v>
      </c>
      <c r="K99" s="430">
        <f>0.77/0.0243</f>
        <v>31.68724279835391</v>
      </c>
    </row>
    <row r="100" spans="1:18" ht="15.75" thickBot="1">
      <c r="A100" s="1797" t="s">
        <v>1959</v>
      </c>
      <c r="B100" s="1170" t="s">
        <v>1960</v>
      </c>
      <c r="C100" s="1800"/>
      <c r="D100" s="1170">
        <v>0</v>
      </c>
      <c r="E100" s="1170">
        <v>1.2</v>
      </c>
    </row>
    <row r="101" spans="1:18" ht="15.75" thickBot="1">
      <c r="A101" s="1798"/>
      <c r="B101" s="1170" t="s">
        <v>1961</v>
      </c>
      <c r="C101" s="1801"/>
      <c r="D101" s="1170">
        <v>0</v>
      </c>
      <c r="E101" s="1170">
        <v>0.1</v>
      </c>
    </row>
    <row r="102" spans="1:18" ht="15.75" thickBot="1">
      <c r="A102" s="1797" t="s">
        <v>1957</v>
      </c>
      <c r="B102" s="1170" t="s">
        <v>1960</v>
      </c>
      <c r="C102" s="1799" t="s">
        <v>1967</v>
      </c>
      <c r="D102" s="1170">
        <v>7.6999999999999999E-2</v>
      </c>
      <c r="E102" s="1170" t="s">
        <v>1962</v>
      </c>
    </row>
    <row r="103" spans="1:18" ht="15.75" thickBot="1">
      <c r="A103" s="1798"/>
      <c r="B103" s="1170" t="s">
        <v>1961</v>
      </c>
      <c r="C103" s="1800"/>
      <c r="D103" s="1170">
        <v>1.7999999999999999E-2</v>
      </c>
      <c r="E103" s="1170" t="s">
        <v>1962</v>
      </c>
    </row>
    <row r="104" spans="1:18" ht="15.75" thickBot="1">
      <c r="A104" s="1797" t="s">
        <v>1959</v>
      </c>
      <c r="B104" s="1170" t="s">
        <v>1960</v>
      </c>
      <c r="C104" s="1800"/>
      <c r="D104" s="1170">
        <v>0</v>
      </c>
      <c r="E104" s="1170" t="s">
        <v>1962</v>
      </c>
    </row>
    <row r="105" spans="1:18" ht="15.75" thickBot="1">
      <c r="A105" s="1798"/>
      <c r="B105" s="1170" t="s">
        <v>1961</v>
      </c>
      <c r="C105" s="1801"/>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27" t="s">
        <v>1013</v>
      </c>
      <c r="E29" s="1827"/>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28">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28"/>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29">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0"/>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29">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0"/>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51" workbookViewId="0">
      <selection activeCell="M69" sqref="M69"/>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1" t="s">
        <v>240</v>
      </c>
      <c r="C1" s="1831"/>
      <c r="D1" s="1831"/>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14383</v>
      </c>
      <c r="F14" s="980">
        <f>G14</f>
        <v>84.76347793442072</v>
      </c>
      <c r="G14" s="546">
        <f>AA21</f>
        <v>84.76347793442072</v>
      </c>
      <c r="H14" s="1432">
        <f>G14+((I14-G14)/(I12-G12)*(H12-G12))</f>
        <v>71.258086760652432</v>
      </c>
      <c r="I14" s="1337">
        <f>AB21</f>
        <v>51</v>
      </c>
      <c r="J14" s="1536">
        <f>SUMIF($M$13:$M$22,$D$14,O$13:O$22)</f>
        <v>58</v>
      </c>
      <c r="K14" s="1536">
        <f t="shared" ref="K14:L14" si="6">SUMIF($M$13:$M$22,$D$14,P$13:P$22)</f>
        <v>76</v>
      </c>
      <c r="L14" s="1536">
        <f t="shared" si="6"/>
        <v>93</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905.54</v>
      </c>
      <c r="L19" s="541">
        <f t="shared" si="7"/>
        <v>1108.095</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149.72100908455624</v>
      </c>
      <c r="L20" s="541">
        <f>L19*'Liq Fuel Prices'!$V$7</f>
        <v>183.21123480083858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180.2744065043789</v>
      </c>
      <c r="L22" s="541">
        <f>L19*'Liq Fuel Prices'!$X$7+'Liq Fuel Prices'!$X$8</f>
        <v>220.98578009099538</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188.58838028983538</v>
      </c>
      <c r="L23" s="541">
        <f>L19*'Liq Fuel Prices'!$Y$7+'Liq Fuel Prices'!$Y$8</f>
        <v>227.90814765622645</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188.31867803691614</v>
      </c>
      <c r="L24" s="541">
        <f>L19*'Liq Fuel Prices'!$W$7+'Liq Fuel Prices'!$W$8</f>
        <v>229.26269445772533</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329.14553424015708</v>
      </c>
      <c r="L25" s="541">
        <f>L19*'Liq Fuel Prices'!$Z$7+'Liq Fuel Prices'!$Z$8</f>
        <v>363.16947049863222</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149.72100908455624</v>
      </c>
      <c r="L26" s="541">
        <f t="shared" si="9"/>
        <v>183.21123480083858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273.83173500753151</v>
      </c>
      <c r="L28" s="541">
        <f>L22*'Liq Fuel Prices'!$X$15+'Liq Fuel Prices'!$X$16</f>
        <v>325.00600865866585</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216.34057665923626</v>
      </c>
      <c r="L29" s="541">
        <f>L23*'Liq Fuel Prices'!$Y$15+'Liq Fuel Prices'!$Y$16</f>
        <v>258.37137585004956</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325.6992818500924</v>
      </c>
      <c r="L30" s="541">
        <f>L24*'Liq Fuel Prices'!$W$15+'Liq Fuel Prices'!$W$16</f>
        <v>381.24293761159532</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481.62853675627355</v>
      </c>
      <c r="L31" s="541">
        <f>L25*'Liq Fuel Prices'!$Z$15+'Liq Fuel Prices'!$Z$16</f>
        <v>526.21670092870897</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149.72100908455624</v>
      </c>
      <c r="L32" s="550">
        <f t="shared" si="12"/>
        <v>183.21123480083858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89.731667037001685</v>
      </c>
      <c r="L35" s="675">
        <f t="shared" si="17"/>
        <v>109.80322413738365</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102.83252011757041</v>
      </c>
      <c r="L39" s="675">
        <f t="shared" si="17"/>
        <v>124.82402982458743</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107.3500556625941</v>
      </c>
      <c r="L40" s="675">
        <f t="shared" si="17"/>
        <v>129.34156536961115</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2"/>
      <c r="AU54" s="1832"/>
      <c r="AV54" s="1832"/>
      <c r="AW54" s="1832"/>
      <c r="AX54" s="1832"/>
      <c r="AY54" s="1832"/>
      <c r="AZ54" s="1832"/>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3"/>
      <c r="AV55" s="1832"/>
      <c r="AW55" s="1832"/>
      <c r="AX55" s="1832"/>
      <c r="AY55" s="1832"/>
      <c r="AZ55" s="1832"/>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134.74890817610063</v>
      </c>
      <c r="K61" s="993">
        <f>SUMIF($E$20:$E$32,$D61,L$20:L$32)*0.9</f>
        <v>164.89011132075473</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89.731667037001685</v>
      </c>
      <c r="K63" s="993">
        <f t="shared" si="34"/>
        <v>109.80322413738365</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102.83252011757041</v>
      </c>
      <c r="K77" s="993">
        <f t="shared" si="41"/>
        <v>124.82402982458743</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107.3500556625941</v>
      </c>
      <c r="K78" s="993">
        <f t="shared" si="41"/>
        <v>129.34156536961115</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188.31867803691614</v>
      </c>
      <c r="K80" s="993">
        <f t="shared" si="44"/>
        <v>229.26269445772533</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149.72100908455624</v>
      </c>
      <c r="K81" s="993">
        <f t="shared" si="46"/>
        <v>183.21123480083858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180.2744065043789</v>
      </c>
      <c r="K82" s="993">
        <f t="shared" si="46"/>
        <v>220.98578009099538</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188.31867803691614</v>
      </c>
      <c r="K83" s="993">
        <f t="shared" si="46"/>
        <v>229.26269445772533</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149.72100908455624</v>
      </c>
      <c r="K84" s="993">
        <f t="shared" si="46"/>
        <v>183.21123480083858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329.14553424015708</v>
      </c>
      <c r="K85" s="993">
        <f t="shared" si="46"/>
        <v>363.16947049863222</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188.58838028983538</v>
      </c>
      <c r="K86" s="993">
        <f t="shared" si="46"/>
        <v>227.90814765622645</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189.28812682959784</v>
      </c>
      <c r="K87" s="993">
        <f t="shared" si="47"/>
        <v>232.03506909554517</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197.73461193876196</v>
      </c>
      <c r="K88" s="993">
        <f t="shared" si="47"/>
        <v>240.72582918061161</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1727</v>
      </c>
      <c r="Q96" s="992">
        <v>1727</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-178.90274413507032</v>
      </c>
      <c r="K98" s="993">
        <f t="shared" si="56"/>
        <v>-217.79955973483905</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-142.23495863032844</v>
      </c>
      <c r="K99" s="993">
        <f t="shared" si="58"/>
        <v>-174.05067306079664</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-171.26068617915996</v>
      </c>
      <c r="K100" s="993">
        <f t="shared" si="58"/>
        <v>-209.93649108644559</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-178.90274413507032</v>
      </c>
      <c r="K101" s="993">
        <f t="shared" si="58"/>
        <v>-217.79955973483905</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-142.23495863032844</v>
      </c>
      <c r="K102" s="993">
        <f t="shared" si="58"/>
        <v>-174.05067306079664</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-179.15896127534361</v>
      </c>
      <c r="K103" s="993">
        <f t="shared" si="58"/>
        <v>-216.51274027341512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disablePrompts="1"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workbookViewId="0"/>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109" workbookViewId="0">
      <selection activeCell="D118" sqref="D11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134.74890817610063</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164.89011132075473</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89.731667037001685</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109.80322413738365</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102.83252011757041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124.82402982458743</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107.3500556625941</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129.34156536961115</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188.31867803691614</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229.26269445772533</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149.72100908455624</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183.21123480083858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180.2744065043789</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220.98578009099538</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188.31867803691614</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229.26269445772533</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149.72100908455624</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183.21123480083858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329.14553424015708</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363.16947049863222</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188.58838028983538</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227.90814765622645</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189.28812682959784</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232.03506909554517</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197.73461193876196</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240.72582918061161</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-178.90274413507032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-217.79955973483905</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-142.23495863032844</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-174.05067306079664</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-171.26068617915996</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-209.93649108644559</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-178.90274413507032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-217.79955973483905</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-142.23495863032844</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-174.05067306079664</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-179.15896127534361</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-216.51274027341512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100.30081703424179</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111.48655242348008</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147.50070687519218</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163.26120709727462</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topLeftCell="A235"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E56" sqref="E56:F56"/>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topLeftCell="A40" workbookViewId="0">
      <selection activeCell="H64" sqref="H64:H67"/>
    </sheetView>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41" t="s">
        <v>410</v>
      </c>
      <c r="D2" s="1842"/>
      <c r="E2" s="1842"/>
      <c r="F2" s="1843" t="s">
        <v>411</v>
      </c>
      <c r="G2" s="1844"/>
      <c r="H2" s="1845"/>
      <c r="I2" s="1843" t="s">
        <v>412</v>
      </c>
      <c r="J2" s="1844"/>
      <c r="K2" s="1845"/>
      <c r="L2" s="1843" t="s">
        <v>413</v>
      </c>
      <c r="M2" s="1844"/>
      <c r="N2" s="1845"/>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6" t="s">
        <v>424</v>
      </c>
      <c r="B9" s="1847"/>
      <c r="C9" s="273"/>
      <c r="D9" s="493">
        <f>D5/$O$5</f>
        <v>0.24081111414274101</v>
      </c>
      <c r="E9" s="258"/>
      <c r="F9" s="273"/>
      <c r="G9" s="493">
        <f>G5/$O$5</f>
        <v>0.4641206601202213</v>
      </c>
      <c r="H9" s="272"/>
      <c r="I9" s="273"/>
      <c r="J9" s="493">
        <f>J5/$O$5</f>
        <v>0.29506822573703767</v>
      </c>
      <c r="K9" s="272"/>
      <c r="L9" s="273"/>
      <c r="M9" s="259"/>
      <c r="N9" s="267"/>
      <c r="O9" s="261">
        <v>788</v>
      </c>
      <c r="Q9" s="1835" t="s">
        <v>425</v>
      </c>
      <c r="S9" s="1839" t="s">
        <v>426</v>
      </c>
      <c r="V9" s="1837" t="s">
        <v>427</v>
      </c>
      <c r="W9" s="1837" t="s">
        <v>428</v>
      </c>
      <c r="X9" s="1837" t="s">
        <v>429</v>
      </c>
      <c r="Y9" s="1837" t="s">
        <v>430</v>
      </c>
      <c r="Z9" s="1837" t="s">
        <v>431</v>
      </c>
      <c r="AA9" s="1837" t="s">
        <v>576</v>
      </c>
      <c r="AB9" s="1837" t="s">
        <v>432</v>
      </c>
    </row>
    <row r="10" spans="1:30" ht="12" customHeight="1">
      <c r="A10" s="1848"/>
      <c r="B10" s="1849"/>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36"/>
      <c r="R10" s="277" t="s">
        <v>414</v>
      </c>
      <c r="S10" s="1840"/>
      <c r="U10" s="277" t="s">
        <v>414</v>
      </c>
      <c r="V10" s="1838"/>
      <c r="W10" s="1838"/>
      <c r="X10" s="1838"/>
      <c r="Y10" s="1838"/>
      <c r="Z10" s="1838"/>
      <c r="AA10" s="1838"/>
      <c r="AB10" s="1838"/>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34" t="s">
        <v>14057</v>
      </c>
      <c r="L62" s="1834"/>
      <c r="M62" s="1834"/>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topLeftCell="A37" workbookViewId="0">
      <selection activeCell="B42" sqref="B42"/>
    </sheetView>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4" t="s">
        <v>463</v>
      </c>
      <c r="D2" s="1855"/>
      <c r="E2" s="1856"/>
      <c r="F2" s="1857" t="s">
        <v>464</v>
      </c>
      <c r="G2" s="1858"/>
      <c r="H2" s="1845"/>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59" t="s">
        <v>425</v>
      </c>
      <c r="K13" s="351"/>
      <c r="L13" s="1860" t="s">
        <v>426</v>
      </c>
      <c r="M13" s="279"/>
      <c r="N13" s="351"/>
      <c r="O13" s="352" t="s">
        <v>474</v>
      </c>
      <c r="P13" s="353" t="s">
        <v>388</v>
      </c>
      <c r="Q13" s="352" t="s">
        <v>474</v>
      </c>
      <c r="R13" s="353" t="s">
        <v>388</v>
      </c>
      <c r="S13" s="352" t="s">
        <v>474</v>
      </c>
      <c r="T13" s="353" t="s">
        <v>388</v>
      </c>
    </row>
    <row r="14" spans="1:20" ht="14.25">
      <c r="A14" s="1850" t="s">
        <v>424</v>
      </c>
      <c r="B14" s="1851"/>
      <c r="C14" s="354"/>
      <c r="D14" s="275"/>
      <c r="E14" s="355"/>
      <c r="F14" s="356"/>
      <c r="G14" s="275"/>
      <c r="H14" s="347"/>
      <c r="I14" s="357"/>
      <c r="J14" s="1840"/>
      <c r="K14" s="358" t="s">
        <v>414</v>
      </c>
      <c r="L14" s="1861"/>
      <c r="M14" s="308"/>
      <c r="N14" s="358" t="s">
        <v>414</v>
      </c>
      <c r="O14" s="1852" t="s">
        <v>475</v>
      </c>
      <c r="P14" s="1853"/>
      <c r="Q14" s="1852" t="s">
        <v>476</v>
      </c>
      <c r="R14" s="1853"/>
      <c r="S14" s="1852" t="s">
        <v>477</v>
      </c>
      <c r="T14" s="1853"/>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topLeftCell="A7"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6" t="s">
        <v>386</v>
      </c>
      <c r="C2" s="1867"/>
      <c r="D2" s="1868" t="s">
        <v>387</v>
      </c>
      <c r="E2" s="1869"/>
      <c r="F2" s="1870" t="s">
        <v>388</v>
      </c>
      <c r="G2" s="1871"/>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2" t="s">
        <v>386</v>
      </c>
      <c r="C15" s="1873"/>
      <c r="D15" s="1874" t="s">
        <v>387</v>
      </c>
      <c r="E15" s="1875"/>
      <c r="F15" s="1876" t="s">
        <v>388</v>
      </c>
      <c r="G15" s="1877"/>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2" t="s">
        <v>400</v>
      </c>
      <c r="C28" s="1863"/>
      <c r="D28" s="1862" t="s">
        <v>401</v>
      </c>
      <c r="E28" s="1863"/>
      <c r="F28" s="1864" t="s">
        <v>387</v>
      </c>
      <c r="G28" s="1865"/>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2" t="s">
        <v>400</v>
      </c>
      <c r="C44" s="1863"/>
      <c r="D44" s="1862" t="s">
        <v>401</v>
      </c>
      <c r="E44" s="1863"/>
      <c r="F44" s="1864" t="s">
        <v>387</v>
      </c>
      <c r="G44" s="1865"/>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zoomScale="55" zoomScaleNormal="55" workbookViewId="0">
      <selection activeCell="H38" sqref="H38"/>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78" t="s">
        <v>14114</v>
      </c>
      <c r="C3" s="1879"/>
      <c r="D3" s="1879"/>
      <c r="E3" s="1879"/>
      <c r="F3" s="1879"/>
      <c r="G3" s="1879"/>
      <c r="H3" s="1879"/>
      <c r="I3" s="1879"/>
      <c r="J3" s="1879"/>
      <c r="K3" s="1879"/>
      <c r="L3" s="1879"/>
      <c r="M3" s="1879"/>
      <c r="N3" s="1880"/>
      <c r="O3" s="1881" t="s">
        <v>14115</v>
      </c>
      <c r="P3" s="1882"/>
      <c r="Q3" s="1882"/>
      <c r="R3" s="1882"/>
      <c r="S3" s="1882"/>
      <c r="T3" s="1882"/>
      <c r="U3" s="1882"/>
      <c r="V3" s="1882"/>
      <c r="W3" s="1882"/>
      <c r="X3" s="1882"/>
      <c r="Y3" s="1882"/>
      <c r="Z3" s="1882"/>
      <c r="AA3" s="1882"/>
      <c r="AB3" s="1882"/>
      <c r="AC3" s="1882"/>
      <c r="AD3" s="1882"/>
      <c r="AE3" s="1882"/>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90" t="s">
        <v>14217</v>
      </c>
      <c r="B1" s="1886"/>
      <c r="C1" s="1886"/>
      <c r="D1" s="1886"/>
      <c r="E1" s="1886"/>
      <c r="F1" s="1886"/>
      <c r="G1" s="1886"/>
      <c r="H1" s="1886"/>
      <c r="I1" s="1886"/>
      <c r="J1" s="1541" t="s">
        <v>14218</v>
      </c>
    </row>
    <row r="2" spans="1:22" ht="31.5" customHeight="1">
      <c r="A2" s="1891" t="s">
        <v>14219</v>
      </c>
      <c r="B2" s="1891"/>
      <c r="C2" s="1891"/>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2" t="s">
        <v>14221</v>
      </c>
      <c r="B3" s="1892"/>
      <c r="C3" s="1547"/>
      <c r="D3" s="1548"/>
      <c r="E3" s="1547"/>
      <c r="F3" s="1547"/>
      <c r="G3" s="1549"/>
      <c r="H3" s="1893" t="s">
        <v>14222</v>
      </c>
      <c r="Q3" s="503"/>
      <c r="R3" s="503"/>
      <c r="S3" s="503"/>
      <c r="T3" s="427"/>
      <c r="U3" s="427"/>
    </row>
    <row r="4" spans="1:22" ht="11.25" customHeight="1">
      <c r="A4" s="1896" t="s">
        <v>14223</v>
      </c>
      <c r="B4" s="1896"/>
      <c r="C4" s="1550">
        <v>1</v>
      </c>
      <c r="D4" s="1551">
        <v>18446</v>
      </c>
      <c r="E4" s="1552">
        <v>17836</v>
      </c>
      <c r="F4" s="1552">
        <v>18472</v>
      </c>
      <c r="G4" s="1553">
        <v>18806</v>
      </c>
      <c r="H4" s="1894"/>
      <c r="J4" s="1541">
        <f>D4/F4</f>
        <v>0.99859246427024684</v>
      </c>
      <c r="K4" s="1541">
        <f>E4/F4</f>
        <v>0.96556951061065399</v>
      </c>
      <c r="L4" s="1541">
        <f>F4/F4</f>
        <v>1</v>
      </c>
      <c r="Q4" s="503"/>
      <c r="S4" s="503"/>
      <c r="T4" s="427"/>
    </row>
    <row r="5" spans="1:22" ht="11.25" customHeight="1">
      <c r="A5" s="1883" t="s">
        <v>14110</v>
      </c>
      <c r="B5" s="1883"/>
      <c r="C5" s="1554"/>
      <c r="D5" s="1551">
        <v>6736</v>
      </c>
      <c r="E5" s="1552">
        <v>6720</v>
      </c>
      <c r="F5" s="1552">
        <v>6974</v>
      </c>
      <c r="G5" s="1553">
        <v>7019</v>
      </c>
      <c r="H5" s="1894"/>
    </row>
    <row r="6" spans="1:22" ht="11.25" customHeight="1">
      <c r="A6" s="1883" t="s">
        <v>14111</v>
      </c>
      <c r="B6" s="1883"/>
      <c r="C6" s="1554"/>
      <c r="D6" s="1551">
        <v>1467</v>
      </c>
      <c r="E6" s="1552">
        <v>1585</v>
      </c>
      <c r="F6" s="1552">
        <v>1561</v>
      </c>
      <c r="G6" s="1553">
        <v>1461</v>
      </c>
      <c r="H6" s="1894"/>
    </row>
    <row r="7" spans="1:22" ht="11.25" customHeight="1">
      <c r="A7" s="1883" t="s">
        <v>14224</v>
      </c>
      <c r="B7" s="1883"/>
      <c r="C7" s="1554"/>
      <c r="D7" s="1551">
        <v>3209</v>
      </c>
      <c r="E7" s="1552">
        <v>3192</v>
      </c>
      <c r="F7" s="1552">
        <v>2976</v>
      </c>
      <c r="G7" s="1553">
        <v>3331</v>
      </c>
      <c r="H7" s="1894"/>
    </row>
    <row r="8" spans="1:22" ht="11.25" customHeight="1">
      <c r="A8" s="1883" t="s">
        <v>14225</v>
      </c>
      <c r="B8" s="1883"/>
      <c r="C8" s="1554"/>
      <c r="D8" s="1551">
        <v>4271</v>
      </c>
      <c r="E8" s="1552">
        <v>3578</v>
      </c>
      <c r="F8" s="1552">
        <v>3964</v>
      </c>
      <c r="G8" s="1553">
        <v>4067</v>
      </c>
      <c r="H8" s="1894"/>
    </row>
    <row r="9" spans="1:22" ht="11.25" customHeight="1">
      <c r="A9" s="1883" t="s">
        <v>14226</v>
      </c>
      <c r="B9" s="1883"/>
      <c r="C9" s="1554"/>
      <c r="D9" s="1551">
        <v>1277</v>
      </c>
      <c r="E9" s="1552">
        <v>1341</v>
      </c>
      <c r="F9" s="1552">
        <v>1345</v>
      </c>
      <c r="G9" s="1553">
        <v>1309</v>
      </c>
      <c r="H9" s="1894"/>
    </row>
    <row r="10" spans="1:22" ht="11.25" customHeight="1">
      <c r="A10" s="1883" t="s">
        <v>14227</v>
      </c>
      <c r="B10" s="1883"/>
      <c r="C10" s="1554"/>
      <c r="D10" s="1555">
        <v>688</v>
      </c>
      <c r="E10" s="1556">
        <v>707</v>
      </c>
      <c r="F10" s="1556">
        <v>811</v>
      </c>
      <c r="G10" s="1557">
        <v>793</v>
      </c>
      <c r="H10" s="1894"/>
    </row>
    <row r="11" spans="1:22" ht="11.25" customHeight="1">
      <c r="A11" s="1883" t="s">
        <v>14228</v>
      </c>
      <c r="B11" s="1883"/>
      <c r="C11" s="1554"/>
      <c r="D11" s="1555">
        <v>53</v>
      </c>
      <c r="E11" s="1556">
        <v>54</v>
      </c>
      <c r="F11" s="1556">
        <v>64</v>
      </c>
      <c r="G11" s="1557">
        <v>62</v>
      </c>
      <c r="H11" s="1894"/>
    </row>
    <row r="12" spans="1:22" ht="12" customHeight="1">
      <c r="A12" s="1884" t="s">
        <v>14229</v>
      </c>
      <c r="B12" s="1884"/>
      <c r="C12" s="1884"/>
      <c r="D12" s="1558">
        <v>745</v>
      </c>
      <c r="E12" s="1559">
        <v>659</v>
      </c>
      <c r="F12" s="1559">
        <v>776</v>
      </c>
      <c r="G12" s="1560">
        <v>763</v>
      </c>
      <c r="H12" s="1895"/>
      <c r="V12" s="1561"/>
    </row>
    <row r="13" spans="1:22" ht="11.45" customHeight="1">
      <c r="A13" s="1897" t="s">
        <v>14230</v>
      </c>
      <c r="B13" s="1897"/>
      <c r="C13" s="1562">
        <v>2</v>
      </c>
      <c r="D13" s="1563"/>
      <c r="E13" s="1564"/>
      <c r="F13" s="1564"/>
      <c r="G13" s="1565"/>
      <c r="H13" s="1566"/>
      <c r="V13" s="1561"/>
    </row>
    <row r="14" spans="1:22" ht="11.25" customHeight="1">
      <c r="A14" s="1886" t="s">
        <v>14231</v>
      </c>
      <c r="B14" s="1886"/>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3" t="s">
        <v>14110</v>
      </c>
      <c r="B15" s="1883"/>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3" t="s">
        <v>14111</v>
      </c>
      <c r="B16" s="1883"/>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3" t="s">
        <v>14224</v>
      </c>
      <c r="B17" s="1883"/>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3" t="s">
        <v>14225</v>
      </c>
      <c r="B18" s="1883"/>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3" t="s">
        <v>14226</v>
      </c>
      <c r="B19" s="1883"/>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3" t="s">
        <v>14227</v>
      </c>
      <c r="B20" s="1883"/>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3" t="s">
        <v>14228</v>
      </c>
      <c r="B21" s="1883"/>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3" t="s">
        <v>14229</v>
      </c>
      <c r="B22" s="1883"/>
      <c r="C22" s="1883"/>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86" t="s">
        <v>14232</v>
      </c>
      <c r="B23" s="1886"/>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3" t="s">
        <v>14110</v>
      </c>
      <c r="B24" s="1883"/>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3" t="s">
        <v>14111</v>
      </c>
      <c r="B25" s="1883"/>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3" t="s">
        <v>14224</v>
      </c>
      <c r="B26" s="1883"/>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3" t="s">
        <v>14225</v>
      </c>
      <c r="B27" s="1883"/>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3" t="s">
        <v>14226</v>
      </c>
      <c r="B28" s="1883"/>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3" t="s">
        <v>14227</v>
      </c>
      <c r="B29" s="1883"/>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3" t="s">
        <v>14228</v>
      </c>
      <c r="B30" s="1883"/>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3" t="s">
        <v>14229</v>
      </c>
      <c r="B31" s="1883"/>
      <c r="C31" s="1883"/>
      <c r="D31" s="1551">
        <v>0</v>
      </c>
      <c r="E31" s="1552">
        <v>0</v>
      </c>
      <c r="F31" s="1552">
        <v>0</v>
      </c>
      <c r="G31" s="1553">
        <v>0</v>
      </c>
      <c r="H31" s="1568"/>
      <c r="J31" s="1541">
        <f t="shared" si="4"/>
        <v>0</v>
      </c>
      <c r="K31" s="1541">
        <f t="shared" si="5"/>
        <v>0</v>
      </c>
      <c r="L31" s="1541">
        <f t="shared" si="6"/>
        <v>0</v>
      </c>
      <c r="M31" s="1541">
        <f t="shared" si="7"/>
        <v>0</v>
      </c>
    </row>
    <row r="32" spans="1:13" ht="12" customHeight="1">
      <c r="A32" s="1886" t="s">
        <v>14233</v>
      </c>
      <c r="B32" s="1886"/>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3" t="s">
        <v>14110</v>
      </c>
      <c r="B33" s="1883"/>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3" t="s">
        <v>14111</v>
      </c>
      <c r="B34" s="1883"/>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3" t="s">
        <v>14224</v>
      </c>
      <c r="B35" s="1883"/>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3" t="s">
        <v>14225</v>
      </c>
      <c r="B36" s="1883"/>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3" t="s">
        <v>14226</v>
      </c>
      <c r="B37" s="1883"/>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3" t="s">
        <v>14227</v>
      </c>
      <c r="B38" s="1883"/>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3" t="s">
        <v>14228</v>
      </c>
      <c r="B39" s="1883"/>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3" t="s">
        <v>14229</v>
      </c>
      <c r="B40" s="1883"/>
      <c r="C40" s="1883"/>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86" t="s">
        <v>14234</v>
      </c>
      <c r="B41" s="1886"/>
      <c r="C41" s="1550">
        <v>3</v>
      </c>
      <c r="D41" s="1551">
        <v>7653</v>
      </c>
      <c r="E41" s="1552">
        <v>7756</v>
      </c>
      <c r="F41" s="1552">
        <v>7659</v>
      </c>
      <c r="G41" s="1553">
        <v>8046</v>
      </c>
      <c r="H41" s="1567" t="s">
        <v>14222</v>
      </c>
    </row>
    <row r="42" spans="1:16" ht="11.25" customHeight="1">
      <c r="A42" s="1883" t="s">
        <v>14110</v>
      </c>
      <c r="B42" s="1883"/>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3" t="s">
        <v>14111</v>
      </c>
      <c r="B43" s="1883"/>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3" t="s">
        <v>14224</v>
      </c>
      <c r="B44" s="1883"/>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3" t="s">
        <v>14225</v>
      </c>
      <c r="B45" s="1883"/>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3" t="s">
        <v>14226</v>
      </c>
      <c r="B46" s="1883"/>
      <c r="C46" s="1554"/>
      <c r="D46" s="1555">
        <v>108</v>
      </c>
      <c r="E46" s="1556">
        <v>125</v>
      </c>
      <c r="F46" s="1556">
        <v>170</v>
      </c>
      <c r="G46" s="1557">
        <v>162</v>
      </c>
      <c r="H46" s="1568"/>
    </row>
    <row r="47" spans="1:16" ht="11.25" customHeight="1">
      <c r="A47" s="1883" t="s">
        <v>14227</v>
      </c>
      <c r="B47" s="1883"/>
      <c r="C47" s="1554"/>
      <c r="D47" s="1555">
        <v>498</v>
      </c>
      <c r="E47" s="1556">
        <v>349</v>
      </c>
      <c r="F47" s="1556">
        <v>360</v>
      </c>
      <c r="G47" s="1557">
        <v>289</v>
      </c>
      <c r="H47" s="1568"/>
    </row>
    <row r="48" spans="1:16" ht="11.25" customHeight="1">
      <c r="A48" s="1883" t="s">
        <v>14228</v>
      </c>
      <c r="B48" s="1883"/>
      <c r="C48" s="1554"/>
      <c r="D48" s="1551">
        <v>0</v>
      </c>
      <c r="E48" s="1552">
        <v>0</v>
      </c>
      <c r="F48" s="1552">
        <v>0</v>
      </c>
      <c r="G48" s="1553">
        <v>0</v>
      </c>
      <c r="H48" s="1568"/>
    </row>
    <row r="49" spans="1:9" ht="11.85" customHeight="1">
      <c r="A49" s="1883" t="s">
        <v>14229</v>
      </c>
      <c r="B49" s="1883"/>
      <c r="C49" s="1883"/>
      <c r="D49" s="1555">
        <v>36</v>
      </c>
      <c r="E49" s="1556">
        <v>37</v>
      </c>
      <c r="F49" s="1556">
        <v>37</v>
      </c>
      <c r="G49" s="1557">
        <v>39</v>
      </c>
      <c r="H49" s="1568"/>
    </row>
    <row r="50" spans="1:9" ht="12" customHeight="1">
      <c r="A50" s="1886" t="s">
        <v>14235</v>
      </c>
      <c r="B50" s="1886"/>
      <c r="C50" s="1550">
        <v>4</v>
      </c>
      <c r="D50" s="1551">
        <v>0.05</v>
      </c>
      <c r="E50" s="1552">
        <v>0.59</v>
      </c>
      <c r="F50" s="1552">
        <v>0.78</v>
      </c>
      <c r="G50" s="1553">
        <v>0.52</v>
      </c>
      <c r="H50" s="1567" t="s">
        <v>14236</v>
      </c>
    </row>
    <row r="51" spans="1:9" ht="11.25" customHeight="1">
      <c r="A51" s="1883" t="s">
        <v>14110</v>
      </c>
      <c r="B51" s="1883"/>
      <c r="C51" s="1554"/>
      <c r="D51" s="1551">
        <v>0</v>
      </c>
      <c r="E51" s="1552">
        <v>0</v>
      </c>
      <c r="F51" s="1552">
        <v>0</v>
      </c>
      <c r="G51" s="1553">
        <v>0</v>
      </c>
      <c r="H51" s="1568"/>
    </row>
    <row r="52" spans="1:9" ht="11.25" customHeight="1">
      <c r="A52" s="1883" t="s">
        <v>14111</v>
      </c>
      <c r="B52" s="1883"/>
      <c r="C52" s="1554"/>
      <c r="D52" s="1551">
        <v>0</v>
      </c>
      <c r="E52" s="1552">
        <v>0</v>
      </c>
      <c r="F52" s="1552">
        <v>0</v>
      </c>
      <c r="G52" s="1553">
        <v>0</v>
      </c>
      <c r="H52" s="1568"/>
    </row>
    <row r="53" spans="1:9" ht="11.25" customHeight="1">
      <c r="A53" s="1883" t="s">
        <v>14224</v>
      </c>
      <c r="B53" s="1883"/>
      <c r="C53" s="1554"/>
      <c r="D53" s="1551">
        <v>0</v>
      </c>
      <c r="E53" s="1552">
        <v>0</v>
      </c>
      <c r="F53" s="1552">
        <v>0</v>
      </c>
      <c r="G53" s="1553">
        <v>0</v>
      </c>
      <c r="H53" s="1568"/>
    </row>
    <row r="54" spans="1:9" ht="11.25" customHeight="1">
      <c r="A54" s="1883" t="s">
        <v>14225</v>
      </c>
      <c r="B54" s="1883"/>
      <c r="C54" s="1554"/>
      <c r="D54" s="1551">
        <v>0</v>
      </c>
      <c r="E54" s="1552">
        <v>0</v>
      </c>
      <c r="F54" s="1552">
        <v>0</v>
      </c>
      <c r="G54" s="1553">
        <v>0</v>
      </c>
      <c r="H54" s="1568"/>
    </row>
    <row r="55" spans="1:9" ht="11.25" customHeight="1">
      <c r="A55" s="1883" t="s">
        <v>14226</v>
      </c>
      <c r="B55" s="1883"/>
      <c r="C55" s="1554"/>
      <c r="D55" s="1551">
        <v>0</v>
      </c>
      <c r="E55" s="1552">
        <v>0</v>
      </c>
      <c r="F55" s="1552">
        <v>0</v>
      </c>
      <c r="G55" s="1553">
        <v>0</v>
      </c>
      <c r="H55" s="1568"/>
    </row>
    <row r="56" spans="1:9" ht="11.25" customHeight="1">
      <c r="A56" s="1883" t="s">
        <v>14227</v>
      </c>
      <c r="B56" s="1883"/>
      <c r="C56" s="1554"/>
      <c r="D56" s="1551">
        <v>0</v>
      </c>
      <c r="E56" s="1552">
        <v>0</v>
      </c>
      <c r="F56" s="1552">
        <v>0</v>
      </c>
      <c r="G56" s="1553">
        <v>0</v>
      </c>
      <c r="H56" s="1568"/>
    </row>
    <row r="57" spans="1:9" ht="11.25" customHeight="1">
      <c r="A57" s="1883" t="s">
        <v>14228</v>
      </c>
      <c r="B57" s="1883"/>
      <c r="C57" s="1554"/>
      <c r="D57" s="1551">
        <v>0.05</v>
      </c>
      <c r="E57" s="1552">
        <v>0.59</v>
      </c>
      <c r="F57" s="1552">
        <v>0.78</v>
      </c>
      <c r="G57" s="1553">
        <v>0.52</v>
      </c>
      <c r="H57" s="1568"/>
    </row>
    <row r="58" spans="1:9" ht="13.5" customHeight="1">
      <c r="A58" s="1884" t="s">
        <v>14229</v>
      </c>
      <c r="B58" s="1884"/>
      <c r="C58" s="1884"/>
      <c r="D58" s="1571">
        <v>0</v>
      </c>
      <c r="E58" s="1572">
        <v>0</v>
      </c>
      <c r="F58" s="1572">
        <v>0</v>
      </c>
      <c r="G58" s="1573">
        <v>0</v>
      </c>
      <c r="H58" s="1574"/>
    </row>
    <row r="59" spans="1:9" ht="0.95" customHeight="1">
      <c r="A59" s="1886"/>
      <c r="B59" s="1886"/>
      <c r="C59" s="1886"/>
      <c r="D59" s="1886"/>
      <c r="E59" s="1886"/>
      <c r="F59" s="1886"/>
      <c r="G59" s="1886"/>
      <c r="H59" s="1886"/>
      <c r="I59" s="1886"/>
    </row>
    <row r="60" spans="1:9" ht="0.95" customHeight="1">
      <c r="A60" s="1886"/>
      <c r="B60" s="1886"/>
      <c r="C60" s="1886"/>
      <c r="D60" s="1886"/>
      <c r="E60" s="1886"/>
      <c r="F60" s="1886"/>
      <c r="G60" s="1886"/>
      <c r="H60" s="1886"/>
      <c r="I60" s="1886"/>
    </row>
    <row r="61" spans="1:9" ht="12.75" customHeight="1">
      <c r="A61" s="1889" t="s">
        <v>14237</v>
      </c>
      <c r="B61" s="1889"/>
      <c r="C61" s="1889"/>
      <c r="D61" s="1889"/>
      <c r="E61" s="1889"/>
      <c r="F61" s="1889"/>
      <c r="G61" s="1889"/>
      <c r="H61" s="1889"/>
      <c r="I61" s="1889"/>
    </row>
    <row r="62" spans="1:9" ht="39" customHeight="1">
      <c r="A62" s="1887" t="s">
        <v>14219</v>
      </c>
      <c r="B62" s="1887"/>
      <c r="C62" s="1887"/>
      <c r="D62" s="1575">
        <v>2019</v>
      </c>
      <c r="E62" s="1576">
        <v>2018</v>
      </c>
      <c r="F62" s="1576">
        <v>2017</v>
      </c>
      <c r="G62" s="1577">
        <v>2016</v>
      </c>
      <c r="H62" s="1578" t="s">
        <v>14238</v>
      </c>
    </row>
    <row r="63" spans="1:9" ht="12.75" customHeight="1">
      <c r="A63" s="1888" t="s">
        <v>14239</v>
      </c>
      <c r="B63" s="1888"/>
      <c r="C63" s="1888"/>
      <c r="D63" s="1579" t="s">
        <v>14240</v>
      </c>
      <c r="E63" s="1580" t="s">
        <v>14241</v>
      </c>
      <c r="F63" s="1580" t="s">
        <v>14242</v>
      </c>
      <c r="G63" s="1581" t="s">
        <v>14243</v>
      </c>
      <c r="H63" s="1582" t="s">
        <v>14222</v>
      </c>
    </row>
    <row r="64" spans="1:9" ht="11.25" customHeight="1">
      <c r="A64" s="1883" t="s">
        <v>14110</v>
      </c>
      <c r="B64" s="1883"/>
      <c r="C64" s="1883"/>
      <c r="D64" s="1551" t="s">
        <v>14244</v>
      </c>
      <c r="E64" s="1552" t="s">
        <v>14245</v>
      </c>
      <c r="F64" s="1552" t="s">
        <v>14246</v>
      </c>
      <c r="G64" s="1553" t="s">
        <v>14247</v>
      </c>
      <c r="H64" s="1568"/>
    </row>
    <row r="65" spans="1:8" ht="11.25" customHeight="1">
      <c r="A65" s="1883" t="s">
        <v>14111</v>
      </c>
      <c r="B65" s="1883"/>
      <c r="C65" s="1883"/>
      <c r="D65" s="1551" t="s">
        <v>14248</v>
      </c>
      <c r="E65" s="1552" t="s">
        <v>14249</v>
      </c>
      <c r="F65" s="1552" t="s">
        <v>14250</v>
      </c>
      <c r="G65" s="1553" t="s">
        <v>14251</v>
      </c>
      <c r="H65" s="1568"/>
    </row>
    <row r="66" spans="1:8" ht="11.25" customHeight="1">
      <c r="A66" s="1883" t="s">
        <v>14224</v>
      </c>
      <c r="B66" s="1883"/>
      <c r="C66" s="1883"/>
      <c r="D66" s="1555">
        <v>822</v>
      </c>
      <c r="E66" s="1556">
        <v>797</v>
      </c>
      <c r="F66" s="1556">
        <v>807</v>
      </c>
      <c r="G66" s="1557">
        <v>847</v>
      </c>
      <c r="H66" s="1568"/>
    </row>
    <row r="67" spans="1:8" ht="11.25" customHeight="1">
      <c r="A67" s="1883" t="s">
        <v>14225</v>
      </c>
      <c r="B67" s="1883"/>
      <c r="C67" s="1883"/>
      <c r="D67" s="1551" t="s">
        <v>14252</v>
      </c>
      <c r="E67" s="1552" t="s">
        <v>14253</v>
      </c>
      <c r="F67" s="1552" t="s">
        <v>14254</v>
      </c>
      <c r="G67" s="1553" t="s">
        <v>14255</v>
      </c>
      <c r="H67" s="1568"/>
    </row>
    <row r="68" spans="1:8" ht="11.25" customHeight="1">
      <c r="A68" s="1883" t="s">
        <v>14226</v>
      </c>
      <c r="B68" s="1883"/>
      <c r="C68" s="1883"/>
      <c r="D68" s="1555">
        <v>717</v>
      </c>
      <c r="E68" s="1556">
        <v>823</v>
      </c>
      <c r="F68" s="1556">
        <v>943</v>
      </c>
      <c r="G68" s="1557">
        <v>910</v>
      </c>
      <c r="H68" s="1568"/>
    </row>
    <row r="69" spans="1:8" ht="11.25" customHeight="1">
      <c r="A69" s="1883" t="s">
        <v>14227</v>
      </c>
      <c r="B69" s="1883"/>
      <c r="C69" s="1883"/>
      <c r="D69" s="1551" t="s">
        <v>14256</v>
      </c>
      <c r="E69" s="1552" t="s">
        <v>14257</v>
      </c>
      <c r="F69" s="1552" t="s">
        <v>14258</v>
      </c>
      <c r="G69" s="1553" t="s">
        <v>14259</v>
      </c>
      <c r="H69" s="1568"/>
    </row>
    <row r="70" spans="1:8" ht="11.25" customHeight="1">
      <c r="A70" s="1883" t="s">
        <v>14228</v>
      </c>
      <c r="B70" s="1883"/>
      <c r="C70" s="1883"/>
      <c r="D70" s="1555">
        <v>261</v>
      </c>
      <c r="E70" s="1556">
        <v>258</v>
      </c>
      <c r="F70" s="1556">
        <v>260</v>
      </c>
      <c r="G70" s="1557">
        <v>274</v>
      </c>
      <c r="H70" s="1568"/>
    </row>
    <row r="71" spans="1:8" ht="11.85" customHeight="1">
      <c r="A71" s="1883" t="s">
        <v>14229</v>
      </c>
      <c r="B71" s="1883"/>
      <c r="C71" s="1883"/>
      <c r="D71" s="1555">
        <v>83</v>
      </c>
      <c r="E71" s="1556">
        <v>88</v>
      </c>
      <c r="F71" s="1556">
        <v>89</v>
      </c>
      <c r="G71" s="1557">
        <v>198</v>
      </c>
      <c r="H71" s="1568"/>
    </row>
    <row r="72" spans="1:8" ht="12" customHeight="1">
      <c r="A72" s="1886" t="s">
        <v>14260</v>
      </c>
      <c r="B72" s="1886"/>
      <c r="C72" s="1886"/>
      <c r="D72" s="1551" t="s">
        <v>14261</v>
      </c>
      <c r="E72" s="1552" t="s">
        <v>14262</v>
      </c>
      <c r="F72" s="1552" t="s">
        <v>14263</v>
      </c>
      <c r="G72" s="1553" t="s">
        <v>14264</v>
      </c>
      <c r="H72" s="1583" t="s">
        <v>14222</v>
      </c>
    </row>
    <row r="73" spans="1:8" ht="11.25" customHeight="1">
      <c r="A73" s="1883" t="s">
        <v>14110</v>
      </c>
      <c r="B73" s="1883"/>
      <c r="C73" s="1883"/>
      <c r="D73" s="1551" t="s">
        <v>14265</v>
      </c>
      <c r="E73" s="1552" t="s">
        <v>14266</v>
      </c>
      <c r="F73" s="1552" t="s">
        <v>14267</v>
      </c>
      <c r="G73" s="1553" t="s">
        <v>14268</v>
      </c>
      <c r="H73" s="1568"/>
    </row>
    <row r="74" spans="1:8" ht="11.25" customHeight="1">
      <c r="A74" s="1883" t="s">
        <v>14111</v>
      </c>
      <c r="B74" s="1883"/>
      <c r="C74" s="1883"/>
      <c r="D74" s="1551" t="s">
        <v>14261</v>
      </c>
      <c r="E74" s="1552" t="s">
        <v>14269</v>
      </c>
      <c r="F74" s="1552" t="s">
        <v>14270</v>
      </c>
      <c r="G74" s="1553" t="s">
        <v>14271</v>
      </c>
      <c r="H74" s="1568"/>
    </row>
    <row r="75" spans="1:8" ht="11.25" customHeight="1">
      <c r="A75" s="1883" t="s">
        <v>14224</v>
      </c>
      <c r="B75" s="1883"/>
      <c r="C75" s="1883"/>
      <c r="D75" s="1551" t="s">
        <v>14272</v>
      </c>
      <c r="E75" s="1552" t="s">
        <v>14273</v>
      </c>
      <c r="F75" s="1552" t="s">
        <v>14274</v>
      </c>
      <c r="G75" s="1553" t="s">
        <v>14273</v>
      </c>
      <c r="H75" s="1568"/>
    </row>
    <row r="76" spans="1:8" ht="11.25" customHeight="1">
      <c r="A76" s="1883" t="s">
        <v>14225</v>
      </c>
      <c r="B76" s="1883"/>
      <c r="C76" s="1883"/>
      <c r="D76" s="1551" t="s">
        <v>14275</v>
      </c>
      <c r="E76" s="1552" t="s">
        <v>14275</v>
      </c>
      <c r="F76" s="1552" t="s">
        <v>14275</v>
      </c>
      <c r="G76" s="1553" t="s">
        <v>14275</v>
      </c>
      <c r="H76" s="1568"/>
    </row>
    <row r="77" spans="1:8" ht="11.25" customHeight="1">
      <c r="A77" s="1883" t="s">
        <v>14226</v>
      </c>
      <c r="B77" s="1883"/>
      <c r="C77" s="1883"/>
      <c r="D77" s="1551" t="s">
        <v>14276</v>
      </c>
      <c r="E77" s="1552" t="s">
        <v>14277</v>
      </c>
      <c r="F77" s="1552" t="s">
        <v>14278</v>
      </c>
      <c r="G77" s="1553" t="s">
        <v>14278</v>
      </c>
      <c r="H77" s="1568"/>
    </row>
    <row r="78" spans="1:8" ht="11.25" customHeight="1">
      <c r="A78" s="1883" t="s">
        <v>14227</v>
      </c>
      <c r="B78" s="1883"/>
      <c r="C78" s="1883"/>
      <c r="D78" s="1551" t="s">
        <v>14279</v>
      </c>
      <c r="E78" s="1552" t="s">
        <v>14280</v>
      </c>
      <c r="F78" s="1552" t="s">
        <v>14281</v>
      </c>
      <c r="G78" s="1553" t="s">
        <v>14282</v>
      </c>
      <c r="H78" s="1568"/>
    </row>
    <row r="79" spans="1:8" ht="11.25" customHeight="1">
      <c r="A79" s="1883" t="s">
        <v>14228</v>
      </c>
      <c r="B79" s="1883"/>
      <c r="C79" s="1883"/>
      <c r="D79" s="1551" t="s">
        <v>14283</v>
      </c>
      <c r="E79" s="1552" t="s">
        <v>14284</v>
      </c>
      <c r="F79" s="1552" t="s">
        <v>14285</v>
      </c>
      <c r="G79" s="1553" t="s">
        <v>14286</v>
      </c>
      <c r="H79" s="1568"/>
    </row>
    <row r="80" spans="1:8" ht="13.7" customHeight="1">
      <c r="A80" s="1884" t="s">
        <v>14229</v>
      </c>
      <c r="B80" s="1884"/>
      <c r="C80" s="1884"/>
      <c r="D80" s="1571" t="s">
        <v>14287</v>
      </c>
      <c r="E80" s="1572" t="s">
        <v>14288</v>
      </c>
      <c r="F80" s="1572" t="s">
        <v>14287</v>
      </c>
      <c r="G80" s="1573" t="s">
        <v>14272</v>
      </c>
      <c r="H80" s="1584"/>
    </row>
    <row r="81" spans="1:13" ht="113.25" customHeight="1">
      <c r="A81" s="1885" t="s">
        <v>14306</v>
      </c>
      <c r="B81" s="1886"/>
      <c r="C81" s="1886"/>
      <c r="D81" s="1886"/>
      <c r="E81" s="1886"/>
      <c r="F81" s="1886"/>
      <c r="G81" s="1886"/>
      <c r="H81" s="1886"/>
      <c r="I81" s="1886"/>
    </row>
    <row r="82" spans="1:13" ht="12.75" customHeight="1">
      <c r="A82" s="1886" t="s">
        <v>14289</v>
      </c>
      <c r="B82" s="1886"/>
      <c r="C82" s="1886"/>
      <c r="D82" s="1886"/>
      <c r="E82" s="1886"/>
      <c r="F82" s="1886"/>
      <c r="G82" s="1886"/>
      <c r="H82" s="1886"/>
      <c r="I82" s="1886"/>
    </row>
    <row r="83" spans="1:13">
      <c r="D83" s="1541" t="str">
        <f>D63</f>
        <v>66 558</v>
      </c>
      <c r="E83" s="1541" t="str">
        <f>E63</f>
        <v>67 412</v>
      </c>
      <c r="F83" s="1541" t="str">
        <f>F63</f>
        <v>67 632</v>
      </c>
      <c r="G83" s="1541" t="str">
        <f>G63</f>
        <v>69 250</v>
      </c>
    </row>
    <row r="85" spans="1:13">
      <c r="A85" s="1887" t="s">
        <v>14219</v>
      </c>
      <c r="B85" s="1887"/>
      <c r="C85" s="1887"/>
      <c r="D85" s="1575">
        <v>2019</v>
      </c>
      <c r="E85" s="1576">
        <v>2018</v>
      </c>
      <c r="F85" s="1576">
        <v>2017</v>
      </c>
      <c r="G85" s="1577">
        <v>2016</v>
      </c>
      <c r="J85" s="1541">
        <v>2019</v>
      </c>
      <c r="K85" s="1541">
        <v>2018</v>
      </c>
      <c r="L85" s="1541">
        <v>2017</v>
      </c>
      <c r="M85" s="1541">
        <v>2016</v>
      </c>
    </row>
    <row r="86" spans="1:13">
      <c r="A86" s="1888" t="s">
        <v>14239</v>
      </c>
      <c r="B86" s="1888"/>
      <c r="C86" s="1888"/>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3" t="s">
        <v>14110</v>
      </c>
      <c r="B87" s="1883"/>
      <c r="C87" s="1883"/>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3" t="s">
        <v>14111</v>
      </c>
      <c r="B88" s="1883"/>
      <c r="C88" s="1883"/>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3" t="s">
        <v>14224</v>
      </c>
      <c r="B89" s="1883"/>
      <c r="C89" s="1883"/>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3" t="s">
        <v>14225</v>
      </c>
      <c r="B90" s="1883"/>
      <c r="C90" s="1883"/>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3" t="s">
        <v>14226</v>
      </c>
      <c r="B91" s="1883"/>
      <c r="C91" s="1883"/>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3" t="s">
        <v>14227</v>
      </c>
      <c r="B92" s="1883"/>
      <c r="C92" s="1883"/>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3" t="s">
        <v>14228</v>
      </c>
      <c r="B93" s="1883"/>
      <c r="C93" s="1883"/>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3" t="s">
        <v>14229</v>
      </c>
      <c r="B94" s="1883"/>
      <c r="C94" s="1883"/>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topLeftCell="A238" workbookViewId="0">
      <selection activeCell="N244" sqref="N244"/>
    </sheetView>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zoomScale="85" zoomScaleNormal="85" workbookViewId="0">
      <selection activeCell="D6" sqref="D6"/>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357</v>
      </c>
      <c r="D5" s="1409" t="str">
        <f>ITEMS_XFEmiss!C13</f>
        <v>CO2SPIFC</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1409" t="s">
        <v>592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666">
        <f t="shared" si="2"/>
        <v>0.5118329249859862</v>
      </c>
      <c r="I13" s="666">
        <f t="shared" si="2"/>
        <v>0.5118329249859862</v>
      </c>
      <c r="J13" s="666">
        <f t="shared" si="2"/>
        <v>0.5118329249859862</v>
      </c>
      <c r="K13" s="666">
        <f t="shared" si="2"/>
        <v>0.5118329249859862</v>
      </c>
      <c r="L13" s="666">
        <f t="shared" si="2"/>
        <v>0.5118329249859862</v>
      </c>
      <c r="M13" s="666">
        <f t="shared" si="2"/>
        <v>0.5118329249859862</v>
      </c>
    </row>
    <row r="14" spans="1:18">
      <c r="A14" s="1409" t="s">
        <v>14604</v>
      </c>
      <c r="B14" s="1409" t="s">
        <v>14709</v>
      </c>
      <c r="C14" s="1409" t="s">
        <v>855</v>
      </c>
      <c r="D14" s="1409" t="str">
        <f>D9</f>
        <v>OKE</v>
      </c>
      <c r="E14" s="1409" t="s">
        <v>344</v>
      </c>
      <c r="G14" s="666">
        <f>I32</f>
        <v>0.48816707501401374</v>
      </c>
      <c r="H14" s="666">
        <f t="shared" si="2"/>
        <v>0.48816707501401374</v>
      </c>
      <c r="I14" s="666">
        <f t="shared" si="2"/>
        <v>0.48816707501401374</v>
      </c>
      <c r="J14" s="666">
        <f t="shared" si="2"/>
        <v>0.48816707501401374</v>
      </c>
      <c r="K14" s="666">
        <f t="shared" si="2"/>
        <v>0.48816707501401374</v>
      </c>
      <c r="L14" s="666">
        <f t="shared" si="2"/>
        <v>0.48816707501401374</v>
      </c>
      <c r="M14" s="666">
        <f t="shared" si="2"/>
        <v>0.48816707501401374</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3">$E$16*J15</f>
        <v>13.252271820658279</v>
      </c>
      <c r="K16" s="1691">
        <f t="shared" si="3"/>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4">H18</f>
        <v>0.91324200913242004</v>
      </c>
      <c r="J18" s="1397">
        <f t="shared" si="4"/>
        <v>0.91324200913242004</v>
      </c>
      <c r="K18" s="1397">
        <f t="shared" si="4"/>
        <v>0.91324200913242004</v>
      </c>
      <c r="L18" s="1397">
        <f t="shared" si="4"/>
        <v>0.91324200913242004</v>
      </c>
      <c r="M18" s="1397">
        <f t="shared" si="4"/>
        <v>0.91324200913242004</v>
      </c>
    </row>
    <row r="19" spans="1:13">
      <c r="A19" s="1409" t="s">
        <v>14604</v>
      </c>
      <c r="B19" s="1409" t="s">
        <v>14706</v>
      </c>
      <c r="C19" s="1409" t="s">
        <v>602</v>
      </c>
      <c r="D19" s="1409" t="s">
        <v>1194</v>
      </c>
      <c r="G19" s="1397">
        <v>0.5</v>
      </c>
      <c r="H19" s="1397">
        <f t="shared" ref="H19:M21" si="5">G19</f>
        <v>0.5</v>
      </c>
      <c r="I19" s="1397">
        <f t="shared" si="5"/>
        <v>0.5</v>
      </c>
      <c r="J19" s="1397">
        <f t="shared" si="5"/>
        <v>0.5</v>
      </c>
      <c r="K19" s="1397">
        <f t="shared" si="5"/>
        <v>0.5</v>
      </c>
      <c r="L19" s="1397">
        <f t="shared" si="5"/>
        <v>0.5</v>
      </c>
      <c r="M19" s="1397">
        <f t="shared" si="5"/>
        <v>0.5</v>
      </c>
    </row>
    <row r="20" spans="1:13">
      <c r="A20" s="1409" t="s">
        <v>14604</v>
      </c>
      <c r="B20" s="1409" t="s">
        <v>14708</v>
      </c>
      <c r="C20" s="1409" t="s">
        <v>861</v>
      </c>
      <c r="D20" s="1409" t="s">
        <v>334</v>
      </c>
      <c r="G20" s="1409">
        <v>25</v>
      </c>
      <c r="H20" s="1397">
        <f t="shared" si="5"/>
        <v>25</v>
      </c>
      <c r="I20" s="1397">
        <f t="shared" si="5"/>
        <v>25</v>
      </c>
      <c r="J20" s="1397">
        <f t="shared" si="5"/>
        <v>25</v>
      </c>
      <c r="K20" s="1397">
        <f t="shared" si="5"/>
        <v>25</v>
      </c>
      <c r="L20" s="1397">
        <f t="shared" si="5"/>
        <v>25</v>
      </c>
      <c r="M20" s="1397">
        <f t="shared" si="5"/>
        <v>25</v>
      </c>
    </row>
    <row r="21" spans="1:13">
      <c r="A21" s="1409" t="s">
        <v>14604</v>
      </c>
      <c r="B21" s="1409" t="s">
        <v>14589</v>
      </c>
      <c r="C21" s="1409" t="s">
        <v>1136</v>
      </c>
      <c r="D21" s="1409" t="s">
        <v>334</v>
      </c>
      <c r="G21" s="1409">
        <v>-6</v>
      </c>
      <c r="H21" s="1397">
        <f t="shared" si="5"/>
        <v>-6</v>
      </c>
      <c r="I21" s="1397">
        <f t="shared" si="5"/>
        <v>-6</v>
      </c>
      <c r="J21" s="1397">
        <f t="shared" si="5"/>
        <v>-6</v>
      </c>
      <c r="K21" s="1397">
        <f t="shared" si="5"/>
        <v>-6</v>
      </c>
      <c r="L21" s="1397">
        <f t="shared" si="5"/>
        <v>-6</v>
      </c>
      <c r="M21" s="1397">
        <f t="shared" si="5"/>
        <v>-6</v>
      </c>
    </row>
    <row r="22" spans="1:13">
      <c r="H22" s="1397"/>
      <c r="I22" s="1397"/>
      <c r="J22" s="1397"/>
      <c r="K22" s="1397"/>
      <c r="L22" s="1397"/>
      <c r="M22" s="1397"/>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6">AVERAGE(E119:E120)</f>
        <v>905.53599052502739</v>
      </c>
      <c r="F122" s="1742">
        <f t="shared" si="6"/>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7">Q142/O142*1000</f>
        <v>17.402930402930401</v>
      </c>
      <c r="T142" s="1707"/>
    </row>
    <row r="143" spans="3:22">
      <c r="C143"/>
      <c r="D143"/>
      <c r="E143"/>
      <c r="F143"/>
      <c r="G143"/>
      <c r="H143"/>
      <c r="M143" s="1704" t="s">
        <v>14685</v>
      </c>
      <c r="N143" s="1708">
        <v>507.6</v>
      </c>
      <c r="O143" s="1709">
        <v>1970</v>
      </c>
      <c r="P143" s="1710">
        <v>50.32</v>
      </c>
      <c r="Q143" s="1711">
        <v>46.33</v>
      </c>
      <c r="R143" s="1710">
        <f t="shared" si="7"/>
        <v>23.517766497461928</v>
      </c>
      <c r="T143" s="1707"/>
    </row>
    <row r="144" spans="3:22">
      <c r="C144"/>
      <c r="D144"/>
      <c r="E144"/>
      <c r="F144"/>
      <c r="G144"/>
      <c r="H144"/>
      <c r="M144" s="1704" t="s">
        <v>14686</v>
      </c>
      <c r="N144" s="1708">
        <v>572.70000000000005</v>
      </c>
      <c r="O144" s="1709">
        <v>1746</v>
      </c>
      <c r="P144" s="1710">
        <v>49.51</v>
      </c>
      <c r="Q144" s="1711">
        <v>45.72</v>
      </c>
      <c r="R144" s="1710">
        <f t="shared" si="7"/>
        <v>26.185567010309278</v>
      </c>
    </row>
    <row r="145" spans="3:20">
      <c r="C145"/>
      <c r="D145"/>
      <c r="E145"/>
      <c r="F145"/>
      <c r="G145"/>
      <c r="H145"/>
      <c r="M145" s="1704" t="s">
        <v>14687</v>
      </c>
      <c r="N145" s="1708">
        <v>522.20000000000005</v>
      </c>
      <c r="O145" s="1709">
        <v>1915</v>
      </c>
      <c r="P145" s="1710">
        <v>50.08</v>
      </c>
      <c r="Q145" s="1711">
        <v>46.15</v>
      </c>
      <c r="R145" s="1710">
        <f t="shared" si="7"/>
        <v>24.099216710182766</v>
      </c>
    </row>
    <row r="146" spans="3:20">
      <c r="C146"/>
      <c r="D146"/>
      <c r="E146"/>
      <c r="F146"/>
      <c r="G146"/>
      <c r="H146"/>
      <c r="M146" s="1704" t="s">
        <v>14688</v>
      </c>
      <c r="N146" s="1708">
        <v>690.6</v>
      </c>
      <c r="O146" s="1709">
        <v>1448</v>
      </c>
      <c r="P146" s="1710">
        <v>47.73</v>
      </c>
      <c r="Q146" s="1711">
        <v>45.34</v>
      </c>
      <c r="R146" s="1710">
        <f t="shared" si="7"/>
        <v>31.312154696132598</v>
      </c>
    </row>
    <row r="147" spans="3:20" ht="30">
      <c r="C147"/>
      <c r="D147"/>
      <c r="E147"/>
      <c r="F147"/>
      <c r="G147"/>
      <c r="H147"/>
      <c r="M147" s="1704" t="s">
        <v>14689</v>
      </c>
      <c r="N147" s="1708">
        <v>716.8</v>
      </c>
      <c r="O147" s="1709">
        <v>1395</v>
      </c>
      <c r="P147" s="1710">
        <v>47.4</v>
      </c>
      <c r="Q147" s="1711">
        <v>45.03</v>
      </c>
      <c r="R147" s="1710">
        <f t="shared" si="7"/>
        <v>32.27956989247312</v>
      </c>
    </row>
    <row r="148" spans="3:20" ht="45">
      <c r="C148"/>
      <c r="D148"/>
      <c r="E148"/>
      <c r="F148"/>
      <c r="G148"/>
      <c r="H148"/>
      <c r="M148" s="1704" t="s">
        <v>14690</v>
      </c>
      <c r="N148" s="1708">
        <v>802.6</v>
      </c>
      <c r="O148" s="1709">
        <v>1246</v>
      </c>
      <c r="P148" s="1710">
        <v>46.23</v>
      </c>
      <c r="Q148" s="1711">
        <v>43.92</v>
      </c>
      <c r="R148" s="1710">
        <f t="shared" ref="R148:R153" si="8">Q148/O148*1000</f>
        <v>35.24879614767255</v>
      </c>
    </row>
    <row r="149" spans="3:20" ht="45">
      <c r="C149"/>
      <c r="D149"/>
      <c r="E149"/>
      <c r="F149"/>
      <c r="G149"/>
      <c r="H149"/>
      <c r="M149" s="1704" t="s">
        <v>14691</v>
      </c>
      <c r="N149" s="1708">
        <v>740.7</v>
      </c>
      <c r="O149" s="1709">
        <v>1350</v>
      </c>
      <c r="P149" s="1710">
        <v>47.1</v>
      </c>
      <c r="Q149" s="1711">
        <v>44.75</v>
      </c>
      <c r="R149" s="1710">
        <f t="shared" si="8"/>
        <v>33.148148148148152</v>
      </c>
    </row>
    <row r="150" spans="3:20" ht="30">
      <c r="C150"/>
      <c r="D150"/>
      <c r="E150"/>
      <c r="F150"/>
      <c r="G150"/>
      <c r="H150"/>
      <c r="M150" s="1704" t="s">
        <v>14692</v>
      </c>
      <c r="N150" s="1708">
        <v>802.6</v>
      </c>
      <c r="O150" s="1709">
        <v>1246</v>
      </c>
      <c r="P150" s="1710">
        <v>46.23</v>
      </c>
      <c r="Q150" s="1711">
        <v>43.92</v>
      </c>
      <c r="R150" s="1710">
        <f t="shared" si="8"/>
        <v>35.24879614767255</v>
      </c>
    </row>
    <row r="151" spans="3:20" ht="30">
      <c r="C151"/>
      <c r="D151"/>
      <c r="E151"/>
      <c r="F151"/>
      <c r="G151"/>
      <c r="H151"/>
      <c r="M151" s="1704" t="s">
        <v>14693</v>
      </c>
      <c r="N151" s="1708">
        <v>843.9</v>
      </c>
      <c r="O151" s="1709">
        <v>1185</v>
      </c>
      <c r="P151" s="1710">
        <v>45.66</v>
      </c>
      <c r="Q151" s="1711">
        <v>43.38</v>
      </c>
      <c r="R151" s="1710">
        <f t="shared" si="8"/>
        <v>36.607594936708864</v>
      </c>
    </row>
    <row r="152" spans="3:20" ht="45">
      <c r="C152"/>
      <c r="D152"/>
      <c r="E152"/>
      <c r="F152"/>
      <c r="G152"/>
      <c r="H152"/>
      <c r="M152" s="1704" t="s">
        <v>14694</v>
      </c>
      <c r="N152" s="1708">
        <v>925.1</v>
      </c>
      <c r="O152" s="1709">
        <v>1081</v>
      </c>
      <c r="P152" s="1710">
        <v>44.4</v>
      </c>
      <c r="Q152" s="1711">
        <v>42.18</v>
      </c>
      <c r="R152" s="1710">
        <f t="shared" si="8"/>
        <v>39.01942645698427</v>
      </c>
    </row>
    <row r="153" spans="3:20" ht="45">
      <c r="C153"/>
      <c r="D153"/>
      <c r="E153"/>
      <c r="F153"/>
      <c r="G153"/>
      <c r="H153"/>
      <c r="M153" s="1704" t="s">
        <v>14695</v>
      </c>
      <c r="N153" s="1708">
        <v>963.4</v>
      </c>
      <c r="O153" s="1709">
        <v>1038</v>
      </c>
      <c r="P153" s="1710">
        <v>43.76</v>
      </c>
      <c r="Q153" s="1711">
        <v>41.57</v>
      </c>
      <c r="R153" s="1710">
        <f t="shared" si="8"/>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4"/>
  <sheetViews>
    <sheetView workbookViewId="0">
      <selection activeCell="D28" sqref="D2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5"/>
  <sheetViews>
    <sheetView workbookViewId="0">
      <selection activeCell="J4" sqref="J4"/>
    </sheetView>
  </sheetViews>
  <sheetFormatPr defaultRowHeight="15"/>
  <cols>
    <col min="1" max="1" width="8.28515625" style="1409" bestFit="1" customWidth="1"/>
    <col min="2" max="2" width="11.5703125" style="1409" bestFit="1" customWidth="1"/>
    <col min="3" max="3" width="14.140625" style="1409" bestFit="1" customWidth="1"/>
    <col min="4" max="4" width="8.8554687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9.28515625" style="1409" bestFit="1" customWidth="1"/>
    <col min="19"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357</v>
      </c>
      <c r="C4" s="1409" t="s">
        <v>14604</v>
      </c>
      <c r="D4" s="1409" t="str">
        <f>ITEMS_XFEmiss!C13</f>
        <v>CO2SPIFC</v>
      </c>
      <c r="E4" s="1409" t="s">
        <v>14603</v>
      </c>
      <c r="F4" s="1409" t="s">
        <v>334</v>
      </c>
      <c r="G4" s="1409" t="s">
        <v>337</v>
      </c>
      <c r="H4" s="1409" t="s">
        <v>334</v>
      </c>
      <c r="I4" s="1409">
        <v>0</v>
      </c>
      <c r="J4" s="1401" t="str" cm="1">
        <f t="array" ref="J4">_xlfn.IFNA(INDEX('Aviation Synfuel Data'!$G$4:$M$22,MATCH('Aviation Synfuel-TSData'!$B4&amp;'Aviation Synfuel-TSData'!$C4&amp;$D4,'Aviation Synfuel Data'!$C$4:$C$22&amp;'Aviation Synfuel Data'!$A$4:$A$22&amp;'Aviation Synfuel Data'!$D$4:$D$22,0),MATCH(J$2,'Aviation Synfuel Data'!$G$3:$M$3,0)),"null")</f>
        <v>null</v>
      </c>
      <c r="K4" s="1401" t="str" cm="1">
        <f t="array" ref="K4">_xlfn.IFNA(INDEX('Aviation Synfuel Data'!$G$4:$M$22,MATCH('Aviation Synfuel-TSData'!$B4&amp;'Aviation Synfuel-TSData'!$C4&amp;$D4,'Aviation Synfuel Data'!$C$4:$C$22&amp;'Aviation Synfuel Data'!$A$4:$A$22&amp;'Aviation Synfuel Data'!$D$4:$D$22,0),MATCH(K$2,'Aviation Synfuel Data'!$G$3:$M$3,0)),"null")</f>
        <v>null</v>
      </c>
      <c r="L4" s="1401" t="str" cm="1">
        <f t="array" ref="L4">_xlfn.IFNA(INDEX('Aviation Synfuel Data'!$G$4:$M$22,MATCH('Aviation Synfuel-TSData'!$B4&amp;'Aviation Synfuel-TSData'!$C4&amp;$D4,'Aviation Synfuel Data'!$C$4:$C$22&amp;'Aviation Synfuel Data'!$A$4:$A$22&amp;'Aviation Synfuel Data'!$D$4:$D$22,0),MATCH(L$2,'Aviation Synfuel Data'!$G$3:$M$3,0)),"null")</f>
        <v>null</v>
      </c>
      <c r="M4" s="1401" t="str" cm="1">
        <f t="array" ref="M4">_xlfn.IFNA(INDEX('Aviation Synfuel Data'!$G$4:$M$22,MATCH('Aviation Synfuel-TSData'!$B4&amp;'Aviation Synfuel-TSData'!$C4&amp;$D4,'Aviation Synfuel Data'!$C$4:$C$22&amp;'Aviation Synfuel Data'!$A$4:$A$22&amp;'Aviation Synfuel Data'!$D$4:$D$22,0),MATCH(M$2,'Aviation Synfuel Data'!$G$3:$M$3,0)),"null")</f>
        <v>null</v>
      </c>
      <c r="N4" s="1401" t="str" cm="1">
        <f t="array" ref="N4">_xlfn.IFNA(INDEX('Aviation Synfuel Data'!$G$4:$M$22,MATCH('Aviation Synfuel-TSData'!$B4&amp;'Aviation Synfuel-TSData'!$C4&amp;$D4,'Aviation Synfuel Data'!$C$4:$C$22&amp;'Aviation Synfuel Data'!$A$4:$A$22&amp;'Aviation Synfuel Data'!$D$4:$D$22,0),MATCH(N$2,'Aviation Synfuel Data'!$G$3:$M$3,0)),"null")</f>
        <v>null</v>
      </c>
      <c r="O4" s="1401" t="str" cm="1">
        <f t="array" ref="O4">_xlfn.IFNA(INDEX('Aviation Synfuel Data'!$G$4:$M$22,MATCH('Aviation Synfuel-TSData'!$B4&amp;'Aviation Synfuel-TSData'!$C4&amp;$D4,'Aviation Synfuel Data'!$C$4:$C$22&amp;'Aviation Synfuel Data'!$A$4:$A$22&amp;'Aviation Synfuel Data'!$D$4:$D$22,0),MATCH(O$2,'Aviation Synfuel Data'!$G$3:$M$3,0)),"null")</f>
        <v>null</v>
      </c>
      <c r="P4" s="1401" t="str" cm="1">
        <f t="array" ref="P4">_xlfn.IFNA(INDEX('Aviation Synfuel Data'!$G$4:$M$22,MATCH('Aviation Synfuel-TSData'!$B4&amp;'Aviation Synfuel-TSData'!$C4&amp;$D4,'Aviation Synfuel Data'!$C$4:$C$22&amp;'Aviation Synfuel Data'!$A$4:$A$22&amp;'Aviation Synfuel Data'!$D$4:$D$22,0),MATCH(P$2,'Aviation Synfuel Data'!$G$3:$M$3,0)),"null")</f>
        <v>null</v>
      </c>
      <c r="Q4" s="1401" t="str" cm="1">
        <f t="array" ref="Q4">_xlfn.IFNA(INDEX('Aviation Synfuel Data'!$G$4:$M$22,MATCH('Aviation Synfuel-TSData'!$B4&amp;'Aviation Synfuel-TSData'!$C4&amp;$D4,'Aviation Synfuel Data'!$C$4:$C$22&amp;'Aviation Synfuel Data'!$A$4:$A$22&amp;'Aviation Synfuel Data'!$D$4:$D$22,0),MATCH(Q$2,'Aviation Synfuel Data'!$G$3:$M$3,0)),"null")</f>
        <v>null</v>
      </c>
      <c r="R4" s="1401" cm="1">
        <f t="array" ref="R4">_xlfn.IFNA(INDEX('Aviation Synfuel Data'!$G$4:$M$22,MATCH('Aviation Synfuel-TSData'!$B4&amp;'Aviation Synfuel-TSData'!$C4&amp;$D4,'Aviation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Synfuel-TSData'!$C4&amp;$D4,'Aviation Synfuel Data'!$C$4:$C$22&amp;'Aviation Synfuel Data'!$A$4:$A$22&amp;'Aviation Synfuel Data'!$D$4:$D$22,0),MATCH(S$2,'Aviation Synfuel Data'!$G$3:$M$3,0)),"null")</f>
        <v>null</v>
      </c>
      <c r="T4" s="1401" t="str" cm="1">
        <f t="array" ref="T4">_xlfn.IFNA(INDEX('Aviation Synfuel Data'!$G$4:$M$22,MATCH('Aviation Synfuel-TSData'!$B4&amp;'Aviation Synfuel-TSData'!$C4&amp;$D4,'Aviation Synfuel Data'!$C$4:$C$22&amp;'Aviation Synfuel Data'!$A$4:$A$22&amp;'Aviation Synfuel Data'!$D$4:$D$22,0),MATCH(T$2,'Aviation Synfuel Data'!$G$3:$M$3,0)),"null")</f>
        <v>null</v>
      </c>
      <c r="U4" s="1401" t="str" cm="1">
        <f t="array" ref="U4">_xlfn.IFNA(INDEX('Aviation Synfuel Data'!$G$4:$M$22,MATCH('Aviation Synfuel-TSData'!$B4&amp;'Aviation Synfuel-TSData'!$C4&amp;$D4,'Aviation Synfuel Data'!$C$4:$C$22&amp;'Aviation Synfuel Data'!$A$4:$A$22&amp;'Aviation Synfuel Data'!$D$4:$D$22,0),MATCH(U$2,'Aviation Synfuel Data'!$G$3:$M$3,0)),"null")</f>
        <v>null</v>
      </c>
      <c r="V4" s="1401" t="str" cm="1">
        <f t="array" ref="V4">_xlfn.IFNA(INDEX('Aviation Synfuel Data'!$G$4:$M$22,MATCH('Aviation Synfuel-TSData'!$B4&amp;'Aviation Synfuel-TSData'!$C4&amp;$D4,'Aviation Synfuel Data'!$C$4:$C$22&amp;'Aviation Synfuel Data'!$A$4:$A$22&amp;'Aviation Synfuel Data'!$D$4:$D$22,0),MATCH(V$2,'Aviation Synfuel Data'!$G$3:$M$3,0)),"null")</f>
        <v>null</v>
      </c>
      <c r="W4" s="1401" t="str" cm="1">
        <f t="array" ref="W4">_xlfn.IFNA(INDEX('Aviation Synfuel Data'!$G$4:$M$22,MATCH('Aviation Synfuel-TSData'!$B4&amp;'Aviation Synfuel-TSData'!$C4&amp;$D4,'Aviation Synfuel Data'!$C$4:$C$22&amp;'Aviation Synfuel Data'!$A$4:$A$22&amp;'Aviation Synfuel Data'!$D$4:$D$22,0),MATCH(W$2,'Aviation Synfuel Data'!$G$3:$M$3,0)),"null")</f>
        <v>null</v>
      </c>
      <c r="X4" s="1401" t="str" cm="1">
        <f t="array" ref="X4">_xlfn.IFNA(INDEX('Aviation Synfuel Data'!$G$4:$M$22,MATCH('Aviation Synfuel-TSData'!$B4&amp;'Aviation Synfuel-TSData'!$C4&amp;$D4,'Aviation Synfuel Data'!$C$4:$C$22&amp;'Aviation Synfuel Data'!$A$4:$A$22&amp;'Aviation Synfuel Data'!$D$4:$D$22,0),MATCH(X$2,'Aviation Synfuel Data'!$G$3:$M$3,0)),"null")</f>
        <v>null</v>
      </c>
      <c r="Y4" s="1401" t="str" cm="1">
        <f t="array" ref="Y4">_xlfn.IFNA(INDEX('Aviation Synfuel Data'!$G$4:$M$22,MATCH('Aviation Synfuel-TSData'!$B4&amp;'Aviation Synfuel-TSData'!$C4&amp;$D4,'Aviation Synfuel Data'!$C$4:$C$22&amp;'Aviation Synfuel Data'!$A$4:$A$22&amp;'Aviation Synfuel Data'!$D$4:$D$22,0),MATCH(Y$2,'Aviation Synfuel Data'!$G$3:$M$3,0)),"null")</f>
        <v>null</v>
      </c>
      <c r="Z4" s="1401" t="str" cm="1">
        <f t="array" ref="Z4">_xlfn.IFNA(INDEX('Aviation Synfuel Data'!$G$4:$M$22,MATCH('Aviation Synfuel-TSData'!$B4&amp;'Aviation Synfuel-TSData'!$C4&amp;$D4,'Aviation Synfuel Data'!$C$4:$C$22&amp;'Aviation Synfuel Data'!$A$4:$A$22&amp;'Aviation Synfuel Data'!$D$4:$D$22,0),MATCH(Z$2,'Aviation Synfuel Data'!$G$3:$M$3,0)),"null")</f>
        <v>null</v>
      </c>
      <c r="AA4" s="1401" t="str" cm="1">
        <f t="array" ref="AA4">_xlfn.IFNA(INDEX('Aviation Synfuel Data'!$G$4:$M$22,MATCH('Aviation Synfuel-TSData'!$B4&amp;'Aviation Synfuel-TSData'!$C4&amp;$D4,'Aviation Synfuel Data'!$C$4:$C$22&amp;'Aviation Synfuel Data'!$A$4:$A$22&amp;'Aviation Synfuel Data'!$D$4:$D$22,0),MATCH(AA$2,'Aviation Synfuel Data'!$G$3:$M$3,0)),"null")</f>
        <v>null</v>
      </c>
      <c r="AB4" s="1401" cm="1">
        <f t="array" ref="AB4">_xlfn.IFNA(INDEX('Aviation Synfuel Data'!$G$4:$M$22,MATCH('Aviation Synfuel-TSData'!$B4&amp;'Aviation Synfuel-TSData'!$C4&amp;$D4,'Aviation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Synfuel-TSData'!$C4&amp;$D4,'Aviation Synfuel Data'!$C$4:$C$22&amp;'Aviation Synfuel Data'!$A$4:$A$22&amp;'Aviation Synfuel Data'!$D$4:$D$22,0),MATCH(AC$2,'Aviation Synfuel Data'!$G$3:$M$3,0)),"null")</f>
        <v>null</v>
      </c>
      <c r="AD4" s="1401" t="str" cm="1">
        <f t="array" ref="AD4">_xlfn.IFNA(INDEX('Aviation Synfuel Data'!$G$4:$M$22,MATCH('Aviation Synfuel-TSData'!$B4&amp;'Aviation Synfuel-TSData'!$C4&amp;$D4,'Aviation Synfuel Data'!$C$4:$C$22&amp;'Aviation Synfuel Data'!$A$4:$A$22&amp;'Aviation Synfuel Data'!$D$4:$D$22,0),MATCH(AD$2,'Aviation Synfuel Data'!$G$3:$M$3,0)),"null")</f>
        <v>null</v>
      </c>
      <c r="AE4" s="1401" t="str" cm="1">
        <f t="array" ref="AE4">_xlfn.IFNA(INDEX('Aviation Synfuel Data'!$G$4:$M$22,MATCH('Aviation Synfuel-TSData'!$B4&amp;'Aviation Synfuel-TSData'!$C4&amp;$D4,'Aviation Synfuel Data'!$C$4:$C$22&amp;'Aviation Synfuel Data'!$A$4:$A$22&amp;'Aviation Synfuel Data'!$D$4:$D$22,0),MATCH(AE$2,'Aviation Synfuel Data'!$G$3:$M$3,0)),"null")</f>
        <v>null</v>
      </c>
      <c r="AF4" s="1401" t="str" cm="1">
        <f t="array" ref="AF4">_xlfn.IFNA(INDEX('Aviation Synfuel Data'!$G$4:$M$22,MATCH('Aviation Synfuel-TSData'!$B4&amp;'Aviation Synfuel-TSData'!$C4&amp;$D4,'Aviation Synfuel Data'!$C$4:$C$22&amp;'Aviation Synfuel Data'!$A$4:$A$22&amp;'Aviation Synfuel Data'!$D$4:$D$22,0),MATCH(AF$2,'Aviation Synfuel Data'!$G$3:$M$3,0)),"null")</f>
        <v>null</v>
      </c>
      <c r="AG4" s="1401" cm="1">
        <f t="array" ref="AG4">_xlfn.IFNA(INDEX('Aviation Synfuel Data'!$G$4:$M$22,MATCH('Aviation Synfuel-TSData'!$B4&amp;'Aviation Synfuel-TSData'!$C4&amp;$D4,'Aviation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Synfuel-TSData'!$C4&amp;$D4,'Aviation Synfuel Data'!$C$4:$C$22&amp;'Aviation Synfuel Data'!$A$4:$A$22&amp;'Aviation Synfuel Data'!$D$4:$D$22,0),MATCH(AH$2,'Aviation Synfuel Data'!$G$3:$M$3,0)),"null")</f>
        <v>null</v>
      </c>
      <c r="AI4" s="1401" t="str" cm="1">
        <f t="array" ref="AI4">_xlfn.IFNA(INDEX('Aviation Synfuel Data'!$G$4:$M$22,MATCH('Aviation Synfuel-TSData'!$B4&amp;'Aviation Synfuel-TSData'!$C4&amp;$D4,'Aviation Synfuel Data'!$C$4:$C$22&amp;'Aviation Synfuel Data'!$A$4:$A$22&amp;'Aviation Synfuel Data'!$D$4:$D$22,0),MATCH(AI$2,'Aviation Synfuel Data'!$G$3:$M$3,0)),"null")</f>
        <v>null</v>
      </c>
      <c r="AJ4" s="1401" t="str" cm="1">
        <f t="array" ref="AJ4">_xlfn.IFNA(INDEX('Aviation Synfuel Data'!$G$4:$M$22,MATCH('Aviation Synfuel-TSData'!$B4&amp;'Aviation Synfuel-TSData'!$C4&amp;$D4,'Aviation Synfuel Data'!$C$4:$C$22&amp;'Aviation Synfuel Data'!$A$4:$A$22&amp;'Aviation Synfuel Data'!$D$4:$D$22,0),MATCH(AJ$2,'Aviation Synfuel Data'!$G$3:$M$3,0)),"null")</f>
        <v>null</v>
      </c>
      <c r="AK4" s="1401" t="str" cm="1">
        <f t="array" ref="AK4">_xlfn.IFNA(INDEX('Aviation Synfuel Data'!$G$4:$M$22,MATCH('Aviation Synfuel-TSData'!$B4&amp;'Aviation Synfuel-TSData'!$C4&amp;$D4,'Aviation Synfuel Data'!$C$4:$C$22&amp;'Aviation Synfuel Data'!$A$4:$A$22&amp;'Aviation Synfuel Data'!$D$4:$D$22,0),MATCH(AK$2,'Aviation Synfuel Data'!$G$3:$M$3,0)),"null")</f>
        <v>null</v>
      </c>
      <c r="AL4" s="1401" cm="1">
        <f t="array" ref="AL4">_xlfn.IFNA(INDEX('Aviation Synfuel Data'!$G$4:$M$22,MATCH('Aviation Synfuel-TSData'!$B4&amp;'Aviation Synfuel-TSData'!$C4&amp;$D4,'Aviation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Synfuel-TSData'!$C4&amp;$D4,'Aviation Synfuel Data'!$C$4:$C$22&amp;'Aviation Synfuel Data'!$A$4:$A$22&amp;'Aviation Synfuel Data'!$D$4:$D$22,0),MATCH(AM$2,'Aviation Synfuel Data'!$G$3:$M$3,0)),"null")</f>
        <v>null</v>
      </c>
      <c r="AN4" s="1401" cm="1">
        <f t="array" ref="AN4">_xlfn.IFNA(INDEX('Aviation Synfuel Data'!$G$4:$M$22,MATCH('Aviation Synfuel-TSData'!$B4&amp;'Aviation Synfuel-TSData'!$C4&amp;$D4,'Aviation Synfuel Data'!$C$4:$C$22&amp;'Aviation Synfuel Data'!$A$4:$A$22&amp;'Aviation Synfuel Data'!$D$4:$D$22,0),MATCH(AN$2,'Aviation Synfuel Data'!$G$3:$M$3,0)),"null")</f>
        <v>-107.3755695536401</v>
      </c>
      <c r="AO4" s="1401" cm="1">
        <f t="array" ref="AO4">_xlfn.IFNA(INDEX('Aviation Synfuel Data'!$G$4:$M$22,MATCH('Aviation Synfuel-TSData'!$B4&amp;'Aviation Synfuel-TSData'!$C4&amp;$D4,'Aviation Synfuel Data'!$C$4:$C$22&amp;'Aviation Synfuel Data'!$A$4:$A$22&amp;'Aviation Synfuel Data'!$D$4:$D$22,0),MATCH(AO$2,'Aviation Synfuel Data'!$G$3:$M$3,0)),"null")</f>
        <v>-107.3755695536401</v>
      </c>
      <c r="AP4" s="1401" cm="1">
        <f t="array" ref="AP4">_xlfn.IFNA(INDEX('Aviation Synfuel Data'!$G$4:$M$22,MATCH('Aviation Synfuel-TSData'!$B4&amp;'Aviation Synfuel-TSData'!$C4&amp;$D4,'Aviation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856</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0.5118329249859862</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0.5118329249859862</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0.5118329249859862</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0.5118329249859862</v>
      </c>
      <c r="AO6" s="1401" cm="1">
        <f t="array" ref="AO6">_xlfn.IFNA(INDEX('Aviation Synfuel Data'!$G$4:$M$22,MATCH('Aviation Synfuel-TSData'!$B6&amp;'Aviation Synfuel-TSData'!$C6&amp;$D6,'Aviation Synfuel Data'!$C$4:$C$22&amp;'Aviation Synfuel Data'!$A$4:$A$22&amp;'Aviation Synfuel Data'!$D$4:$D$22,0),MATCH(AO$2,'Aviation Synfuel Data'!$G$3:$M$3,0)),"null")</f>
        <v>0.5118329249859862</v>
      </c>
      <c r="AP6" s="1401" cm="1">
        <f t="array" ref="AP6">_xlfn.IFNA(INDEX('Aviation Synfuel Data'!$G$4:$M$22,MATCH('Aviation Synfuel-TSData'!$B6&amp;'Aviation Synfuel-TSData'!$C6&amp;$D6,'Aviation Synfuel Data'!$C$4:$C$22&amp;'Aviation Synfuel Data'!$A$4:$A$22&amp;'Aviation Synfuel Data'!$D$4:$D$22,0),MATCH(AP$2,'Aviation Synfuel Data'!$G$3:$M$3,0)),"null")</f>
        <v>0.5118329249859862</v>
      </c>
    </row>
    <row r="7" spans="1:42">
      <c r="B7" s="1409" t="s">
        <v>855</v>
      </c>
      <c r="C7" s="1409" t="s">
        <v>14604</v>
      </c>
      <c r="D7" s="1409" t="str">
        <f>'Aviation Synfuel Data'!D9</f>
        <v>OKE</v>
      </c>
      <c r="E7" s="1409" t="s">
        <v>14603</v>
      </c>
      <c r="F7" s="1409" t="s">
        <v>334</v>
      </c>
      <c r="G7" s="1409" t="s">
        <v>337</v>
      </c>
      <c r="H7" s="1409" t="s">
        <v>856</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0.48816707501401374</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0.48816707501401374</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0.48816707501401374</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0.48816707501401374</v>
      </c>
      <c r="AO7" s="1401" cm="1">
        <f t="array" ref="AO7">_xlfn.IFNA(INDEX('Aviation Synfuel Data'!$G$4:$M$22,MATCH('Aviation Synfuel-TSData'!$B7&amp;'Aviation Synfuel-TSData'!$C7&amp;$D7,'Aviation Synfuel Data'!$C$4:$C$22&amp;'Aviation Synfuel Data'!$A$4:$A$22&amp;'Aviation Synfuel Data'!$D$4:$D$22,0),MATCH(AO$2,'Aviation Synfuel Data'!$G$3:$M$3,0)),"null")</f>
        <v>0.48816707501401374</v>
      </c>
      <c r="AP7" s="1401" cm="1">
        <f t="array" ref="AP7">_xlfn.IFNA(INDEX('Aviation Synfuel Data'!$G$4:$M$22,MATCH('Aviation Synfuel-TSData'!$B7&amp;'Aviation Synfuel-TSData'!$C7&amp;$D7,'Aviation Synfuel Data'!$C$4:$C$22&amp;'Aviation Synfuel Data'!$A$4:$A$22&amp;'Aviation Synfuel Data'!$D$4:$D$22,0),MATCH(AP$2,'Aviation Synfuel Data'!$G$3:$M$3,0)),"null")</f>
        <v>0.48816707501401374</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13"/>
  <sheetViews>
    <sheetView workbookViewId="0">
      <selection activeCell="A14" sqref="A14:XFD14"/>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344</v>
      </c>
      <c r="C6" s="1409" t="s">
        <v>14604</v>
      </c>
      <c r="D6" s="1409" t="str">
        <f>'Aviation Synfuel Data'!D8</f>
        <v>OAG</v>
      </c>
      <c r="E6" s="1409" t="s">
        <v>334</v>
      </c>
      <c r="F6" s="1409" t="s">
        <v>334</v>
      </c>
      <c r="G6" s="1409" t="s">
        <v>334</v>
      </c>
      <c r="H6" s="1409" t="s">
        <v>334</v>
      </c>
      <c r="I6" s="1409">
        <v>1</v>
      </c>
    </row>
    <row r="7" spans="1:9">
      <c r="B7" s="1409" t="s">
        <v>344</v>
      </c>
      <c r="C7" s="1409" t="s">
        <v>14604</v>
      </c>
      <c r="D7" s="1409" t="str">
        <f>'Aviation Synfuel Data'!D9</f>
        <v>OKE</v>
      </c>
      <c r="E7" s="1409" t="s">
        <v>334</v>
      </c>
      <c r="F7" s="1409" t="s">
        <v>334</v>
      </c>
      <c r="G7" s="1409" t="s">
        <v>334</v>
      </c>
      <c r="H7" s="1409" t="s">
        <v>334</v>
      </c>
      <c r="I7" s="1409">
        <v>1</v>
      </c>
    </row>
    <row r="8" spans="1:9">
      <c r="B8" s="1409" t="s">
        <v>340</v>
      </c>
      <c r="C8" s="1409" t="s">
        <v>14604</v>
      </c>
      <c r="D8" s="1409" t="s">
        <v>334</v>
      </c>
      <c r="E8" s="1409" t="s">
        <v>14603</v>
      </c>
      <c r="F8" s="1409" t="s">
        <v>334</v>
      </c>
      <c r="G8" s="1409" t="s">
        <v>334</v>
      </c>
      <c r="H8" s="1409" t="s">
        <v>334</v>
      </c>
      <c r="I8" s="1409">
        <v>1</v>
      </c>
    </row>
    <row r="9" spans="1:9">
      <c r="B9" s="1409" t="s">
        <v>342</v>
      </c>
      <c r="C9" s="1409" t="s">
        <v>14604</v>
      </c>
      <c r="D9" s="1409" t="s">
        <v>334</v>
      </c>
      <c r="E9" s="1409" t="s">
        <v>334</v>
      </c>
      <c r="F9" s="1409" t="s">
        <v>334</v>
      </c>
      <c r="G9" s="1409" t="s">
        <v>334</v>
      </c>
      <c r="H9" s="1409" t="s">
        <v>334</v>
      </c>
      <c r="I9" s="1409">
        <v>1</v>
      </c>
    </row>
    <row r="10" spans="1:9">
      <c r="B10" s="1409" t="s">
        <v>862</v>
      </c>
      <c r="C10" s="1409" t="s">
        <v>334</v>
      </c>
      <c r="D10" s="1409" t="str">
        <f>D6</f>
        <v>OAG</v>
      </c>
      <c r="E10" s="1409" t="s">
        <v>14603</v>
      </c>
      <c r="F10" s="1409" t="s">
        <v>334</v>
      </c>
      <c r="G10" s="1409" t="s">
        <v>334</v>
      </c>
      <c r="H10" s="1409" t="s">
        <v>334</v>
      </c>
      <c r="I10" s="1409">
        <v>1</v>
      </c>
    </row>
    <row r="11" spans="1:9">
      <c r="B11" s="1409" t="s">
        <v>862</v>
      </c>
      <c r="C11" s="1409" t="s">
        <v>334</v>
      </c>
      <c r="D11" s="1409" t="str">
        <f>D7</f>
        <v>OKE</v>
      </c>
      <c r="E11" s="1409" t="s">
        <v>14603</v>
      </c>
      <c r="F11" s="1409" t="s">
        <v>334</v>
      </c>
      <c r="G11" s="1409" t="s">
        <v>334</v>
      </c>
      <c r="H11" s="1409" t="s">
        <v>334</v>
      </c>
      <c r="I11" s="1409">
        <v>1</v>
      </c>
    </row>
    <row r="12" spans="1:9">
      <c r="B12" s="1409" t="s">
        <v>862</v>
      </c>
      <c r="C12" s="1409" t="s">
        <v>334</v>
      </c>
      <c r="D12" s="1409" t="str">
        <f>D4</f>
        <v>UPSELC</v>
      </c>
      <c r="E12" s="1409" t="s">
        <v>14602</v>
      </c>
      <c r="F12" s="1409" t="s">
        <v>334</v>
      </c>
      <c r="G12" s="1409" t="s">
        <v>334</v>
      </c>
      <c r="H12" s="1409" t="s">
        <v>334</v>
      </c>
      <c r="I12" s="1409">
        <v>1</v>
      </c>
    </row>
    <row r="13" spans="1:9">
      <c r="B13" s="1409" t="s">
        <v>862</v>
      </c>
      <c r="C13" s="1409" t="s">
        <v>334</v>
      </c>
      <c r="D13" s="1409" t="str">
        <f>D5</f>
        <v>HGN</v>
      </c>
      <c r="E13" s="1409" t="s">
        <v>14602</v>
      </c>
      <c r="F13" s="1409" t="s">
        <v>334</v>
      </c>
      <c r="G13" s="1409" t="s">
        <v>334</v>
      </c>
      <c r="H13" s="1409" t="s">
        <v>334</v>
      </c>
      <c r="I13"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topLeftCell="A28" zoomScaleNormal="100" workbookViewId="0">
      <selection activeCell="L25" sqref="L25"/>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15" t="s">
        <v>1313</v>
      </c>
      <c r="M6" s="1916"/>
      <c r="N6" s="1917"/>
      <c r="O6" s="1915" t="s">
        <v>1290</v>
      </c>
      <c r="P6" s="1916"/>
      <c r="Q6" s="1917"/>
      <c r="R6" s="779"/>
      <c r="W6" s="812"/>
      <c r="X6" s="610" t="s">
        <v>1373</v>
      </c>
      <c r="Y6" s="581">
        <v>-252.8</v>
      </c>
      <c r="Z6" s="610" t="s">
        <v>1374</v>
      </c>
    </row>
    <row r="7" spans="1:28" s="430" customFormat="1" ht="30">
      <c r="H7" s="805"/>
      <c r="I7" s="1922"/>
      <c r="J7" s="1922"/>
      <c r="K7" s="1922"/>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08" t="s">
        <v>1256</v>
      </c>
      <c r="B9" s="1908"/>
      <c r="C9" s="1908"/>
      <c r="D9" s="1908"/>
      <c r="E9" s="1908"/>
      <c r="F9" s="1908"/>
      <c r="G9" s="1908"/>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2" t="s">
        <v>1355</v>
      </c>
      <c r="M26" s="1902"/>
      <c r="N26" s="1902"/>
      <c r="O26" s="1902" t="s">
        <v>1290</v>
      </c>
      <c r="P26" s="1902"/>
      <c r="Q26" s="1902"/>
      <c r="R26" s="1902" t="s">
        <v>1356</v>
      </c>
      <c r="S26" s="1902"/>
      <c r="T26" s="1902"/>
      <c r="U26" s="1905" t="s">
        <v>1361</v>
      </c>
      <c r="V26" s="1905"/>
    </row>
    <row r="27" spans="1:35" s="430" customFormat="1">
      <c r="F27" s="430" t="s">
        <v>1254</v>
      </c>
      <c r="H27" s="805"/>
      <c r="I27" s="1912"/>
      <c r="J27" s="1912"/>
      <c r="K27" s="1912"/>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3" t="s">
        <v>1232</v>
      </c>
      <c r="E31" s="1913"/>
      <c r="F31" s="1913"/>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28" t="s">
        <v>1235</v>
      </c>
      <c r="E32" s="1828"/>
      <c r="F32" s="1828"/>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4" t="s">
        <v>1233</v>
      </c>
      <c r="E33" s="1914"/>
      <c r="F33" s="1914"/>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4" t="s">
        <v>1234</v>
      </c>
      <c r="E34" s="1914"/>
      <c r="F34" s="1914"/>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18" t="s">
        <v>1316</v>
      </c>
      <c r="J46" s="1918" t="s">
        <v>1310</v>
      </c>
      <c r="K46" s="1920" t="s">
        <v>1317</v>
      </c>
      <c r="L46" s="1909" t="s">
        <v>1318</v>
      </c>
      <c r="M46" s="1910"/>
      <c r="N46" s="1911"/>
      <c r="Q46" s="1399"/>
      <c r="R46" s="779" t="s">
        <v>14010</v>
      </c>
    </row>
    <row r="47" spans="1:35">
      <c r="A47" s="758" t="s">
        <v>1214</v>
      </c>
      <c r="I47" s="1919"/>
      <c r="J47" s="1919"/>
      <c r="K47" s="1921"/>
      <c r="L47" s="797">
        <v>2000</v>
      </c>
      <c r="M47" s="797">
        <v>2025</v>
      </c>
      <c r="N47" s="797">
        <v>2050</v>
      </c>
      <c r="R47" s="779">
        <v>1.2</v>
      </c>
    </row>
    <row r="48" spans="1:35">
      <c r="I48" s="793" t="s">
        <v>1291</v>
      </c>
      <c r="J48" s="793" t="s">
        <v>1292</v>
      </c>
      <c r="K48" s="798" t="s">
        <v>1319</v>
      </c>
      <c r="L48" s="799">
        <v>0.9</v>
      </c>
      <c r="M48" s="799">
        <v>0.8</v>
      </c>
      <c r="N48" s="799">
        <v>0.7</v>
      </c>
    </row>
    <row r="49" spans="1:23">
      <c r="A49" s="1908" t="s">
        <v>1215</v>
      </c>
      <c r="B49" s="1908"/>
      <c r="C49" s="1908"/>
      <c r="D49" s="1908"/>
      <c r="E49" s="1908"/>
      <c r="F49" s="1908"/>
      <c r="G49" s="1908"/>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06" t="s">
        <v>1316</v>
      </c>
      <c r="J67" s="1906" t="s">
        <v>1310</v>
      </c>
      <c r="K67" s="1907" t="s">
        <v>1317</v>
      </c>
      <c r="L67" s="1903" t="s">
        <v>1359</v>
      </c>
      <c r="M67" s="1902"/>
      <c r="N67" s="1902"/>
      <c r="O67" s="1903" t="s">
        <v>1360</v>
      </c>
      <c r="P67" s="1902"/>
      <c r="Q67" s="1902"/>
      <c r="R67" s="1905" t="s">
        <v>1361</v>
      </c>
      <c r="S67" s="1905"/>
    </row>
    <row r="68" spans="1:19">
      <c r="I68" s="1906"/>
      <c r="J68" s="1906"/>
      <c r="K68" s="1907"/>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04" t="s">
        <v>1331</v>
      </c>
      <c r="K87" s="1904"/>
      <c r="L87" s="1904" t="s">
        <v>1332</v>
      </c>
      <c r="M87" s="1904"/>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898" t="s">
        <v>1425</v>
      </c>
      <c r="L123" s="1899"/>
      <c r="M123" s="1900"/>
      <c r="N123" s="1898" t="s">
        <v>1426</v>
      </c>
      <c r="O123" s="1899"/>
      <c r="P123" s="1900"/>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01" t="s">
        <v>1444</v>
      </c>
      <c r="J128" s="1901"/>
      <c r="K128" s="1901"/>
      <c r="L128" s="1901"/>
      <c r="M128" s="1901"/>
      <c r="N128" s="1901"/>
      <c r="O128" s="1901"/>
      <c r="P128" s="1901"/>
      <c r="Q128" s="1901"/>
    </row>
    <row r="129" spans="9:17">
      <c r="I129" s="1901"/>
      <c r="J129" s="1901"/>
      <c r="K129" s="1901"/>
      <c r="L129" s="1901"/>
      <c r="M129" s="1901"/>
      <c r="N129" s="1901"/>
      <c r="O129" s="1901"/>
      <c r="P129" s="1901"/>
      <c r="Q129" s="1901"/>
    </row>
    <row r="130" spans="9:17">
      <c r="I130" s="1901"/>
      <c r="J130" s="1901"/>
      <c r="K130" s="1901"/>
      <c r="L130" s="1901"/>
      <c r="M130" s="1901"/>
      <c r="N130" s="1901"/>
      <c r="O130" s="1901"/>
      <c r="P130" s="1901"/>
      <c r="Q130" s="1901"/>
    </row>
    <row r="131" spans="9:17">
      <c r="I131" s="1901"/>
      <c r="J131" s="1901"/>
      <c r="K131" s="1901"/>
      <c r="L131" s="1901"/>
      <c r="M131" s="1901"/>
      <c r="N131" s="1901"/>
      <c r="O131" s="1901"/>
      <c r="P131" s="1901"/>
      <c r="Q131" s="1901"/>
    </row>
    <row r="132" spans="9:17">
      <c r="I132" s="1901"/>
      <c r="J132" s="1901"/>
      <c r="K132" s="1901"/>
      <c r="L132" s="1901"/>
      <c r="M132" s="1901"/>
      <c r="N132" s="1901"/>
      <c r="O132" s="1901"/>
      <c r="P132" s="1901"/>
      <c r="Q132" s="1901"/>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zoomScale="85" zoomScaleNormal="85" workbookViewId="0">
      <selection activeCell="E21" sqref="C20:E21"/>
    </sheetView>
  </sheetViews>
  <sheetFormatPr defaultRowHeight="15"/>
  <cols>
    <col min="1" max="2" width="16.85546875" style="1409" customWidth="1"/>
    <col min="3" max="3" width="23.85546875" style="1409" customWidth="1"/>
    <col min="4" max="4" width="11" style="1409" bestFit="1"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14085</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14578</v>
      </c>
      <c r="B7" s="1409" t="s">
        <v>839</v>
      </c>
      <c r="C7" s="1409" t="s">
        <v>14085</v>
      </c>
      <c r="F7" s="1448">
        <f t="shared" si="0"/>
        <v>408.07038188182429</v>
      </c>
      <c r="G7" s="1448">
        <f>AVERAGE(F7,H7)</f>
        <v>300.68343928134419</v>
      </c>
      <c r="H7" s="1448">
        <f t="shared" si="0"/>
        <v>193.29649668086412</v>
      </c>
      <c r="I7" s="1681">
        <f t="shared" si="0"/>
        <v>154.0130681056458</v>
      </c>
      <c r="J7" s="1681">
        <f>J52*$D$20</f>
        <v>114.72963953042742</v>
      </c>
    </row>
    <row r="8" spans="1:13">
      <c r="A8" s="435" t="s">
        <v>14577</v>
      </c>
      <c r="B8" s="1409" t="s">
        <v>849</v>
      </c>
      <c r="C8" t="s">
        <v>1655</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14578</v>
      </c>
      <c r="B9" s="1409" t="s">
        <v>849</v>
      </c>
      <c r="C9" s="1409" t="s">
        <v>1655</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14577</v>
      </c>
      <c r="B10" s="1409" t="s">
        <v>861</v>
      </c>
      <c r="C10" t="s">
        <v>14083</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14578</v>
      </c>
      <c r="B11" s="1409" t="s">
        <v>861</v>
      </c>
      <c r="C11" s="1409" t="s">
        <v>14083</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$R$56*I$5 +$S$56</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5">G16</f>
        <v>-2</v>
      </c>
      <c r="H17" s="1448">
        <f t="shared" si="5"/>
        <v>-2</v>
      </c>
      <c r="I17" s="1681">
        <f t="shared" si="5"/>
        <v>-2</v>
      </c>
      <c r="J17" s="1681">
        <f t="shared" si="5"/>
        <v>-2</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6">G5</f>
        <v>2030</v>
      </c>
      <c r="H40" s="1674">
        <f t="shared" si="6"/>
        <v>2035</v>
      </c>
      <c r="I40" s="6">
        <f t="shared" si="6"/>
        <v>2040</v>
      </c>
      <c r="J40" s="6">
        <f t="shared" si="6"/>
        <v>2050</v>
      </c>
      <c r="K40" s="1923"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3"/>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3"/>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7">1000*8760*3600</f>
        <v>31536000000</v>
      </c>
      <c r="J46" s="6">
        <f t="shared" si="7"/>
        <v>31536000000</v>
      </c>
    </row>
    <row r="47" spans="1:19">
      <c r="C47" s="1409" t="s">
        <v>14579</v>
      </c>
      <c r="D47" s="1409" t="s">
        <v>1123</v>
      </c>
      <c r="E47" s="1121" t="s">
        <v>14078</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14580</v>
      </c>
      <c r="D48" s="1409" t="s">
        <v>1123</v>
      </c>
      <c r="E48" s="1121" t="s">
        <v>14078</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14579</v>
      </c>
      <c r="D49" s="1409" t="s">
        <v>1123</v>
      </c>
      <c r="E49" s="1121" t="s">
        <v>14077</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14580</v>
      </c>
      <c r="D50" s="1409" t="s">
        <v>1123</v>
      </c>
      <c r="E50" s="1121" t="s">
        <v>14077</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14579</v>
      </c>
      <c r="D51" s="1409" t="s">
        <v>1123</v>
      </c>
      <c r="E51" s="1302" t="s">
        <v>14720</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14580</v>
      </c>
      <c r="D52" s="1409" t="s">
        <v>1123</v>
      </c>
      <c r="E52" s="1302" t="s">
        <v>14720</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14732</v>
      </c>
      <c r="F54" s="6">
        <f>F40</f>
        <v>2020</v>
      </c>
      <c r="G54" s="6">
        <f t="shared" ref="G54:H54" si="13">G40</f>
        <v>2030</v>
      </c>
      <c r="H54" s="6">
        <f t="shared" si="13"/>
        <v>2035</v>
      </c>
      <c r="I54" s="6"/>
      <c r="J54" s="6"/>
    </row>
    <row r="55" spans="3:19">
      <c r="C55" s="1409" t="s">
        <v>14579</v>
      </c>
      <c r="E55" s="1409" t="s">
        <v>14080</v>
      </c>
      <c r="F55" s="1723">
        <f>AVERAGE(30000,90000)</f>
        <v>60000</v>
      </c>
      <c r="G55" s="1723">
        <f>AVERAGE(60000,90000)</f>
        <v>75000</v>
      </c>
      <c r="H55" s="1723">
        <f>AVERAGE(100000,150000)</f>
        <v>125000</v>
      </c>
      <c r="I55" s="6"/>
      <c r="J55" s="6"/>
    </row>
    <row r="56" spans="3:19">
      <c r="C56" s="1409" t="s">
        <v>14580</v>
      </c>
      <c r="E56" s="1409" t="s">
        <v>14080</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14579</v>
      </c>
      <c r="E57" s="1409" t="s">
        <v>14081</v>
      </c>
      <c r="F57" s="1022">
        <f t="shared" ref="F57:H58" si="14">F55/F12</f>
        <v>66666.666666666672</v>
      </c>
      <c r="G57" s="1022">
        <f t="shared" si="14"/>
        <v>83333.333333333328</v>
      </c>
      <c r="H57" s="1022">
        <f t="shared" si="14"/>
        <v>138888.88888888888</v>
      </c>
      <c r="I57" s="6"/>
      <c r="J57" s="6"/>
    </row>
    <row r="58" spans="3:19">
      <c r="C58" s="1409" t="s">
        <v>14580</v>
      </c>
      <c r="E58" s="1409" t="s">
        <v>14081</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topLeftCell="A25" zoomScale="85" zoomScaleNormal="85" workbookViewId="0">
      <selection activeCell="E35" sqref="E35"/>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election activeCell="C3" sqref="C3:C4"/>
    </sheetView>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R9" sqref="R9"/>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election activeCell="A11" sqref="A11:XFD11"/>
    </sheetView>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32" zoomScale="85" zoomScaleNormal="85" workbookViewId="0">
      <selection activeCell="E129" sqref="E129"/>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1" t="s">
        <v>240</v>
      </c>
      <c r="C1" s="1831"/>
      <c r="D1" s="1831"/>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644">
        <v>0.5</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622.84426708278443</v>
      </c>
      <c r="N165" s="143"/>
      <c r="O165" s="143">
        <f>zar.2015*'Hydrogen-ELT'!F8</f>
        <v>9.3426640062417654</v>
      </c>
      <c r="P165" s="143"/>
      <c r="Q165" s="494">
        <f>'Hydrogen-ELT'!F16</f>
        <v>-2</v>
      </c>
      <c r="R165" s="143" t="str">
        <f>""</f>
        <v/>
      </c>
      <c r="S165" s="1275">
        <v>0</v>
      </c>
      <c r="T165" s="1275">
        <v>0</v>
      </c>
      <c r="U165" s="751"/>
      <c r="V165" s="752"/>
      <c r="W165" s="752" t="s">
        <v>1453</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408.07038188182429</v>
      </c>
      <c r="N168" s="143"/>
      <c r="O168" s="143">
        <f>zar.2015*'Hydrogen-ELT'!F9</f>
        <v>6.1210557282273639</v>
      </c>
      <c r="P168" s="143"/>
      <c r="Q168" s="494">
        <f>'Hydrogen-ELT'!F17</f>
        <v>-2</v>
      </c>
      <c r="R168" s="143" t="str">
        <f>""</f>
        <v/>
      </c>
      <c r="S168" s="1275">
        <v>0</v>
      </c>
      <c r="T168" s="1275">
        <v>0</v>
      </c>
      <c r="U168" s="751"/>
      <c r="V168" s="752"/>
      <c r="W168" s="752" t="s">
        <v>1453</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F34" sqref="F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election activeCell="A28" sqref="A28:XFD29"/>
    </sheetView>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11" workbookViewId="0">
      <selection activeCell="T47" sqref="T47"/>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0.5</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9.3426640062417654</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9.3426640062417654</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6.4432165560288039</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3.5437691058158416</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2.9828037483154324</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2.4218383908150227</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622.84426708278443</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622.84426708278443</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429.54777040192027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236.25127372105612</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198.85358322102883</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161.45589272100153</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6.1210557282273639</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6.1210557282273639</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4.5102515892201627</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2.8994474502129619</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2.3101960215846868</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1.7209445929564113</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408.07038188182429</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408.07038188182429</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300.68343928134419</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193.29649668086412</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154.0130681056458</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114.72963953042742</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8" workbookViewId="0">
      <selection activeCell="B339" sqref="B339:M33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topLeftCell="A37" workbookViewId="0">
      <selection activeCell="F10" sqref="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topLeftCell="A25" workbookViewId="0">
      <selection activeCell="C38" sqref="C38:F39"/>
    </sheetView>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workbookViewId="0">
      <selection activeCell="H133" sqref="H133"/>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election activeCell="C148" sqref="C148:M148"/>
    </sheetView>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topLeftCell="A58" workbookViewId="0">
      <selection activeCell="A73" sqref="A73:XFD82"/>
    </sheetView>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27"/>
  <sheetViews>
    <sheetView topLeftCell="A211" workbookViewId="0">
      <selection activeCell="J221" sqref="J221"/>
    </sheetView>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309"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
      </c>
      <c r="B290" s="515" t="str">
        <f t="shared" si="9"/>
        <v>FLO_EMIS</v>
      </c>
      <c r="C290" s="518" t="str">
        <f ca="1">"X"&amp;OFFSET(NameConv!$F$4,0,AS290)&amp;OFFSET(NameConv!$F$59,AT290,AS290)</f>
        <v>XPWRGIC</v>
      </c>
      <c r="D290" s="515" t="str">
        <f ca="1">OFFSET(NameConv!$F$4,0,AS290)&amp;OFFSET(NameConv!$AX$4,0,AU290)</f>
        <v>PWRCO2S</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56.1</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1</v>
      </c>
      <c r="AV290" s="495">
        <f ca="1">IF(AV289&gt;=SUMIF(NameConv!$C$5:$C$45,RIGHT(E289,3),NameConv!$CG$5:$CG$45),1,AV289+1)</f>
        <v>1</v>
      </c>
    </row>
    <row r="291" spans="1:48">
      <c r="A291" s="422" t="str">
        <f t="shared" ca="1" si="8"/>
        <v/>
      </c>
      <c r="B291" s="515" t="str">
        <f t="shared" si="9"/>
        <v>FLO_EMIS</v>
      </c>
      <c r="C291" s="518" t="str">
        <f ca="1">"X"&amp;OFFSET(NameConv!$F$4,0,AS291)&amp;OFFSET(NameConv!$F$59,AT291,AS291)</f>
        <v>XPWRGIC</v>
      </c>
      <c r="D291" s="515" t="str">
        <f ca="1">OFFSET(NameConv!$F$4,0,AS291)&amp;OFFSET(NameConv!$AX$4,0,AU291)</f>
        <v>PWRCH4S</v>
      </c>
      <c r="E291" s="515" t="str">
        <f ca="1">OFFSET(NameConv!$F$4,0,AS291)&amp;OFFSET(NameConv!$F$59,AT291,AS291)</f>
        <v>PWRGIC</v>
      </c>
      <c r="F291" s="740" t="s">
        <v>334</v>
      </c>
      <c r="G291" s="515" t="s">
        <v>337</v>
      </c>
      <c r="H291" s="740" t="s">
        <v>334</v>
      </c>
      <c r="I291" s="516">
        <v>0</v>
      </c>
      <c r="J291" s="517">
        <f ca="1">IF(E291="TRAOKE",0,SUMIF(NameConv!$C$5:$C$45,RIGHT(E291,3),OFFSET(NameConv!$AX$5,0,AU291,NameConv!$A$45,1)))</f>
        <v>1E-3</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13</v>
      </c>
      <c r="AU291" s="495">
        <f ca="1">SUMIF(NameConv!$C$5:$C$45,RIGHT(E291,3),OFFSET(NameConv!$CG$5,0,AV291,NameConv!$A$45,1))</f>
        <v>2</v>
      </c>
      <c r="AV291" s="495">
        <f ca="1">IF(AV290&gt;=SUMIF(NameConv!$C$5:$C$45,RIGHT(E290,3),NameConv!$CG$5:$CG$45),1,AV290+1)</f>
        <v>2</v>
      </c>
    </row>
    <row r="292" spans="1:48">
      <c r="A292" s="422" t="str">
        <f t="shared" ca="1" si="8"/>
        <v/>
      </c>
      <c r="B292" s="515" t="str">
        <f t="shared" si="9"/>
        <v>FLO_EMIS</v>
      </c>
      <c r="C292" s="518" t="str">
        <f ca="1">"X"&amp;OFFSET(NameConv!$F$4,0,AS292)&amp;OFFSET(NameConv!$F$59,AT292,AS292)</f>
        <v>XPWRGIC</v>
      </c>
      <c r="D292" s="515" t="str">
        <f ca="1">OFFSET(NameConv!$F$4,0,AS292)&amp;OFFSET(NameConv!$AX$4,0,AU292)</f>
        <v>PWRN2OS</v>
      </c>
      <c r="E292" s="515" t="str">
        <f ca="1">OFFSET(NameConv!$F$4,0,AS292)&amp;OFFSET(NameConv!$F$59,AT292,AS292)</f>
        <v>PWRGIC</v>
      </c>
      <c r="F292" s="740" t="s">
        <v>334</v>
      </c>
      <c r="G292" s="515" t="s">
        <v>337</v>
      </c>
      <c r="H292" s="740" t="s">
        <v>334</v>
      </c>
      <c r="I292" s="516">
        <v>0</v>
      </c>
      <c r="J292" s="517">
        <f ca="1">IF(E292="TRAOKE",0,SUMIF(NameConv!$C$5:$C$45,RIGHT(E292,3),OFFSET(NameConv!$AX$5,0,AU292,NameConv!$A$45,1)))</f>
        <v>1E-4</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13</v>
      </c>
      <c r="AU292" s="495">
        <f ca="1">SUMIF(NameConv!$C$5:$C$45,RIGHT(E292,3),OFFSET(NameConv!$CG$5,0,AV292,NameConv!$A$45,1))</f>
        <v>3</v>
      </c>
      <c r="AV292" s="495">
        <f ca="1">IF(AV291&gt;=SUMIF(NameConv!$C$5:$C$45,RIGHT(E291,3),NameConv!$CG$5:$CG$45),1,AV291+1)</f>
        <v>3</v>
      </c>
    </row>
    <row r="293" spans="1:48">
      <c r="A293" s="422" t="str">
        <f t="shared" ca="1" si="8"/>
        <v/>
      </c>
      <c r="B293" s="515" t="str">
        <f t="shared" si="9"/>
        <v>FLO_EMIS</v>
      </c>
      <c r="C293" s="518" t="str">
        <f ca="1">"X"&amp;OFFSET(NameConv!$F$4,0,AS293)&amp;OFFSET(NameConv!$F$59,AT293,AS293)</f>
        <v>XPWRGIC</v>
      </c>
      <c r="D293" s="515" t="str">
        <f ca="1">OFFSET(NameConv!$F$4,0,AS293)&amp;OFFSET(NameConv!$AX$4,0,AU293)</f>
        <v>PWRNOXS</v>
      </c>
      <c r="E293" s="515" t="str">
        <f ca="1">OFFSET(NameConv!$F$4,0,AS293)&amp;OFFSET(NameConv!$F$59,AT293,AS293)</f>
        <v>PWRGIC</v>
      </c>
      <c r="F293" s="740" t="s">
        <v>334</v>
      </c>
      <c r="G293" s="515" t="s">
        <v>337</v>
      </c>
      <c r="H293" s="740" t="s">
        <v>334</v>
      </c>
      <c r="I293" s="516">
        <v>0</v>
      </c>
      <c r="J293" s="517">
        <f ca="1">IF(E293="TRAOKE",0,SUMIF(NameConv!$C$5:$C$45,RIGHT(E293,3),OFFSET(NameConv!$AX$5,0,AU293,NameConv!$A$45,1)))</f>
        <v>0.15</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13</v>
      </c>
      <c r="AU293" s="495">
        <f ca="1">SUMIF(NameConv!$C$5:$C$45,RIGHT(E293,3),OFFSET(NameConv!$CG$5,0,AV293,NameConv!$A$45,1))</f>
        <v>5</v>
      </c>
      <c r="AV293" s="495">
        <f ca="1">IF(AV292&gt;=SUMIF(NameConv!$C$5:$C$45,RIGHT(E292,3),NameConv!$CG$5:$CG$45),1,AV292+1)</f>
        <v>4</v>
      </c>
    </row>
    <row r="294" spans="1:48">
      <c r="A294" s="422" t="str">
        <f t="shared" ref="A294:A299" ca="1" si="10">IF(J294=0,"*","")</f>
        <v/>
      </c>
      <c r="B294" s="515" t="str">
        <f t="shared" si="9"/>
        <v>FLO_EMIS</v>
      </c>
      <c r="C294" s="518" t="str">
        <f ca="1">"X"&amp;OFFSET(NameConv!$F$4,0,AS294)&amp;OFFSET(NameConv!$F$59,AT294,AS294)</f>
        <v>XPWRGIC</v>
      </c>
      <c r="D294" s="515" t="str">
        <f ca="1">OFFSET(NameConv!$F$4,0,AS294)&amp;OFFSET(NameConv!$AX$4,0,AU294)</f>
        <v>PWRCMOX</v>
      </c>
      <c r="E294" s="515" t="str">
        <f ca="1">OFFSET(NameConv!$F$4,0,AS294)&amp;OFFSET(NameConv!$F$59,AT294,AS294)</f>
        <v>PWRGIC</v>
      </c>
      <c r="F294" s="740" t="s">
        <v>334</v>
      </c>
      <c r="G294" s="515" t="s">
        <v>337</v>
      </c>
      <c r="H294" s="740" t="s">
        <v>334</v>
      </c>
      <c r="I294" s="516">
        <v>0</v>
      </c>
      <c r="J294" s="517">
        <f ca="1">IF(E294="TRAOKE",0,SUMIF(NameConv!$C$5:$C$45,RIGHT(E294,3),OFFSET(NameConv!$AX$5,0,AU294,NameConv!$A$45,1)))</f>
        <v>0.02</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c r="AS294" s="495">
        <f ca="1">IF(AND(AV293&gt;=SUMIF(NameConv!$C$5:$C$45,RIGHT(E293,3),NameConv!$CG$5:$CG$45),AT293=SUMIF(NameConv!$G$4:$M$4,LEFT(E293,3),NameConv!$G$45:$M$45)),AS293+1,AS293)</f>
        <v>6</v>
      </c>
      <c r="AT294" s="495">
        <f ca="1">IF(AS294&lt;&gt;AS293,1,IF(AV293&gt;=SUMIF(NameConv!$C$5:$C$45,RIGHT(E293,3),NameConv!$CG$5:$CG$45),AT293+1,AT293))</f>
        <v>13</v>
      </c>
      <c r="AU294" s="495">
        <f ca="1">SUMIF(NameConv!$C$5:$C$45,RIGHT(E294,3),OFFSET(NameConv!$CG$5,0,AV294,NameConv!$A$45,1))</f>
        <v>6</v>
      </c>
      <c r="AV294" s="495">
        <f ca="1">IF(AV293&gt;=SUMIF(NameConv!$C$5:$C$45,RIGHT(E293,3),NameConv!$CG$5:$CG$45),1,AV293+1)</f>
        <v>5</v>
      </c>
    </row>
    <row r="295" spans="1:48">
      <c r="A295" s="422" t="str">
        <f t="shared" ca="1" si="10"/>
        <v/>
      </c>
      <c r="B295" s="515" t="str">
        <f t="shared" si="9"/>
        <v>FLO_EMIS</v>
      </c>
      <c r="C295" s="518" t="str">
        <f ca="1">"X"&amp;OFFSET(NameConv!$F$4,0,AS295)&amp;OFFSET(NameConv!$F$59,AT295,AS295)</f>
        <v>XPWRGIC</v>
      </c>
      <c r="D295" s="515" t="str">
        <f ca="1">OFFSET(NameConv!$F$4,0,AS295)&amp;OFFSET(NameConv!$AX$4,0,AU295)</f>
        <v>PWRNMVS</v>
      </c>
      <c r="E295" s="515" t="str">
        <f ca="1">OFFSET(NameConv!$F$4,0,AS295)&amp;OFFSET(NameConv!$F$59,AT295,AS295)</f>
        <v>PWRGIC</v>
      </c>
      <c r="F295" s="740" t="s">
        <v>334</v>
      </c>
      <c r="G295" s="515" t="s">
        <v>337</v>
      </c>
      <c r="H295" s="740" t="s">
        <v>334</v>
      </c>
      <c r="I295" s="516">
        <v>0</v>
      </c>
      <c r="J295" s="517">
        <f ca="1">IF(E295="TRAOKE",0,SUMIF(NameConv!$C$5:$C$45,RIGHT(E295,3),OFFSET(NameConv!$AX$5,0,AU295,NameConv!$A$45,1)))</f>
        <v>5.0000000000000001E-3</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c r="AS295" s="495">
        <f ca="1">IF(AND(AV294&gt;=SUMIF(NameConv!$C$5:$C$45,RIGHT(E294,3),NameConv!$CG$5:$CG$45),AT294=SUMIF(NameConv!$G$4:$M$4,LEFT(E294,3),NameConv!$G$45:$M$45)),AS294+1,AS294)</f>
        <v>6</v>
      </c>
      <c r="AT295" s="495">
        <f ca="1">IF(AS295&lt;&gt;AS294,1,IF(AV294&gt;=SUMIF(NameConv!$C$5:$C$45,RIGHT(E294,3),NameConv!$CG$5:$CG$45),AT294+1,AT294))</f>
        <v>13</v>
      </c>
      <c r="AU295" s="495">
        <f ca="1">SUMIF(NameConv!$C$5:$C$45,RIGHT(E295,3),OFFSET(NameConv!$CG$5,0,AV295,NameConv!$A$45,1))</f>
        <v>7</v>
      </c>
      <c r="AV295" s="495">
        <f ca="1">IF(AV294&gt;=SUMIF(NameConv!$C$5:$C$45,RIGHT(E294,3),NameConv!$CG$5:$CG$45),1,AV294+1)</f>
        <v>6</v>
      </c>
    </row>
    <row r="296" spans="1:48">
      <c r="A296" s="422" t="str">
        <f t="shared" ca="1" si="10"/>
        <v>*</v>
      </c>
      <c r="B296" s="515" t="str">
        <f t="shared" si="9"/>
        <v>FLO_EMIS</v>
      </c>
      <c r="C296" s="518" t="str">
        <f ca="1">"X"&amp;OFFSET(NameConv!$F$4,0,AS296)&amp;OFFSET(NameConv!$F$59,AT296,AS296)</f>
        <v>XPWRHYD</v>
      </c>
      <c r="D296" s="515" t="str">
        <f ca="1">OFFSET(NameConv!$F$4,0,AS296)&amp;OFFSET(NameConv!$AX$4,0,AU296)</f>
        <v>PWR</v>
      </c>
      <c r="E296" s="515" t="str">
        <f ca="1">OFFSET(NameConv!$F$4,0,AS296)&amp;OFFSET(NameConv!$F$59,AT296,AS296)</f>
        <v>PWRHYD</v>
      </c>
      <c r="F296" s="740" t="s">
        <v>334</v>
      </c>
      <c r="G296" s="515" t="s">
        <v>337</v>
      </c>
      <c r="H296" s="740" t="s">
        <v>334</v>
      </c>
      <c r="I296" s="516">
        <v>0</v>
      </c>
      <c r="J296" s="517">
        <f ca="1">IF(E296="TRAOKE",0,SUMIF(NameConv!$C$5:$C$45,RIGHT(E296,3),OFFSET(NameConv!$AX$5,0,AU296,NameConv!$A$45,1)))</f>
        <v>0</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c r="AS296" s="495">
        <f ca="1">IF(AND(AV295&gt;=SUMIF(NameConv!$C$5:$C$45,RIGHT(E295,3),NameConv!$CG$5:$CG$45),AT295=SUMIF(NameConv!$G$4:$M$4,LEFT(E295,3),NameConv!$G$45:$M$45)),AS295+1,AS295)</f>
        <v>6</v>
      </c>
      <c r="AT296" s="495">
        <f ca="1">IF(AS296&lt;&gt;AS295,1,IF(AV295&gt;=SUMIF(NameConv!$C$5:$C$45,RIGHT(E295,3),NameConv!$CG$5:$CG$45),AT295+1,AT295))</f>
        <v>14</v>
      </c>
      <c r="AU296" s="495">
        <f ca="1">SUMIF(NameConv!$C$5:$C$45,RIGHT(E296,3),OFFSET(NameConv!$CG$5,0,AV296,NameConv!$A$45,1))</f>
        <v>0</v>
      </c>
      <c r="AV296" s="495">
        <f ca="1">IF(AV295&gt;=SUMIF(NameConv!$C$5:$C$45,RIGHT(E295,3),NameConv!$CG$5:$CG$45),1,AV295+1)</f>
        <v>1</v>
      </c>
    </row>
    <row r="297" spans="1:48">
      <c r="A297" s="422" t="str">
        <f t="shared" ca="1" si="10"/>
        <v>*</v>
      </c>
      <c r="B297" s="515" t="str">
        <f t="shared" si="9"/>
        <v>FLO_EMIS</v>
      </c>
      <c r="C297" s="518" t="str">
        <f ca="1">"X"&amp;OFFSET(NameConv!$F$4,0,AS297)&amp;OFFSET(NameConv!$F$59,AT297,AS297)</f>
        <v>XPWRHGN</v>
      </c>
      <c r="D297" s="515" t="str">
        <f ca="1">OFFSET(NameConv!$F$4,0,AS297)&amp;OFFSET(NameConv!$AX$4,0,AU297)</f>
        <v>PWR</v>
      </c>
      <c r="E297" s="515" t="str">
        <f ca="1">OFFSET(NameConv!$F$4,0,AS297)&amp;OFFSET(NameConv!$F$59,AT297,AS297)</f>
        <v>PWRHGN</v>
      </c>
      <c r="F297" s="740" t="s">
        <v>334</v>
      </c>
      <c r="G297" s="515" t="s">
        <v>337</v>
      </c>
      <c r="H297" s="740" t="s">
        <v>334</v>
      </c>
      <c r="I297" s="516">
        <v>0</v>
      </c>
      <c r="J297" s="517">
        <f ca="1">IF(E297="TRAOKE",0,SUMIF(NameConv!$C$5:$C$45,RIGHT(E297,3),OFFSET(NameConv!$AX$5,0,AU297,NameConv!$A$45,1)))</f>
        <v>0</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c r="AS297" s="495">
        <f ca="1">IF(AND(AV296&gt;=SUMIF(NameConv!$C$5:$C$45,RIGHT(E296,3),NameConv!$CG$5:$CG$45),AT296=SUMIF(NameConv!$G$4:$M$4,LEFT(E296,3),NameConv!$G$45:$M$45)),AS296+1,AS296)</f>
        <v>6</v>
      </c>
      <c r="AT297" s="495">
        <f ca="1">IF(AS297&lt;&gt;AS296,1,IF(AV296&gt;=SUMIF(NameConv!$C$5:$C$45,RIGHT(E296,3),NameConv!$CG$5:$CG$45),AT296+1,AT296))</f>
        <v>15</v>
      </c>
      <c r="AU297" s="495">
        <f ca="1">SUMIF(NameConv!$C$5:$C$45,RIGHT(E297,3),OFFSET(NameConv!$CG$5,0,AV297,NameConv!$A$45,1))</f>
        <v>0</v>
      </c>
      <c r="AV297" s="495">
        <f ca="1">IF(AV296&gt;=SUMIF(NameConv!$C$5:$C$45,RIGHT(E296,3),NameConv!$CG$5:$CG$45),1,AV296+1)</f>
        <v>1</v>
      </c>
    </row>
    <row r="298" spans="1:48">
      <c r="A298" s="422" t="str">
        <f t="shared" ca="1" si="10"/>
        <v>*</v>
      </c>
      <c r="B298" s="515" t="str">
        <f t="shared" si="9"/>
        <v>FLO_EMIS</v>
      </c>
      <c r="C298" s="518" t="str">
        <f ca="1">"X"&amp;OFFSET(NameConv!$F$4,0,AS298)&amp;OFFSET(NameConv!$F$59,AT298,AS298)</f>
        <v>XPWRNUC</v>
      </c>
      <c r="D298" s="515" t="str">
        <f ca="1">OFFSET(NameConv!$F$4,0,AS298)&amp;OFFSET(NameConv!$AX$4,0,AU298)</f>
        <v>PWR</v>
      </c>
      <c r="E298" s="515" t="str">
        <f ca="1">OFFSET(NameConv!$F$4,0,AS298)&amp;OFFSET(NameConv!$F$59,AT298,AS298)</f>
        <v>PWRNUC</v>
      </c>
      <c r="F298" s="740" t="s">
        <v>334</v>
      </c>
      <c r="G298" s="515" t="s">
        <v>337</v>
      </c>
      <c r="H298" s="740" t="s">
        <v>334</v>
      </c>
      <c r="I298" s="516">
        <v>0</v>
      </c>
      <c r="J298" s="517">
        <f ca="1">IF(E298="TRAOKE",0,SUMIF(NameConv!$C$5:$C$45,RIGHT(E298,3),OFFSET(NameConv!$AX$5,0,AU298,NameConv!$A$45,1)))</f>
        <v>0</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c r="AS298" s="495">
        <f ca="1">IF(AND(AV297&gt;=SUMIF(NameConv!$C$5:$C$45,RIGHT(E297,3),NameConv!$CG$5:$CG$45),AT297=SUMIF(NameConv!$G$4:$M$4,LEFT(E297,3),NameConv!$G$45:$M$45)),AS297+1,AS297)</f>
        <v>6</v>
      </c>
      <c r="AT298" s="495">
        <f ca="1">IF(AS298&lt;&gt;AS297,1,IF(AV297&gt;=SUMIF(NameConv!$C$5:$C$45,RIGHT(E297,3),NameConv!$CG$5:$CG$45),AT297+1,AT297))</f>
        <v>16</v>
      </c>
      <c r="AU298" s="495">
        <f ca="1">SUMIF(NameConv!$C$5:$C$45,RIGHT(E298,3),OFFSET(NameConv!$CG$5,0,AV298,NameConv!$A$45,1))</f>
        <v>0</v>
      </c>
      <c r="AV298" s="495">
        <f ca="1">IF(AV297&gt;=SUMIF(NameConv!$C$5:$C$45,RIGHT(E297,3),NameConv!$CG$5:$CG$45),1,AV297+1)</f>
        <v>1</v>
      </c>
    </row>
    <row r="299" spans="1:48">
      <c r="A299" s="422" t="str">
        <f t="shared" ca="1" si="10"/>
        <v/>
      </c>
      <c r="B299" s="515" t="str">
        <f t="shared" si="9"/>
        <v>FLO_EMIS</v>
      </c>
      <c r="C299" s="518" t="str">
        <f ca="1">"X"&amp;OFFSET(NameConv!$F$4,0,AS299)&amp;OFFSET(NameConv!$F$59,AT299,AS299)</f>
        <v>XPWRODS</v>
      </c>
      <c r="D299" s="515" t="str">
        <f ca="1">OFFSET(NameConv!$F$4,0,AS299)&amp;OFFSET(NameConv!$AX$4,0,AU299)</f>
        <v>PWRCO2S</v>
      </c>
      <c r="E299" s="515" t="str">
        <f ca="1">OFFSET(NameConv!$F$4,0,AS299)&amp;OFFSET(NameConv!$F$59,AT299,AS299)</f>
        <v>PWRODS</v>
      </c>
      <c r="F299" s="740" t="s">
        <v>334</v>
      </c>
      <c r="G299" s="515" t="s">
        <v>337</v>
      </c>
      <c r="H299" s="740" t="s">
        <v>334</v>
      </c>
      <c r="I299" s="516">
        <v>0</v>
      </c>
      <c r="J299" s="517">
        <f ca="1">IF(E299="TRAOKE",0,SUMIF(NameConv!$C$5:$C$45,RIGHT(E299,3),OFFSET(NameConv!$AX$5,0,AU299,NameConv!$A$45,1)))</f>
        <v>74.066699999999997</v>
      </c>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c r="AS299" s="495">
        <f ca="1">IF(AND(AV298&gt;=SUMIF(NameConv!$C$5:$C$45,RIGHT(E298,3),NameConv!$CG$5:$CG$45),AT298=SUMIF(NameConv!$G$4:$M$4,LEFT(E298,3),NameConv!$G$45:$M$45)),AS298+1,AS298)</f>
        <v>6</v>
      </c>
      <c r="AT299" s="495">
        <f ca="1">IF(AS299&lt;&gt;AS298,1,IF(AV298&gt;=SUMIF(NameConv!$C$5:$C$45,RIGHT(E298,3),NameConv!$CG$5:$CG$45),AT298+1,AT298))</f>
        <v>17</v>
      </c>
      <c r="AU299" s="495">
        <f ca="1">SUMIF(NameConv!$C$5:$C$45,RIGHT(E299,3),OFFSET(NameConv!$CG$5,0,AV299,NameConv!$A$45,1))</f>
        <v>1</v>
      </c>
      <c r="AV299" s="495">
        <f ca="1">IF(AV298&gt;=SUMIF(NameConv!$C$5:$C$45,RIGHT(E298,3),NameConv!$CG$5:$CG$45),1,AV298+1)</f>
        <v>1</v>
      </c>
    </row>
    <row r="300" spans="1:48">
      <c r="A300" s="422" t="str">
        <f t="shared" ref="A300:A309" ca="1" si="11">IF(J300=0,"*","")</f>
        <v/>
      </c>
      <c r="B300" s="515" t="str">
        <f t="shared" si="9"/>
        <v>FLO_EMIS</v>
      </c>
      <c r="C300" s="518" t="str">
        <f ca="1">"X"&amp;OFFSET(NameConv!$F$4,0,AS300)&amp;OFFSET(NameConv!$F$59,AT300,AS300)</f>
        <v>XPWRODS</v>
      </c>
      <c r="D300" s="515" t="str">
        <f ca="1">OFFSET(NameConv!$F$4,0,AS300)&amp;OFFSET(NameConv!$AX$4,0,AU300)</f>
        <v>PWRCH4S</v>
      </c>
      <c r="E300" s="515" t="str">
        <f ca="1">OFFSET(NameConv!$F$4,0,AS300)&amp;OFFSET(NameConv!$F$59,AT300,AS300)</f>
        <v>PWRODS</v>
      </c>
      <c r="F300" s="740" t="s">
        <v>334</v>
      </c>
      <c r="G300" s="515" t="s">
        <v>337</v>
      </c>
      <c r="H300" s="740" t="s">
        <v>334</v>
      </c>
      <c r="I300" s="516">
        <v>0</v>
      </c>
      <c r="J300" s="517">
        <f ca="1">IF(E300="TRAOKE",0,SUMIF(NameConv!$C$5:$C$45,RIGHT(E300,3),OFFSET(NameConv!$AX$5,0,AU300,NameConv!$A$45,1)))</f>
        <v>3.0000000000000001E-3</v>
      </c>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c r="AS300" s="495">
        <f ca="1">IF(AND(AV299&gt;=SUMIF(NameConv!$C$5:$C$45,RIGHT(E299,3),NameConv!$CG$5:$CG$45),AT299=SUMIF(NameConv!$G$4:$M$4,LEFT(E299,3),NameConv!$G$45:$M$45)),AS299+1,AS299)</f>
        <v>6</v>
      </c>
      <c r="AT300" s="495">
        <f ca="1">IF(AS300&lt;&gt;AS299,1,IF(AV299&gt;=SUMIF(NameConv!$C$5:$C$45,RIGHT(E299,3),NameConv!$CG$5:$CG$45),AT299+1,AT299))</f>
        <v>17</v>
      </c>
      <c r="AU300" s="495">
        <f ca="1">SUMIF(NameConv!$C$5:$C$45,RIGHT(E300,3),OFFSET(NameConv!$CG$5,0,AV300,NameConv!$A$45,1))</f>
        <v>2</v>
      </c>
      <c r="AV300" s="495">
        <f ca="1">IF(AV299&gt;=SUMIF(NameConv!$C$5:$C$45,RIGHT(E299,3),NameConv!$CG$5:$CG$45),1,AV299+1)</f>
        <v>2</v>
      </c>
    </row>
    <row r="301" spans="1:48">
      <c r="A301" s="422" t="str">
        <f t="shared" ca="1" si="11"/>
        <v/>
      </c>
      <c r="B301" s="515" t="str">
        <f t="shared" si="9"/>
        <v>FLO_EMIS</v>
      </c>
      <c r="C301" s="518" t="str">
        <f ca="1">"X"&amp;OFFSET(NameConv!$F$4,0,AS301)&amp;OFFSET(NameConv!$F$59,AT301,AS301)</f>
        <v>XPWRODS</v>
      </c>
      <c r="D301" s="515" t="str">
        <f ca="1">OFFSET(NameConv!$F$4,0,AS301)&amp;OFFSET(NameConv!$AX$4,0,AU301)</f>
        <v>PWRN2OS</v>
      </c>
      <c r="E301" s="515" t="str">
        <f ca="1">OFFSET(NameConv!$F$4,0,AS301)&amp;OFFSET(NameConv!$F$59,AT301,AS301)</f>
        <v>PWRODS</v>
      </c>
      <c r="F301" s="740" t="s">
        <v>334</v>
      </c>
      <c r="G301" s="515" t="s">
        <v>337</v>
      </c>
      <c r="H301" s="740" t="s">
        <v>334</v>
      </c>
      <c r="I301" s="516">
        <v>0</v>
      </c>
      <c r="J301" s="517">
        <f ca="1">IF(E301="TRAOKE",0,SUMIF(NameConv!$C$5:$C$45,RIGHT(E301,3),OFFSET(NameConv!$AX$5,0,AU301,NameConv!$A$45,1)))</f>
        <v>5.9999999999999995E-4</v>
      </c>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c r="AS301" s="495">
        <f ca="1">IF(AND(AV300&gt;=SUMIF(NameConv!$C$5:$C$45,RIGHT(E300,3),NameConv!$CG$5:$CG$45),AT300=SUMIF(NameConv!$G$4:$M$4,LEFT(E300,3),NameConv!$G$45:$M$45)),AS300+1,AS300)</f>
        <v>6</v>
      </c>
      <c r="AT301" s="495">
        <f ca="1">IF(AS301&lt;&gt;AS300,1,IF(AV300&gt;=SUMIF(NameConv!$C$5:$C$45,RIGHT(E300,3),NameConv!$CG$5:$CG$45),AT300+1,AT300))</f>
        <v>17</v>
      </c>
      <c r="AU301" s="495">
        <f ca="1">SUMIF(NameConv!$C$5:$C$45,RIGHT(E301,3),OFFSET(NameConv!$CG$5,0,AV301,NameConv!$A$45,1))</f>
        <v>3</v>
      </c>
      <c r="AV301" s="495">
        <f ca="1">IF(AV300&gt;=SUMIF(NameConv!$C$5:$C$45,RIGHT(E300,3),NameConv!$CG$5:$CG$45),1,AV300+1)</f>
        <v>3</v>
      </c>
    </row>
    <row r="302" spans="1:48">
      <c r="A302" s="422" t="str">
        <f t="shared" ca="1" si="11"/>
        <v/>
      </c>
      <c r="B302" s="515" t="str">
        <f t="shared" si="9"/>
        <v>FLO_EMIS</v>
      </c>
      <c r="C302" s="518" t="str">
        <f ca="1">"X"&amp;OFFSET(NameConv!$F$4,0,AS302)&amp;OFFSET(NameConv!$F$59,AT302,AS302)</f>
        <v>XPWRODS</v>
      </c>
      <c r="D302" s="515" t="str">
        <f ca="1">OFFSET(NameConv!$F$4,0,AS302)&amp;OFFSET(NameConv!$AX$4,0,AU302)</f>
        <v>PWRSOXS</v>
      </c>
      <c r="E302" s="515" t="str">
        <f ca="1">OFFSET(NameConv!$F$4,0,AS302)&amp;OFFSET(NameConv!$F$59,AT302,AS302)</f>
        <v>PWRODS</v>
      </c>
      <c r="F302" s="740" t="s">
        <v>334</v>
      </c>
      <c r="G302" s="515" t="s">
        <v>337</v>
      </c>
      <c r="H302" s="740" t="s">
        <v>334</v>
      </c>
      <c r="I302" s="516">
        <v>0</v>
      </c>
      <c r="J302" s="517">
        <f ca="1">IF(E302="TRAOKE",0,SUMIF(NameConv!$C$5:$C$45,RIGHT(E302,3),OFFSET(NameConv!$AX$5,0,AU302,NameConv!$A$45,1)))</f>
        <v>0.25290000000000001</v>
      </c>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c r="AS302" s="495">
        <f ca="1">IF(AND(AV301&gt;=SUMIF(NameConv!$C$5:$C$45,RIGHT(E301,3),NameConv!$CG$5:$CG$45),AT301=SUMIF(NameConv!$G$4:$M$4,LEFT(E301,3),NameConv!$G$45:$M$45)),AS301+1,AS301)</f>
        <v>6</v>
      </c>
      <c r="AT302" s="495">
        <f ca="1">IF(AS302&lt;&gt;AS301,1,IF(AV301&gt;=SUMIF(NameConv!$C$5:$C$45,RIGHT(E301,3),NameConv!$CG$5:$CG$45),AT301+1,AT301))</f>
        <v>17</v>
      </c>
      <c r="AU302" s="495">
        <f ca="1">SUMIF(NameConv!$C$5:$C$45,RIGHT(E302,3),OFFSET(NameConv!$CG$5,0,AV302,NameConv!$A$45,1))</f>
        <v>4</v>
      </c>
      <c r="AV302" s="495">
        <f ca="1">IF(AV301&gt;=SUMIF(NameConv!$C$5:$C$45,RIGHT(E301,3),NameConv!$CG$5:$CG$45),1,AV301+1)</f>
        <v>4</v>
      </c>
    </row>
    <row r="303" spans="1:48">
      <c r="A303" s="422" t="str">
        <f t="shared" ca="1" si="11"/>
        <v/>
      </c>
      <c r="B303" s="515" t="str">
        <f t="shared" si="9"/>
        <v>FLO_EMIS</v>
      </c>
      <c r="C303" s="518" t="str">
        <f ca="1">"X"&amp;OFFSET(NameConv!$F$4,0,AS303)&amp;OFFSET(NameConv!$F$59,AT303,AS303)</f>
        <v>XPWRODS</v>
      </c>
      <c r="D303" s="515" t="str">
        <f ca="1">OFFSET(NameConv!$F$4,0,AS303)&amp;OFFSET(NameConv!$AX$4,0,AU303)</f>
        <v>PWRNOXS</v>
      </c>
      <c r="E303" s="515" t="str">
        <f ca="1">OFFSET(NameConv!$F$4,0,AS303)&amp;OFFSET(NameConv!$F$59,AT303,AS303)</f>
        <v>PWRODS</v>
      </c>
      <c r="F303" s="740" t="s">
        <v>334</v>
      </c>
      <c r="G303" s="515" t="s">
        <v>337</v>
      </c>
      <c r="H303" s="740" t="s">
        <v>334</v>
      </c>
      <c r="I303" s="516">
        <v>0</v>
      </c>
      <c r="J303" s="517">
        <f ca="1">IF(E303="TRAOKE",0,SUMIF(NameConv!$C$5:$C$45,RIGHT(E303,3),OFFSET(NameConv!$AX$5,0,AU303,NameConv!$A$45,1)))</f>
        <v>0.2</v>
      </c>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c r="AS303" s="495">
        <f ca="1">IF(AND(AV302&gt;=SUMIF(NameConv!$C$5:$C$45,RIGHT(E302,3),NameConv!$CG$5:$CG$45),AT302=SUMIF(NameConv!$G$4:$M$4,LEFT(E302,3),NameConv!$G$45:$M$45)),AS302+1,AS302)</f>
        <v>6</v>
      </c>
      <c r="AT303" s="495">
        <f ca="1">IF(AS303&lt;&gt;AS302,1,IF(AV302&gt;=SUMIF(NameConv!$C$5:$C$45,RIGHT(E302,3),NameConv!$CG$5:$CG$45),AT302+1,AT302))</f>
        <v>17</v>
      </c>
      <c r="AU303" s="495">
        <f ca="1">SUMIF(NameConv!$C$5:$C$45,RIGHT(E303,3),OFFSET(NameConv!$CG$5,0,AV303,NameConv!$A$45,1))</f>
        <v>5</v>
      </c>
      <c r="AV303" s="495">
        <f ca="1">IF(AV302&gt;=SUMIF(NameConv!$C$5:$C$45,RIGHT(E302,3),NameConv!$CG$5:$CG$45),1,AV302+1)</f>
        <v>5</v>
      </c>
    </row>
    <row r="304" spans="1:48">
      <c r="A304" s="422" t="str">
        <f t="shared" ca="1" si="11"/>
        <v/>
      </c>
      <c r="B304" s="515" t="str">
        <f t="shared" si="9"/>
        <v>FLO_EMIS</v>
      </c>
      <c r="C304" s="518" t="str">
        <f ca="1">"X"&amp;OFFSET(NameConv!$F$4,0,AS304)&amp;OFFSET(NameConv!$F$59,AT304,AS304)</f>
        <v>XPWRODS</v>
      </c>
      <c r="D304" s="515" t="str">
        <f ca="1">OFFSET(NameConv!$F$4,0,AS304)&amp;OFFSET(NameConv!$AX$4,0,AU304)</f>
        <v>PWRCMOX</v>
      </c>
      <c r="E304" s="515" t="str">
        <f ca="1">OFFSET(NameConv!$F$4,0,AS304)&amp;OFFSET(NameConv!$F$59,AT304,AS304)</f>
        <v>PWRODS</v>
      </c>
      <c r="F304" s="740" t="s">
        <v>334</v>
      </c>
      <c r="G304" s="515" t="s">
        <v>337</v>
      </c>
      <c r="H304" s="740" t="s">
        <v>334</v>
      </c>
      <c r="I304" s="516">
        <v>0</v>
      </c>
      <c r="J304" s="517">
        <f ca="1">IF(E304="TRAOKE",0,SUMIF(NameConv!$C$5:$C$45,RIGHT(E304,3),OFFSET(NameConv!$AX$5,0,AU304,NameConv!$A$45,1)))</f>
        <v>1.4999999999999999E-2</v>
      </c>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c r="AS304" s="495">
        <f ca="1">IF(AND(AV303&gt;=SUMIF(NameConv!$C$5:$C$45,RIGHT(E303,3),NameConv!$CG$5:$CG$45),AT303=SUMIF(NameConv!$G$4:$M$4,LEFT(E303,3),NameConv!$G$45:$M$45)),AS303+1,AS303)</f>
        <v>6</v>
      </c>
      <c r="AT304" s="495">
        <f ca="1">IF(AS304&lt;&gt;AS303,1,IF(AV303&gt;=SUMIF(NameConv!$C$5:$C$45,RIGHT(E303,3),NameConv!$CG$5:$CG$45),AT303+1,AT303))</f>
        <v>17</v>
      </c>
      <c r="AU304" s="495">
        <f ca="1">SUMIF(NameConv!$C$5:$C$45,RIGHT(E304,3),OFFSET(NameConv!$CG$5,0,AV304,NameConv!$A$45,1))</f>
        <v>6</v>
      </c>
      <c r="AV304" s="495">
        <f ca="1">IF(AV303&gt;=SUMIF(NameConv!$C$5:$C$45,RIGHT(E303,3),NameConv!$CG$5:$CG$45),1,AV303+1)</f>
        <v>6</v>
      </c>
    </row>
    <row r="305" spans="1:48">
      <c r="A305" s="422" t="str">
        <f t="shared" ca="1" si="11"/>
        <v/>
      </c>
      <c r="B305" s="515" t="str">
        <f t="shared" si="9"/>
        <v>FLO_EMIS</v>
      </c>
      <c r="C305" s="518" t="str">
        <f ca="1">"X"&amp;OFFSET(NameConv!$F$4,0,AS305)&amp;OFFSET(NameConv!$F$59,AT305,AS305)</f>
        <v>XPWRODS</v>
      </c>
      <c r="D305" s="515" t="str">
        <f ca="1">OFFSET(NameConv!$F$4,0,AS305)&amp;OFFSET(NameConv!$AX$4,0,AU305)</f>
        <v>PWRNMVS</v>
      </c>
      <c r="E305" s="515" t="str">
        <f ca="1">OFFSET(NameConv!$F$4,0,AS305)&amp;OFFSET(NameConv!$F$59,AT305,AS305)</f>
        <v>PWRODS</v>
      </c>
      <c r="F305" s="740" t="s">
        <v>334</v>
      </c>
      <c r="G305" s="515" t="s">
        <v>337</v>
      </c>
      <c r="H305" s="740" t="s">
        <v>334</v>
      </c>
      <c r="I305" s="516">
        <v>0</v>
      </c>
      <c r="J305" s="517">
        <f ca="1">IF(E305="TRAOKE",0,SUMIF(NameConv!$C$5:$C$45,RIGHT(E305,3),OFFSET(NameConv!$AX$5,0,AU305,NameConv!$A$45,1)))</f>
        <v>5.0000000000000001E-3</v>
      </c>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c r="AS305" s="495">
        <f ca="1">IF(AND(AV304&gt;=SUMIF(NameConv!$C$5:$C$45,RIGHT(E304,3),NameConv!$CG$5:$CG$45),AT304=SUMIF(NameConv!$G$4:$M$4,LEFT(E304,3),NameConv!$G$45:$M$45)),AS304+1,AS304)</f>
        <v>6</v>
      </c>
      <c r="AT305" s="495">
        <f ca="1">IF(AS305&lt;&gt;AS304,1,IF(AV304&gt;=SUMIF(NameConv!$C$5:$C$45,RIGHT(E304,3),NameConv!$CG$5:$CG$45),AT304+1,AT304))</f>
        <v>17</v>
      </c>
      <c r="AU305" s="495">
        <f ca="1">SUMIF(NameConv!$C$5:$C$45,RIGHT(E305,3),OFFSET(NameConv!$CG$5,0,AV305,NameConv!$A$45,1))</f>
        <v>7</v>
      </c>
      <c r="AV305" s="495">
        <f ca="1">IF(AV304&gt;=SUMIF(NameConv!$C$5:$C$45,RIGHT(E304,3),NameConv!$CG$5:$CG$45),1,AV304+1)</f>
        <v>7</v>
      </c>
    </row>
    <row r="306" spans="1:48">
      <c r="A306" s="422" t="str">
        <f t="shared" ca="1" si="11"/>
        <v>*</v>
      </c>
      <c r="B306" s="515" t="str">
        <f t="shared" si="9"/>
        <v>FLO_EMIS</v>
      </c>
      <c r="C306" s="518" t="str">
        <f ca="1">"X"&amp;OFFSET(NameConv!$F$4,0,AS306)&amp;OFFSET(NameConv!$F$59,AT306,AS306)</f>
        <v>XPWRSOL</v>
      </c>
      <c r="D306" s="515" t="str">
        <f ca="1">OFFSET(NameConv!$F$4,0,AS306)&amp;OFFSET(NameConv!$AX$4,0,AU306)</f>
        <v>PWR</v>
      </c>
      <c r="E306" s="515" t="str">
        <f ca="1">OFFSET(NameConv!$F$4,0,AS306)&amp;OFFSET(NameConv!$F$59,AT306,AS306)</f>
        <v>PWRSOL</v>
      </c>
      <c r="F306" s="740" t="s">
        <v>334</v>
      </c>
      <c r="G306" s="515" t="s">
        <v>337</v>
      </c>
      <c r="H306" s="740" t="s">
        <v>334</v>
      </c>
      <c r="I306" s="516">
        <v>0</v>
      </c>
      <c r="J306" s="517">
        <f ca="1">IF(E306="TRAOKE",0,SUMIF(NameConv!$C$5:$C$45,RIGHT(E306,3),OFFSET(NameConv!$AX$5,0,AU306,NameConv!$A$45,1)))</f>
        <v>0</v>
      </c>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c r="AS306" s="495">
        <f ca="1">IF(AND(AV305&gt;=SUMIF(NameConv!$C$5:$C$45,RIGHT(E305,3),NameConv!$CG$5:$CG$45),AT305=SUMIF(NameConv!$G$4:$M$4,LEFT(E305,3),NameConv!$G$45:$M$45)),AS305+1,AS305)</f>
        <v>6</v>
      </c>
      <c r="AT306" s="495">
        <f ca="1">IF(AS306&lt;&gt;AS305,1,IF(AV305&gt;=SUMIF(NameConv!$C$5:$C$45,RIGHT(E305,3),NameConv!$CG$5:$CG$45),AT305+1,AT305))</f>
        <v>18</v>
      </c>
      <c r="AU306" s="495">
        <f ca="1">SUMIF(NameConv!$C$5:$C$45,RIGHT(E306,3),OFFSET(NameConv!$CG$5,0,AV306,NameConv!$A$45,1))</f>
        <v>0</v>
      </c>
      <c r="AV306" s="495">
        <f ca="1">IF(AV305&gt;=SUMIF(NameConv!$C$5:$C$45,RIGHT(E305,3),NameConv!$CG$5:$CG$45),1,AV305+1)</f>
        <v>1</v>
      </c>
    </row>
    <row r="307" spans="1:48">
      <c r="A307" s="422" t="str">
        <f t="shared" ca="1" si="11"/>
        <v>*</v>
      </c>
      <c r="B307" s="515" t="str">
        <f t="shared" si="9"/>
        <v>FLO_EMIS</v>
      </c>
      <c r="C307" s="518" t="str">
        <f ca="1">"X"&amp;OFFSET(NameConv!$F$4,0,AS307)&amp;OFFSET(NameConv!$F$59,AT307,AS307)</f>
        <v>XPWRWND</v>
      </c>
      <c r="D307" s="515" t="str">
        <f ca="1">OFFSET(NameConv!$F$4,0,AS307)&amp;OFFSET(NameConv!$AX$4,0,AU307)</f>
        <v>PWR</v>
      </c>
      <c r="E307" s="515" t="str">
        <f ca="1">OFFSET(NameConv!$F$4,0,AS307)&amp;OFFSET(NameConv!$F$59,AT307,AS307)</f>
        <v>PWRWND</v>
      </c>
      <c r="F307" s="740" t="s">
        <v>334</v>
      </c>
      <c r="G307" s="515" t="s">
        <v>337</v>
      </c>
      <c r="H307" s="740" t="s">
        <v>334</v>
      </c>
      <c r="I307" s="516">
        <v>0</v>
      </c>
      <c r="J307" s="517">
        <f ca="1">IF(E307="TRAOKE",0,SUMIF(NameConv!$C$5:$C$45,RIGHT(E307,3),OFFSET(NameConv!$AX$5,0,AU307,NameConv!$A$45,1)))</f>
        <v>0</v>
      </c>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c r="AS307" s="495">
        <f ca="1">IF(AND(AV306&gt;=SUMIF(NameConv!$C$5:$C$45,RIGHT(E306,3),NameConv!$CG$5:$CG$45),AT306=SUMIF(NameConv!$G$4:$M$4,LEFT(E306,3),NameConv!$G$45:$M$45)),AS306+1,AS306)</f>
        <v>6</v>
      </c>
      <c r="AT307" s="495">
        <f ca="1">IF(AS307&lt;&gt;AS306,1,IF(AV306&gt;=SUMIF(NameConv!$C$5:$C$45,RIGHT(E306,3),NameConv!$CG$5:$CG$45),AT306+1,AT306))</f>
        <v>19</v>
      </c>
      <c r="AU307" s="495">
        <f ca="1">SUMIF(NameConv!$C$5:$C$45,RIGHT(E307,3),OFFSET(NameConv!$CG$5,0,AV307,NameConv!$A$45,1))</f>
        <v>0</v>
      </c>
      <c r="AV307" s="495">
        <f ca="1">IF(AV306&gt;=SUMIF(NameConv!$C$5:$C$45,RIGHT(E306,3),NameConv!$CG$5:$CG$45),1,AV306+1)</f>
        <v>1</v>
      </c>
    </row>
    <row r="308" spans="1:48">
      <c r="A308" s="422" t="str">
        <f t="shared" ca="1" si="11"/>
        <v>*</v>
      </c>
      <c r="B308" s="515" t="str">
        <f t="shared" si="9"/>
        <v>FLO_EMIS</v>
      </c>
      <c r="C308" s="518" t="str">
        <f ca="1">"X"&amp;OFFSET(NameConv!$F$4,0,AS308)&amp;OFFSET(NameConv!$F$59,AT308,AS308)</f>
        <v>XUPSBIE</v>
      </c>
      <c r="D308" s="515" t="str">
        <f ca="1">OFFSET(NameConv!$F$4,0,AS308)&amp;OFFSET(NameConv!$AX$4,0,AU308)</f>
        <v>UPS</v>
      </c>
      <c r="E308" s="515" t="str">
        <f ca="1">OFFSET(NameConv!$F$4,0,AS308)&amp;OFFSET(NameConv!$F$59,AT308,AS308)</f>
        <v>UPSBIE</v>
      </c>
      <c r="F308" s="740" t="s">
        <v>334</v>
      </c>
      <c r="G308" s="515" t="s">
        <v>337</v>
      </c>
      <c r="H308" s="740" t="s">
        <v>334</v>
      </c>
      <c r="I308" s="516">
        <v>0</v>
      </c>
      <c r="J308" s="517">
        <f ca="1">IF(E308="TRAOKE",0,SUMIF(NameConv!$C$5:$C$45,RIGHT(E308,3),OFFSET(NameConv!$AX$5,0,AU308,NameConv!$A$45,1)))</f>
        <v>0</v>
      </c>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c r="AS308" s="495">
        <f ca="1">IF(AND(AV307&gt;=SUMIF(NameConv!$C$5:$C$45,RIGHT(E307,3),NameConv!$CG$5:$CG$45),AT307=SUMIF(NameConv!$G$4:$M$4,LEFT(E307,3),NameConv!$G$45:$M$45)),AS307+1,AS307)</f>
        <v>7</v>
      </c>
      <c r="AT308" s="495">
        <f ca="1">IF(AS308&lt;&gt;AS307,1,IF(AV307&gt;=SUMIF(NameConv!$C$5:$C$45,RIGHT(E307,3),NameConv!$CG$5:$CG$45),AT307+1,AT307))</f>
        <v>1</v>
      </c>
      <c r="AU308" s="495">
        <f ca="1">SUMIF(NameConv!$C$5:$C$45,RIGHT(E308,3),OFFSET(NameConv!$CG$5,0,AV308,NameConv!$A$45,1))</f>
        <v>0</v>
      </c>
      <c r="AV308" s="495">
        <f ca="1">IF(AV307&gt;=SUMIF(NameConv!$C$5:$C$45,RIGHT(E307,3),NameConv!$CG$5:$CG$45),1,AV307+1)</f>
        <v>1</v>
      </c>
    </row>
    <row r="309" spans="1:48">
      <c r="A309" s="422" t="str">
        <f t="shared" ca="1" si="11"/>
        <v>*</v>
      </c>
      <c r="B309" s="515" t="str">
        <f t="shared" si="9"/>
        <v>FLO_EMIS</v>
      </c>
      <c r="C309" s="518" t="str">
        <f ca="1">"X"&amp;OFFSET(NameConv!$F$4,0,AS309)&amp;OFFSET(NameConv!$F$59,AT309,AS309)</f>
        <v>XUPSBID</v>
      </c>
      <c r="D309" s="515" t="str">
        <f ca="1">OFFSET(NameConv!$F$4,0,AS309)&amp;OFFSET(NameConv!$AX$4,0,AU309)</f>
        <v>UPS</v>
      </c>
      <c r="E309" s="515" t="str">
        <f ca="1">OFFSET(NameConv!$F$4,0,AS309)&amp;OFFSET(NameConv!$F$59,AT309,AS309)</f>
        <v>UPSBID</v>
      </c>
      <c r="F309" s="740" t="s">
        <v>334</v>
      </c>
      <c r="G309" s="515" t="s">
        <v>337</v>
      </c>
      <c r="H309" s="740" t="s">
        <v>334</v>
      </c>
      <c r="I309" s="516">
        <v>0</v>
      </c>
      <c r="J309" s="517">
        <f ca="1">IF(E309="TRAOKE",0,SUMIF(NameConv!$C$5:$C$45,RIGHT(E309,3),OFFSET(NameConv!$AX$5,0,AU309,NameConv!$A$45,1)))</f>
        <v>0</v>
      </c>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c r="AS309" s="495">
        <f ca="1">IF(AND(AV308&gt;=SUMIF(NameConv!$C$5:$C$45,RIGHT(E308,3),NameConv!$CG$5:$CG$45),AT308=SUMIF(NameConv!$G$4:$M$4,LEFT(E308,3),NameConv!$G$45:$M$45)),AS308+1,AS308)</f>
        <v>7</v>
      </c>
      <c r="AT309" s="495">
        <f ca="1">IF(AS309&lt;&gt;AS308,1,IF(AV308&gt;=SUMIF(NameConv!$C$5:$C$45,RIGHT(E308,3),NameConv!$CG$5:$CG$45),AT308+1,AT308))</f>
        <v>2</v>
      </c>
      <c r="AU309" s="495">
        <f ca="1">SUMIF(NameConv!$C$5:$C$45,RIGHT(E309,3),OFFSET(NameConv!$CG$5,0,AV309,NameConv!$A$45,1))</f>
        <v>0</v>
      </c>
      <c r="AV309" s="495">
        <f ca="1">IF(AV308&gt;=SUMIF(NameConv!$C$5:$C$45,RIGHT(E308,3),NameConv!$CG$5:$CG$45),1,AV308+1)</f>
        <v>1</v>
      </c>
    </row>
    <row r="310" spans="1:48">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row r="311" spans="1:48">
      <c r="B311" s="515"/>
      <c r="C311" s="518"/>
      <c r="D311" s="515"/>
      <c r="E311" s="515"/>
      <c r="F311" s="740"/>
      <c r="G311" s="515"/>
      <c r="H311" s="740"/>
      <c r="I311" s="516"/>
      <c r="J311" s="517"/>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R311" s="518"/>
    </row>
    <row r="312" spans="1:48">
      <c r="B312" s="515"/>
      <c r="C312" s="518"/>
      <c r="D312" s="515"/>
      <c r="E312" s="515"/>
      <c r="F312" s="740"/>
      <c r="G312" s="515"/>
      <c r="H312" s="740"/>
      <c r="I312" s="516"/>
      <c r="J312" s="517"/>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R312" s="518"/>
    </row>
    <row r="313" spans="1:48">
      <c r="B313" s="515"/>
      <c r="C313" s="518"/>
      <c r="D313" s="515"/>
      <c r="E313" s="515"/>
      <c r="F313" s="740"/>
      <c r="G313" s="515"/>
      <c r="H313" s="740"/>
      <c r="I313" s="516"/>
      <c r="J313" s="517"/>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R313" s="518"/>
    </row>
    <row r="314" spans="1:48">
      <c r="B314" s="515"/>
      <c r="C314" s="518"/>
      <c r="D314" s="515"/>
      <c r="E314" s="515"/>
      <c r="F314" s="740"/>
      <c r="G314" s="515"/>
      <c r="H314" s="740"/>
      <c r="I314" s="516"/>
      <c r="J314" s="517"/>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R314" s="518"/>
    </row>
    <row r="315" spans="1:48">
      <c r="B315" s="515"/>
      <c r="C315" s="518"/>
      <c r="D315" s="515"/>
      <c r="E315" s="515"/>
      <c r="F315" s="740"/>
      <c r="G315" s="515"/>
      <c r="H315" s="740"/>
      <c r="I315" s="516"/>
      <c r="J315" s="517"/>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R315" s="518"/>
    </row>
    <row r="316" spans="1:48">
      <c r="B316" s="515"/>
      <c r="C316" s="518"/>
      <c r="D316" s="515"/>
      <c r="E316" s="515"/>
      <c r="F316" s="740"/>
      <c r="G316" s="515"/>
      <c r="H316" s="740"/>
      <c r="I316" s="516"/>
      <c r="J316" s="517"/>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R316" s="518"/>
    </row>
    <row r="317" spans="1:48">
      <c r="B317" s="515"/>
      <c r="C317" s="518"/>
      <c r="D317" s="515"/>
      <c r="E317" s="515"/>
      <c r="F317" s="740"/>
      <c r="G317" s="515"/>
      <c r="H317" s="740"/>
      <c r="I317" s="516"/>
      <c r="J317" s="517"/>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R317" s="518"/>
    </row>
    <row r="318" spans="1:48">
      <c r="B318" s="515"/>
      <c r="C318" s="518"/>
      <c r="D318" s="515"/>
      <c r="E318" s="515"/>
      <c r="F318" s="740"/>
      <c r="G318" s="515"/>
      <c r="H318" s="740"/>
      <c r="I318" s="516"/>
      <c r="J318" s="517"/>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R318" s="518"/>
    </row>
    <row r="319" spans="1:48">
      <c r="B319" s="515"/>
      <c r="C319" s="518"/>
      <c r="D319" s="515"/>
      <c r="E319" s="515"/>
      <c r="F319" s="740"/>
      <c r="G319" s="515"/>
      <c r="H319" s="740"/>
      <c r="I319" s="516"/>
      <c r="J319" s="517"/>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R319" s="518"/>
    </row>
    <row r="320" spans="1:48">
      <c r="B320" s="515"/>
      <c r="C320" s="518"/>
      <c r="D320" s="515"/>
      <c r="E320" s="515"/>
      <c r="F320" s="740"/>
      <c r="G320" s="515"/>
      <c r="H320" s="740"/>
      <c r="I320" s="516"/>
      <c r="J320" s="517"/>
      <c r="K320" s="518"/>
      <c r="L320" s="518"/>
      <c r="M320" s="518"/>
      <c r="N320" s="518"/>
      <c r="O320" s="518"/>
      <c r="P320" s="518"/>
      <c r="Q320" s="518"/>
      <c r="R320" s="518"/>
      <c r="S320" s="518"/>
      <c r="T320" s="518"/>
      <c r="U320" s="518"/>
      <c r="V320" s="518"/>
      <c r="W320" s="518"/>
      <c r="X320" s="518"/>
      <c r="Y320" s="518"/>
      <c r="Z320" s="518"/>
      <c r="AA320" s="518"/>
      <c r="AB320" s="518"/>
      <c r="AC320" s="518"/>
      <c r="AD320" s="518"/>
      <c r="AE320" s="518"/>
      <c r="AF320" s="518"/>
      <c r="AG320" s="518"/>
      <c r="AH320" s="518"/>
      <c r="AI320" s="518"/>
      <c r="AJ320" s="518"/>
      <c r="AK320" s="518"/>
      <c r="AL320" s="518"/>
      <c r="AM320" s="518"/>
      <c r="AN320" s="518"/>
      <c r="AO320" s="518"/>
      <c r="AP320" s="518"/>
      <c r="AQ320" s="518"/>
      <c r="AR320" s="518"/>
    </row>
    <row r="321" spans="2:44">
      <c r="B321" s="515"/>
      <c r="C321" s="518"/>
      <c r="D321" s="515"/>
      <c r="E321" s="515"/>
      <c r="F321" s="740"/>
      <c r="G321" s="515"/>
      <c r="H321" s="740"/>
      <c r="I321" s="516"/>
      <c r="J321" s="517"/>
      <c r="K321" s="518"/>
      <c r="L321" s="518"/>
      <c r="M321" s="518"/>
      <c r="N321" s="518"/>
      <c r="O321" s="518"/>
      <c r="P321" s="518"/>
      <c r="Q321" s="518"/>
      <c r="R321" s="518"/>
      <c r="S321" s="518"/>
      <c r="T321" s="518"/>
      <c r="U321" s="518"/>
      <c r="V321" s="518"/>
      <c r="W321" s="518"/>
      <c r="X321" s="518"/>
      <c r="Y321" s="518"/>
      <c r="Z321" s="518"/>
      <c r="AA321" s="518"/>
      <c r="AB321" s="518"/>
      <c r="AC321" s="518"/>
      <c r="AD321" s="518"/>
      <c r="AE321" s="518"/>
      <c r="AF321" s="518"/>
      <c r="AG321" s="518"/>
      <c r="AH321" s="518"/>
      <c r="AI321" s="518"/>
      <c r="AJ321" s="518"/>
      <c r="AK321" s="518"/>
      <c r="AL321" s="518"/>
      <c r="AM321" s="518"/>
      <c r="AN321" s="518"/>
      <c r="AO321" s="518"/>
      <c r="AP321" s="518"/>
      <c r="AQ321" s="518"/>
      <c r="AR321" s="518"/>
    </row>
    <row r="322" spans="2:44">
      <c r="B322" s="515"/>
      <c r="C322" s="518"/>
      <c r="D322" s="515"/>
      <c r="E322" s="515"/>
      <c r="F322" s="740"/>
      <c r="G322" s="515"/>
      <c r="H322" s="740"/>
      <c r="I322" s="516"/>
      <c r="J322" s="517"/>
      <c r="K322" s="518"/>
      <c r="L322" s="518"/>
      <c r="M322" s="518"/>
      <c r="N322" s="518"/>
      <c r="O322" s="518"/>
      <c r="P322" s="518"/>
      <c r="Q322" s="518"/>
      <c r="R322" s="518"/>
      <c r="S322" s="518"/>
      <c r="T322" s="518"/>
      <c r="U322" s="518"/>
      <c r="V322" s="518"/>
      <c r="W322" s="518"/>
      <c r="X322" s="518"/>
      <c r="Y322" s="518"/>
      <c r="Z322" s="518"/>
      <c r="AA322" s="518"/>
      <c r="AB322" s="518"/>
      <c r="AC322" s="518"/>
      <c r="AD322" s="518"/>
      <c r="AE322" s="518"/>
      <c r="AF322" s="518"/>
      <c r="AG322" s="518"/>
      <c r="AH322" s="518"/>
      <c r="AI322" s="518"/>
      <c r="AJ322" s="518"/>
      <c r="AK322" s="518"/>
      <c r="AL322" s="518"/>
      <c r="AM322" s="518"/>
      <c r="AN322" s="518"/>
      <c r="AO322" s="518"/>
      <c r="AP322" s="518"/>
      <c r="AQ322" s="518"/>
      <c r="AR322" s="518"/>
    </row>
    <row r="323" spans="2:44">
      <c r="B323" s="515"/>
      <c r="C323" s="518"/>
      <c r="D323" s="515"/>
      <c r="E323" s="515"/>
      <c r="F323" s="740"/>
      <c r="G323" s="515"/>
      <c r="H323" s="740"/>
      <c r="I323" s="516"/>
      <c r="J323" s="517"/>
      <c r="K323" s="518"/>
      <c r="L323" s="518"/>
      <c r="M323" s="518"/>
      <c r="N323" s="518"/>
      <c r="O323" s="518"/>
      <c r="P323" s="518"/>
      <c r="Q323" s="518"/>
      <c r="R323" s="518"/>
      <c r="S323" s="518"/>
      <c r="T323" s="518"/>
      <c r="U323" s="518"/>
      <c r="V323" s="518"/>
      <c r="W323" s="518"/>
      <c r="X323" s="518"/>
      <c r="Y323" s="518"/>
      <c r="Z323" s="518"/>
      <c r="AA323" s="518"/>
      <c r="AB323" s="518"/>
      <c r="AC323" s="518"/>
      <c r="AD323" s="518"/>
      <c r="AE323" s="518"/>
      <c r="AF323" s="518"/>
      <c r="AG323" s="518"/>
      <c r="AH323" s="518"/>
      <c r="AI323" s="518"/>
      <c r="AJ323" s="518"/>
      <c r="AK323" s="518"/>
      <c r="AL323" s="518"/>
      <c r="AM323" s="518"/>
      <c r="AN323" s="518"/>
      <c r="AO323" s="518"/>
      <c r="AP323" s="518"/>
      <c r="AQ323" s="518"/>
      <c r="AR323" s="518"/>
    </row>
    <row r="324" spans="2:44">
      <c r="B324" s="515"/>
      <c r="C324" s="518"/>
      <c r="D324" s="515"/>
      <c r="E324" s="515"/>
      <c r="F324" s="740"/>
      <c r="G324" s="515"/>
      <c r="H324" s="740"/>
      <c r="I324" s="516"/>
      <c r="J324" s="517"/>
      <c r="K324" s="518"/>
      <c r="L324" s="518"/>
      <c r="M324" s="518"/>
      <c r="N324" s="518"/>
      <c r="O324" s="518"/>
      <c r="P324" s="518"/>
      <c r="Q324" s="518"/>
      <c r="R324" s="518"/>
      <c r="S324" s="518"/>
      <c r="T324" s="518"/>
      <c r="U324" s="518"/>
      <c r="V324" s="518"/>
      <c r="W324" s="518"/>
      <c r="X324" s="518"/>
      <c r="Y324" s="518"/>
      <c r="Z324" s="518"/>
      <c r="AA324" s="518"/>
      <c r="AB324" s="518"/>
      <c r="AC324" s="518"/>
      <c r="AD324" s="518"/>
      <c r="AE324" s="518"/>
      <c r="AF324" s="518"/>
      <c r="AG324" s="518"/>
      <c r="AH324" s="518"/>
      <c r="AI324" s="518"/>
      <c r="AJ324" s="518"/>
      <c r="AK324" s="518"/>
      <c r="AL324" s="518"/>
      <c r="AM324" s="518"/>
      <c r="AN324" s="518"/>
      <c r="AO324" s="518"/>
      <c r="AP324" s="518"/>
      <c r="AQ324" s="518"/>
      <c r="AR324" s="518"/>
    </row>
    <row r="325" spans="2:44">
      <c r="B325" s="515"/>
      <c r="C325" s="518"/>
      <c r="D325" s="515"/>
      <c r="E325" s="515"/>
      <c r="F325" s="740"/>
      <c r="G325" s="515"/>
      <c r="H325" s="740"/>
      <c r="I325" s="516"/>
      <c r="J325" s="517"/>
      <c r="K325" s="518"/>
      <c r="L325" s="518"/>
      <c r="M325" s="518"/>
      <c r="N325" s="518"/>
      <c r="O325" s="518"/>
      <c r="P325" s="518"/>
      <c r="Q325" s="518"/>
      <c r="R325" s="518"/>
      <c r="S325" s="518"/>
      <c r="T325" s="518"/>
      <c r="U325" s="518"/>
      <c r="V325" s="518"/>
      <c r="W325" s="518"/>
      <c r="X325" s="518"/>
      <c r="Y325" s="518"/>
      <c r="Z325" s="518"/>
      <c r="AA325" s="518"/>
      <c r="AB325" s="518"/>
      <c r="AC325" s="518"/>
      <c r="AD325" s="518"/>
      <c r="AE325" s="518"/>
      <c r="AF325" s="518"/>
      <c r="AG325" s="518"/>
      <c r="AH325" s="518"/>
      <c r="AI325" s="518"/>
      <c r="AJ325" s="518"/>
      <c r="AK325" s="518"/>
      <c r="AL325" s="518"/>
      <c r="AM325" s="518"/>
      <c r="AN325" s="518"/>
      <c r="AO325" s="518"/>
      <c r="AP325" s="518"/>
      <c r="AQ325" s="518"/>
      <c r="AR325" s="518"/>
    </row>
    <row r="326" spans="2:44">
      <c r="B326" s="515"/>
      <c r="C326" s="518"/>
      <c r="D326" s="515"/>
      <c r="E326" s="515"/>
      <c r="F326" s="740"/>
      <c r="G326" s="515"/>
      <c r="H326" s="740"/>
      <c r="I326" s="516"/>
      <c r="J326" s="517"/>
      <c r="K326" s="518"/>
      <c r="L326" s="518"/>
      <c r="M326" s="518"/>
      <c r="N326" s="518"/>
      <c r="O326" s="518"/>
      <c r="P326" s="518"/>
      <c r="Q326" s="518"/>
      <c r="R326" s="518"/>
      <c r="S326" s="518"/>
      <c r="T326" s="518"/>
      <c r="U326" s="518"/>
      <c r="V326" s="518"/>
      <c r="W326" s="518"/>
      <c r="X326" s="518"/>
      <c r="Y326" s="518"/>
      <c r="Z326" s="518"/>
      <c r="AA326" s="518"/>
      <c r="AB326" s="518"/>
      <c r="AC326" s="518"/>
      <c r="AD326" s="518"/>
      <c r="AE326" s="518"/>
      <c r="AF326" s="518"/>
      <c r="AG326" s="518"/>
      <c r="AH326" s="518"/>
      <c r="AI326" s="518"/>
      <c r="AJ326" s="518"/>
      <c r="AK326" s="518"/>
      <c r="AL326" s="518"/>
      <c r="AM326" s="518"/>
      <c r="AN326" s="518"/>
      <c r="AO326" s="518"/>
      <c r="AP326" s="518"/>
      <c r="AQ326" s="518"/>
      <c r="AR326" s="518"/>
    </row>
    <row r="327" spans="2:44">
      <c r="B327" s="515"/>
      <c r="C327" s="518"/>
      <c r="D327" s="515"/>
      <c r="E327" s="515"/>
      <c r="F327" s="740"/>
      <c r="G327" s="515"/>
      <c r="H327" s="740"/>
      <c r="I327" s="516"/>
      <c r="J327" s="517"/>
      <c r="K327" s="518"/>
      <c r="L327" s="518"/>
      <c r="M327" s="518"/>
      <c r="N327" s="518"/>
      <c r="O327" s="518"/>
      <c r="P327" s="518"/>
      <c r="Q327" s="518"/>
      <c r="R327" s="518"/>
      <c r="S327" s="518"/>
      <c r="T327" s="518"/>
      <c r="U327" s="518"/>
      <c r="V327" s="518"/>
      <c r="W327" s="518"/>
      <c r="X327" s="518"/>
      <c r="Y327" s="518"/>
      <c r="Z327" s="518"/>
      <c r="AA327" s="518"/>
      <c r="AB327" s="518"/>
      <c r="AC327" s="518"/>
      <c r="AD327" s="518"/>
      <c r="AE327" s="518"/>
      <c r="AF327" s="518"/>
      <c r="AG327" s="518"/>
      <c r="AH327" s="518"/>
      <c r="AI327" s="518"/>
      <c r="AJ327" s="518"/>
      <c r="AK327" s="518"/>
      <c r="AL327" s="518"/>
      <c r="AM327" s="518"/>
      <c r="AN327" s="518"/>
      <c r="AO327" s="518"/>
      <c r="AP327" s="518"/>
      <c r="AQ327" s="518"/>
      <c r="AR327" s="518"/>
    </row>
  </sheetData>
  <conditionalFormatting sqref="AS12:AS327">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308"/>
  <sheetViews>
    <sheetView tabSelected="1" topLeftCell="A256" workbookViewId="0">
      <selection activeCell="A306" sqref="A306:XFD308"/>
    </sheetView>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308"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308"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
      </c>
      <c r="B290" s="515" t="str">
        <f t="shared" si="20"/>
        <v>TOP-OUT</v>
      </c>
      <c r="C290" s="518" t="str">
        <f ca="1">"X"&amp;OFFSET(NameConv!$F$4,0,L290)&amp;OFFSET(NameConv!$F$59,M290,L290)</f>
        <v>XPWRGIC</v>
      </c>
      <c r="D290" s="515" t="str">
        <f ca="1">OFFSET(NameConv!$F$4,0,L290)&amp;OFFSET(NameConv!$AX$4,0,N290)</f>
        <v>PWRCO2S</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1</v>
      </c>
      <c r="O290" s="495">
        <f ca="1">IF(O289&gt;=SUMIF(NameConv!$C$5:$C$45,RIGHT(C289,3),NameConv!$CG$5:$CG$45),1,O289+1)</f>
        <v>1</v>
      </c>
    </row>
    <row r="291" spans="1:15">
      <c r="A291" s="422" t="str">
        <f t="shared" ca="1" si="21"/>
        <v/>
      </c>
      <c r="B291" s="515" t="str">
        <f t="shared" si="20"/>
        <v>TOP-OUT</v>
      </c>
      <c r="C291" s="518" t="str">
        <f ca="1">"X"&amp;OFFSET(NameConv!$F$4,0,L291)&amp;OFFSET(NameConv!$F$59,M291,L291)</f>
        <v>XPWRGIC</v>
      </c>
      <c r="D291" s="515" t="str">
        <f ca="1">OFFSET(NameConv!$F$4,0,L291)&amp;OFFSET(NameConv!$AX$4,0,N291)</f>
        <v>PWRCH4S</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13</v>
      </c>
      <c r="N291" s="495">
        <f ca="1">SUMIF(NameConv!$C$5:$C$45,RIGHT(C291,3),OFFSET(NameConv!$CG$5,0,O291,NameConv!$A$45,1))</f>
        <v>2</v>
      </c>
      <c r="O291" s="495">
        <f ca="1">IF(O290&gt;=SUMIF(NameConv!$C$5:$C$45,RIGHT(C290,3),NameConv!$CG$5:$CG$45),1,O290+1)</f>
        <v>2</v>
      </c>
    </row>
    <row r="292" spans="1:15">
      <c r="A292" s="422" t="str">
        <f t="shared" ca="1" si="21"/>
        <v/>
      </c>
      <c r="B292" s="515" t="str">
        <f t="shared" si="20"/>
        <v>TOP-OUT</v>
      </c>
      <c r="C292" s="518" t="str">
        <f ca="1">"X"&amp;OFFSET(NameConv!$F$4,0,L292)&amp;OFFSET(NameConv!$F$59,M292,L292)</f>
        <v>XPWRGIC</v>
      </c>
      <c r="D292" s="515" t="str">
        <f ca="1">OFFSET(NameConv!$F$4,0,L292)&amp;OFFSET(NameConv!$AX$4,0,N292)</f>
        <v>PWRN2OS</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13</v>
      </c>
      <c r="N292" s="495">
        <f ca="1">SUMIF(NameConv!$C$5:$C$45,RIGHT(C292,3),OFFSET(NameConv!$CG$5,0,O292,NameConv!$A$45,1))</f>
        <v>3</v>
      </c>
      <c r="O292" s="495">
        <f ca="1">IF(O291&gt;=SUMIF(NameConv!$C$5:$C$45,RIGHT(C291,3),NameConv!$CG$5:$CG$45),1,O291+1)</f>
        <v>3</v>
      </c>
    </row>
    <row r="293" spans="1:15">
      <c r="A293" s="422" t="str">
        <f t="shared" ca="1" si="21"/>
        <v/>
      </c>
      <c r="B293" s="515" t="str">
        <f t="shared" si="20"/>
        <v>TOP-OUT</v>
      </c>
      <c r="C293" s="518" t="str">
        <f ca="1">"X"&amp;OFFSET(NameConv!$F$4,0,L293)&amp;OFFSET(NameConv!$F$59,M293,L293)</f>
        <v>XPWRGIC</v>
      </c>
      <c r="D293" s="515" t="str">
        <f ca="1">OFFSET(NameConv!$F$4,0,L293)&amp;OFFSET(NameConv!$AX$4,0,N293)</f>
        <v>PWRNOXS</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13</v>
      </c>
      <c r="N293" s="495">
        <f ca="1">SUMIF(NameConv!$C$5:$C$45,RIGHT(C293,3),OFFSET(NameConv!$CG$5,0,O293,NameConv!$A$45,1))</f>
        <v>5</v>
      </c>
      <c r="O293" s="495">
        <f ca="1">IF(O292&gt;=SUMIF(NameConv!$C$5:$C$45,RIGHT(C292,3),NameConv!$CG$5:$CG$45),1,O292+1)</f>
        <v>4</v>
      </c>
    </row>
    <row r="294" spans="1:15">
      <c r="A294" s="422" t="str">
        <f t="shared" ref="A294:A299" ca="1" si="23">IF(LEN(D294)=3,"*","")</f>
        <v/>
      </c>
      <c r="B294" s="515" t="str">
        <f t="shared" si="20"/>
        <v>TOP-OUT</v>
      </c>
      <c r="C294" s="518" t="str">
        <f ca="1">"X"&amp;OFFSET(NameConv!$F$4,0,L294)&amp;OFFSET(NameConv!$F$59,M294,L294)</f>
        <v>XPWRGIC</v>
      </c>
      <c r="D294" s="515" t="str">
        <f ca="1">OFFSET(NameConv!$F$4,0,L294)&amp;OFFSET(NameConv!$AX$4,0,N294)</f>
        <v>PWRCMOX</v>
      </c>
      <c r="E294" s="740" t="s">
        <v>334</v>
      </c>
      <c r="F294" s="740" t="s">
        <v>334</v>
      </c>
      <c r="G294" s="740" t="s">
        <v>334</v>
      </c>
      <c r="H294" s="740" t="s">
        <v>334</v>
      </c>
      <c r="I294" s="516">
        <f t="shared" si="22"/>
        <v>1</v>
      </c>
      <c r="J294" s="516"/>
      <c r="K294" s="516"/>
      <c r="L294" s="495">
        <f ca="1">IF(AND(O293&gt;=SUMIF(NameConv!$C$5:$C$45,RIGHT(C293,3),NameConv!$CG$5:$CG$45),M293=SUMIF(NameConv!$G$4:$M$4,MID(C293,2,3),NameConv!$G$45:$M$45)),L293+1,L293)</f>
        <v>6</v>
      </c>
      <c r="M294" s="495">
        <f ca="1">IF(L294&lt;&gt;L293,1,IF(O293&gt;=SUMIF(NameConv!$C$5:$C$45,RIGHT(C293,3),NameConv!$CG$5:$CG$45),M293+1,M293))</f>
        <v>13</v>
      </c>
      <c r="N294" s="495">
        <f ca="1">SUMIF(NameConv!$C$5:$C$45,RIGHT(C294,3),OFFSET(NameConv!$CG$5,0,O294,NameConv!$A$45,1))</f>
        <v>6</v>
      </c>
      <c r="O294" s="495">
        <f ca="1">IF(O293&gt;=SUMIF(NameConv!$C$5:$C$45,RIGHT(C293,3),NameConv!$CG$5:$CG$45),1,O293+1)</f>
        <v>5</v>
      </c>
    </row>
    <row r="295" spans="1:15">
      <c r="A295" s="422" t="str">
        <f t="shared" ca="1" si="23"/>
        <v/>
      </c>
      <c r="B295" s="515" t="str">
        <f t="shared" si="20"/>
        <v>TOP-OUT</v>
      </c>
      <c r="C295" s="518" t="str">
        <f ca="1">"X"&amp;OFFSET(NameConv!$F$4,0,L295)&amp;OFFSET(NameConv!$F$59,M295,L295)</f>
        <v>XPWRGIC</v>
      </c>
      <c r="D295" s="515" t="str">
        <f ca="1">OFFSET(NameConv!$F$4,0,L295)&amp;OFFSET(NameConv!$AX$4,0,N295)</f>
        <v>PWRNMVS</v>
      </c>
      <c r="E295" s="740" t="s">
        <v>334</v>
      </c>
      <c r="F295" s="740" t="s">
        <v>334</v>
      </c>
      <c r="G295" s="740" t="s">
        <v>334</v>
      </c>
      <c r="H295" s="740" t="s">
        <v>334</v>
      </c>
      <c r="I295" s="516">
        <f t="shared" si="22"/>
        <v>1</v>
      </c>
      <c r="J295" s="516"/>
      <c r="K295" s="516"/>
      <c r="L295" s="495">
        <f ca="1">IF(AND(O294&gt;=SUMIF(NameConv!$C$5:$C$45,RIGHT(C294,3),NameConv!$CG$5:$CG$45),M294=SUMIF(NameConv!$G$4:$M$4,MID(C294,2,3),NameConv!$G$45:$M$45)),L294+1,L294)</f>
        <v>6</v>
      </c>
      <c r="M295" s="495">
        <f ca="1">IF(L295&lt;&gt;L294,1,IF(O294&gt;=SUMIF(NameConv!$C$5:$C$45,RIGHT(C294,3),NameConv!$CG$5:$CG$45),M294+1,M294))</f>
        <v>13</v>
      </c>
      <c r="N295" s="495">
        <f ca="1">SUMIF(NameConv!$C$5:$C$45,RIGHT(C295,3),OFFSET(NameConv!$CG$5,0,O295,NameConv!$A$45,1))</f>
        <v>7</v>
      </c>
      <c r="O295" s="495">
        <f ca="1">IF(O294&gt;=SUMIF(NameConv!$C$5:$C$45,RIGHT(C294,3),NameConv!$CG$5:$CG$45),1,O294+1)</f>
        <v>6</v>
      </c>
    </row>
    <row r="296" spans="1:15">
      <c r="A296" s="422" t="str">
        <f t="shared" ca="1" si="23"/>
        <v>*</v>
      </c>
      <c r="B296" s="515" t="str">
        <f t="shared" si="20"/>
        <v>TOP-OUT</v>
      </c>
      <c r="C296" s="518" t="str">
        <f ca="1">"X"&amp;OFFSET(NameConv!$F$4,0,L296)&amp;OFFSET(NameConv!$F$59,M296,L296)</f>
        <v>XPWRHYD</v>
      </c>
      <c r="D296" s="515" t="str">
        <f ca="1">OFFSET(NameConv!$F$4,0,L296)&amp;OFFSET(NameConv!$AX$4,0,N296)</f>
        <v>PWR</v>
      </c>
      <c r="E296" s="740" t="s">
        <v>334</v>
      </c>
      <c r="F296" s="740" t="s">
        <v>334</v>
      </c>
      <c r="G296" s="740" t="s">
        <v>334</v>
      </c>
      <c r="H296" s="740" t="s">
        <v>334</v>
      </c>
      <c r="I296" s="516">
        <f t="shared" si="22"/>
        <v>1</v>
      </c>
      <c r="J296" s="516"/>
      <c r="K296" s="516"/>
      <c r="L296" s="495">
        <f ca="1">IF(AND(O295&gt;=SUMIF(NameConv!$C$5:$C$45,RIGHT(C295,3),NameConv!$CG$5:$CG$45),M295=SUMIF(NameConv!$G$4:$M$4,MID(C295,2,3),NameConv!$G$45:$M$45)),L295+1,L295)</f>
        <v>6</v>
      </c>
      <c r="M296" s="495">
        <f ca="1">IF(L296&lt;&gt;L295,1,IF(O295&gt;=SUMIF(NameConv!$C$5:$C$45,RIGHT(C295,3),NameConv!$CG$5:$CG$45),M295+1,M295))</f>
        <v>14</v>
      </c>
      <c r="N296" s="495">
        <f ca="1">SUMIF(NameConv!$C$5:$C$45,RIGHT(C296,3),OFFSET(NameConv!$CG$5,0,O296,NameConv!$A$45,1))</f>
        <v>0</v>
      </c>
      <c r="O296" s="495">
        <f ca="1">IF(O295&gt;=SUMIF(NameConv!$C$5:$C$45,RIGHT(C295,3),NameConv!$CG$5:$CG$45),1,O295+1)</f>
        <v>1</v>
      </c>
    </row>
    <row r="297" spans="1:15">
      <c r="A297" s="422" t="str">
        <f t="shared" ca="1" si="23"/>
        <v>*</v>
      </c>
      <c r="B297" s="515" t="str">
        <f t="shared" si="20"/>
        <v>TOP-OUT</v>
      </c>
      <c r="C297" s="518" t="str">
        <f ca="1">"X"&amp;OFFSET(NameConv!$F$4,0,L297)&amp;OFFSET(NameConv!$F$59,M297,L297)</f>
        <v>XPWRHGN</v>
      </c>
      <c r="D297" s="515" t="str">
        <f ca="1">OFFSET(NameConv!$F$4,0,L297)&amp;OFFSET(NameConv!$AX$4,0,N297)</f>
        <v>PWR</v>
      </c>
      <c r="E297" s="740" t="s">
        <v>334</v>
      </c>
      <c r="F297" s="740" t="s">
        <v>334</v>
      </c>
      <c r="G297" s="740" t="s">
        <v>334</v>
      </c>
      <c r="H297" s="740" t="s">
        <v>334</v>
      </c>
      <c r="I297" s="516">
        <f t="shared" si="22"/>
        <v>1</v>
      </c>
      <c r="J297" s="516"/>
      <c r="K297" s="516"/>
      <c r="L297" s="495">
        <f ca="1">IF(AND(O296&gt;=SUMIF(NameConv!$C$5:$C$45,RIGHT(C296,3),NameConv!$CG$5:$CG$45),M296=SUMIF(NameConv!$G$4:$M$4,MID(C296,2,3),NameConv!$G$45:$M$45)),L296+1,L296)</f>
        <v>6</v>
      </c>
      <c r="M297" s="495">
        <f ca="1">IF(L297&lt;&gt;L296,1,IF(O296&gt;=SUMIF(NameConv!$C$5:$C$45,RIGHT(C296,3),NameConv!$CG$5:$CG$45),M296+1,M296))</f>
        <v>15</v>
      </c>
      <c r="N297" s="495">
        <f ca="1">SUMIF(NameConv!$C$5:$C$45,RIGHT(C297,3),OFFSET(NameConv!$CG$5,0,O297,NameConv!$A$45,1))</f>
        <v>0</v>
      </c>
      <c r="O297" s="495">
        <f ca="1">IF(O296&gt;=SUMIF(NameConv!$C$5:$C$45,RIGHT(C296,3),NameConv!$CG$5:$CG$45),1,O296+1)</f>
        <v>1</v>
      </c>
    </row>
    <row r="298" spans="1:15">
      <c r="A298" s="422" t="str">
        <f t="shared" ca="1" si="23"/>
        <v>*</v>
      </c>
      <c r="B298" s="515" t="str">
        <f t="shared" si="20"/>
        <v>TOP-OUT</v>
      </c>
      <c r="C298" s="518" t="str">
        <f ca="1">"X"&amp;OFFSET(NameConv!$F$4,0,L298)&amp;OFFSET(NameConv!$F$59,M298,L298)</f>
        <v>XPWRNUC</v>
      </c>
      <c r="D298" s="515" t="str">
        <f ca="1">OFFSET(NameConv!$F$4,0,L298)&amp;OFFSET(NameConv!$AX$4,0,N298)</f>
        <v>PWR</v>
      </c>
      <c r="E298" s="740" t="s">
        <v>334</v>
      </c>
      <c r="F298" s="740" t="s">
        <v>334</v>
      </c>
      <c r="G298" s="740" t="s">
        <v>334</v>
      </c>
      <c r="H298" s="740" t="s">
        <v>334</v>
      </c>
      <c r="I298" s="516">
        <f t="shared" si="22"/>
        <v>1</v>
      </c>
      <c r="J298" s="516"/>
      <c r="K298" s="516"/>
      <c r="L298" s="495">
        <f ca="1">IF(AND(O297&gt;=SUMIF(NameConv!$C$5:$C$45,RIGHT(C297,3),NameConv!$CG$5:$CG$45),M297=SUMIF(NameConv!$G$4:$M$4,MID(C297,2,3),NameConv!$G$45:$M$45)),L297+1,L297)</f>
        <v>6</v>
      </c>
      <c r="M298" s="495">
        <f ca="1">IF(L298&lt;&gt;L297,1,IF(O297&gt;=SUMIF(NameConv!$C$5:$C$45,RIGHT(C297,3),NameConv!$CG$5:$CG$45),M297+1,M297))</f>
        <v>16</v>
      </c>
      <c r="N298" s="495">
        <f ca="1">SUMIF(NameConv!$C$5:$C$45,RIGHT(C298,3),OFFSET(NameConv!$CG$5,0,O298,NameConv!$A$45,1))</f>
        <v>0</v>
      </c>
      <c r="O298" s="495">
        <f ca="1">IF(O297&gt;=SUMIF(NameConv!$C$5:$C$45,RIGHT(C297,3),NameConv!$CG$5:$CG$45),1,O297+1)</f>
        <v>1</v>
      </c>
    </row>
    <row r="299" spans="1:15">
      <c r="A299" s="422" t="str">
        <f t="shared" ca="1" si="23"/>
        <v/>
      </c>
      <c r="B299" s="515" t="str">
        <f t="shared" si="20"/>
        <v>TOP-OUT</v>
      </c>
      <c r="C299" s="518" t="str">
        <f ca="1">"X"&amp;OFFSET(NameConv!$F$4,0,L299)&amp;OFFSET(NameConv!$F$59,M299,L299)</f>
        <v>XPWRODS</v>
      </c>
      <c r="D299" s="515" t="str">
        <f ca="1">OFFSET(NameConv!$F$4,0,L299)&amp;OFFSET(NameConv!$AX$4,0,N299)</f>
        <v>PWRCO2S</v>
      </c>
      <c r="E299" s="740" t="s">
        <v>334</v>
      </c>
      <c r="F299" s="740" t="s">
        <v>334</v>
      </c>
      <c r="G299" s="740" t="s">
        <v>334</v>
      </c>
      <c r="H299" s="740" t="s">
        <v>334</v>
      </c>
      <c r="I299" s="516">
        <f t="shared" si="22"/>
        <v>1</v>
      </c>
      <c r="J299" s="516"/>
      <c r="K299" s="516"/>
      <c r="L299" s="495">
        <f ca="1">IF(AND(O298&gt;=SUMIF(NameConv!$C$5:$C$45,RIGHT(C298,3),NameConv!$CG$5:$CG$45),M298=SUMIF(NameConv!$G$4:$M$4,MID(C298,2,3),NameConv!$G$45:$M$45)),L298+1,L298)</f>
        <v>6</v>
      </c>
      <c r="M299" s="495">
        <f ca="1">IF(L299&lt;&gt;L298,1,IF(O298&gt;=SUMIF(NameConv!$C$5:$C$45,RIGHT(C298,3),NameConv!$CG$5:$CG$45),M298+1,M298))</f>
        <v>17</v>
      </c>
      <c r="N299" s="495">
        <f ca="1">SUMIF(NameConv!$C$5:$C$45,RIGHT(C299,3),OFFSET(NameConv!$CG$5,0,O299,NameConv!$A$45,1))</f>
        <v>1</v>
      </c>
      <c r="O299" s="495">
        <f ca="1">IF(O298&gt;=SUMIF(NameConv!$C$5:$C$45,RIGHT(C298,3),NameConv!$CG$5:$CG$45),1,O298+1)</f>
        <v>1</v>
      </c>
    </row>
    <row r="300" spans="1:15">
      <c r="A300" s="422" t="str">
        <f t="shared" ref="A300:A306" ca="1" si="24">IF(LEN(D300)=3,"*","")</f>
        <v/>
      </c>
      <c r="B300" s="515" t="str">
        <f t="shared" si="20"/>
        <v>TOP-OUT</v>
      </c>
      <c r="C300" s="518" t="str">
        <f ca="1">"X"&amp;OFFSET(NameConv!$F$4,0,L300)&amp;OFFSET(NameConv!$F$59,M300,L300)</f>
        <v>XPWRODS</v>
      </c>
      <c r="D300" s="515" t="str">
        <f ca="1">OFFSET(NameConv!$F$4,0,L300)&amp;OFFSET(NameConv!$AX$4,0,N300)</f>
        <v>PWRCH4S</v>
      </c>
      <c r="E300" s="740" t="s">
        <v>334</v>
      </c>
      <c r="F300" s="740" t="s">
        <v>334</v>
      </c>
      <c r="G300" s="740" t="s">
        <v>334</v>
      </c>
      <c r="H300" s="740" t="s">
        <v>334</v>
      </c>
      <c r="I300" s="516">
        <f t="shared" si="22"/>
        <v>1</v>
      </c>
      <c r="J300" s="516"/>
      <c r="K300" s="516"/>
      <c r="L300" s="495">
        <f ca="1">IF(AND(O299&gt;=SUMIF(NameConv!$C$5:$C$45,RIGHT(C299,3),NameConv!$CG$5:$CG$45),M299=SUMIF(NameConv!$G$4:$M$4,MID(C299,2,3),NameConv!$G$45:$M$45)),L299+1,L299)</f>
        <v>6</v>
      </c>
      <c r="M300" s="495">
        <f ca="1">IF(L300&lt;&gt;L299,1,IF(O299&gt;=SUMIF(NameConv!$C$5:$C$45,RIGHT(C299,3),NameConv!$CG$5:$CG$45),M299+1,M299))</f>
        <v>17</v>
      </c>
      <c r="N300" s="495">
        <f ca="1">SUMIF(NameConv!$C$5:$C$45,RIGHT(C300,3),OFFSET(NameConv!$CG$5,0,O300,NameConv!$A$45,1))</f>
        <v>2</v>
      </c>
      <c r="O300" s="495">
        <f ca="1">IF(O299&gt;=SUMIF(NameConv!$C$5:$C$45,RIGHT(C299,3),NameConv!$CG$5:$CG$45),1,O299+1)</f>
        <v>2</v>
      </c>
    </row>
    <row r="301" spans="1:15">
      <c r="A301" s="422" t="str">
        <f t="shared" ca="1" si="24"/>
        <v/>
      </c>
      <c r="B301" s="515" t="str">
        <f t="shared" si="20"/>
        <v>TOP-OUT</v>
      </c>
      <c r="C301" s="518" t="str">
        <f ca="1">"X"&amp;OFFSET(NameConv!$F$4,0,L301)&amp;OFFSET(NameConv!$F$59,M301,L301)</f>
        <v>XPWRODS</v>
      </c>
      <c r="D301" s="515" t="str">
        <f ca="1">OFFSET(NameConv!$F$4,0,L301)&amp;OFFSET(NameConv!$AX$4,0,N301)</f>
        <v>PWRN2OS</v>
      </c>
      <c r="E301" s="740" t="s">
        <v>334</v>
      </c>
      <c r="F301" s="740" t="s">
        <v>334</v>
      </c>
      <c r="G301" s="740" t="s">
        <v>334</v>
      </c>
      <c r="H301" s="740" t="s">
        <v>334</v>
      </c>
      <c r="I301" s="516">
        <f t="shared" si="22"/>
        <v>1</v>
      </c>
      <c r="J301" s="516"/>
      <c r="K301" s="516"/>
      <c r="L301" s="495">
        <f ca="1">IF(AND(O300&gt;=SUMIF(NameConv!$C$5:$C$45,RIGHT(C300,3),NameConv!$CG$5:$CG$45),M300=SUMIF(NameConv!$G$4:$M$4,MID(C300,2,3),NameConv!$G$45:$M$45)),L300+1,L300)</f>
        <v>6</v>
      </c>
      <c r="M301" s="495">
        <f ca="1">IF(L301&lt;&gt;L300,1,IF(O300&gt;=SUMIF(NameConv!$C$5:$C$45,RIGHT(C300,3),NameConv!$CG$5:$CG$45),M300+1,M300))</f>
        <v>17</v>
      </c>
      <c r="N301" s="495">
        <f ca="1">SUMIF(NameConv!$C$5:$C$45,RIGHT(C301,3),OFFSET(NameConv!$CG$5,0,O301,NameConv!$A$45,1))</f>
        <v>3</v>
      </c>
      <c r="O301" s="495">
        <f ca="1">IF(O300&gt;=SUMIF(NameConv!$C$5:$C$45,RIGHT(C300,3),NameConv!$CG$5:$CG$45),1,O300+1)</f>
        <v>3</v>
      </c>
    </row>
    <row r="302" spans="1:15">
      <c r="A302" s="422" t="str">
        <f t="shared" ca="1" si="24"/>
        <v/>
      </c>
      <c r="B302" s="515" t="str">
        <f t="shared" si="20"/>
        <v>TOP-OUT</v>
      </c>
      <c r="C302" s="518" t="str">
        <f ca="1">"X"&amp;OFFSET(NameConv!$F$4,0,L302)&amp;OFFSET(NameConv!$F$59,M302,L302)</f>
        <v>XPWRODS</v>
      </c>
      <c r="D302" s="515" t="str">
        <f ca="1">OFFSET(NameConv!$F$4,0,L302)&amp;OFFSET(NameConv!$AX$4,0,N302)</f>
        <v>PWRSOXS</v>
      </c>
      <c r="E302" s="740" t="s">
        <v>334</v>
      </c>
      <c r="F302" s="740" t="s">
        <v>334</v>
      </c>
      <c r="G302" s="740" t="s">
        <v>334</v>
      </c>
      <c r="H302" s="740" t="s">
        <v>334</v>
      </c>
      <c r="I302" s="516">
        <f t="shared" si="22"/>
        <v>1</v>
      </c>
      <c r="J302" s="516"/>
      <c r="K302" s="516"/>
      <c r="L302" s="495">
        <f ca="1">IF(AND(O301&gt;=SUMIF(NameConv!$C$5:$C$45,RIGHT(C301,3),NameConv!$CG$5:$CG$45),M301=SUMIF(NameConv!$G$4:$M$4,MID(C301,2,3),NameConv!$G$45:$M$45)),L301+1,L301)</f>
        <v>6</v>
      </c>
      <c r="M302" s="495">
        <f ca="1">IF(L302&lt;&gt;L301,1,IF(O301&gt;=SUMIF(NameConv!$C$5:$C$45,RIGHT(C301,3),NameConv!$CG$5:$CG$45),M301+1,M301))</f>
        <v>17</v>
      </c>
      <c r="N302" s="495">
        <f ca="1">SUMIF(NameConv!$C$5:$C$45,RIGHT(C302,3),OFFSET(NameConv!$CG$5,0,O302,NameConv!$A$45,1))</f>
        <v>4</v>
      </c>
      <c r="O302" s="495">
        <f ca="1">IF(O301&gt;=SUMIF(NameConv!$C$5:$C$45,RIGHT(C301,3),NameConv!$CG$5:$CG$45),1,O301+1)</f>
        <v>4</v>
      </c>
    </row>
    <row r="303" spans="1:15">
      <c r="A303" s="422" t="str">
        <f t="shared" ca="1" si="24"/>
        <v/>
      </c>
      <c r="B303" s="515" t="str">
        <f t="shared" si="20"/>
        <v>TOP-OUT</v>
      </c>
      <c r="C303" s="518" t="str">
        <f ca="1">"X"&amp;OFFSET(NameConv!$F$4,0,L303)&amp;OFFSET(NameConv!$F$59,M303,L303)</f>
        <v>XPWRODS</v>
      </c>
      <c r="D303" s="515" t="str">
        <f ca="1">OFFSET(NameConv!$F$4,0,L303)&amp;OFFSET(NameConv!$AX$4,0,N303)</f>
        <v>PWRNOXS</v>
      </c>
      <c r="E303" s="740" t="s">
        <v>334</v>
      </c>
      <c r="F303" s="740" t="s">
        <v>334</v>
      </c>
      <c r="G303" s="740" t="s">
        <v>334</v>
      </c>
      <c r="H303" s="740" t="s">
        <v>334</v>
      </c>
      <c r="I303" s="516">
        <f t="shared" si="22"/>
        <v>1</v>
      </c>
      <c r="J303" s="516"/>
      <c r="K303" s="516"/>
      <c r="L303" s="495">
        <f ca="1">IF(AND(O302&gt;=SUMIF(NameConv!$C$5:$C$45,RIGHT(C302,3),NameConv!$CG$5:$CG$45),M302=SUMIF(NameConv!$G$4:$M$4,MID(C302,2,3),NameConv!$G$45:$M$45)),L302+1,L302)</f>
        <v>6</v>
      </c>
      <c r="M303" s="495">
        <f ca="1">IF(L303&lt;&gt;L302,1,IF(O302&gt;=SUMIF(NameConv!$C$5:$C$45,RIGHT(C302,3),NameConv!$CG$5:$CG$45),M302+1,M302))</f>
        <v>17</v>
      </c>
      <c r="N303" s="495">
        <f ca="1">SUMIF(NameConv!$C$5:$C$45,RIGHT(C303,3),OFFSET(NameConv!$CG$5,0,O303,NameConv!$A$45,1))</f>
        <v>5</v>
      </c>
      <c r="O303" s="495">
        <f ca="1">IF(O302&gt;=SUMIF(NameConv!$C$5:$C$45,RIGHT(C302,3),NameConv!$CG$5:$CG$45),1,O302+1)</f>
        <v>5</v>
      </c>
    </row>
    <row r="304" spans="1:15">
      <c r="A304" s="422" t="str">
        <f t="shared" ca="1" si="24"/>
        <v/>
      </c>
      <c r="B304" s="515" t="str">
        <f t="shared" si="20"/>
        <v>TOP-OUT</v>
      </c>
      <c r="C304" s="518" t="str">
        <f ca="1">"X"&amp;OFFSET(NameConv!$F$4,0,L304)&amp;OFFSET(NameConv!$F$59,M304,L304)</f>
        <v>XPWRODS</v>
      </c>
      <c r="D304" s="515" t="str">
        <f ca="1">OFFSET(NameConv!$F$4,0,L304)&amp;OFFSET(NameConv!$AX$4,0,N304)</f>
        <v>PWRCMOX</v>
      </c>
      <c r="E304" s="740" t="s">
        <v>334</v>
      </c>
      <c r="F304" s="740" t="s">
        <v>334</v>
      </c>
      <c r="G304" s="740" t="s">
        <v>334</v>
      </c>
      <c r="H304" s="740" t="s">
        <v>334</v>
      </c>
      <c r="I304" s="516">
        <f t="shared" si="22"/>
        <v>1</v>
      </c>
      <c r="J304" s="516"/>
      <c r="K304" s="516"/>
      <c r="L304" s="495">
        <f ca="1">IF(AND(O303&gt;=SUMIF(NameConv!$C$5:$C$45,RIGHT(C303,3),NameConv!$CG$5:$CG$45),M303=SUMIF(NameConv!$G$4:$M$4,MID(C303,2,3),NameConv!$G$45:$M$45)),L303+1,L303)</f>
        <v>6</v>
      </c>
      <c r="M304" s="495">
        <f ca="1">IF(L304&lt;&gt;L303,1,IF(O303&gt;=SUMIF(NameConv!$C$5:$C$45,RIGHT(C303,3),NameConv!$CG$5:$CG$45),M303+1,M303))</f>
        <v>17</v>
      </c>
      <c r="N304" s="495">
        <f ca="1">SUMIF(NameConv!$C$5:$C$45,RIGHT(C304,3),OFFSET(NameConv!$CG$5,0,O304,NameConv!$A$45,1))</f>
        <v>6</v>
      </c>
      <c r="O304" s="495">
        <f ca="1">IF(O303&gt;=SUMIF(NameConv!$C$5:$C$45,RIGHT(C303,3),NameConv!$CG$5:$CG$45),1,O303+1)</f>
        <v>6</v>
      </c>
    </row>
    <row r="305" spans="1:15">
      <c r="A305" s="422" t="str">
        <f t="shared" ca="1" si="24"/>
        <v/>
      </c>
      <c r="B305" s="515" t="str">
        <f t="shared" si="20"/>
        <v>TOP-OUT</v>
      </c>
      <c r="C305" s="518" t="str">
        <f ca="1">"X"&amp;OFFSET(NameConv!$F$4,0,L305)&amp;OFFSET(NameConv!$F$59,M305,L305)</f>
        <v>XPWRODS</v>
      </c>
      <c r="D305" s="515" t="str">
        <f ca="1">OFFSET(NameConv!$F$4,0,L305)&amp;OFFSET(NameConv!$AX$4,0,N305)</f>
        <v>PWRNMVS</v>
      </c>
      <c r="E305" s="740" t="s">
        <v>334</v>
      </c>
      <c r="F305" s="740" t="s">
        <v>334</v>
      </c>
      <c r="G305" s="740" t="s">
        <v>334</v>
      </c>
      <c r="H305" s="740" t="s">
        <v>334</v>
      </c>
      <c r="I305" s="516">
        <f t="shared" si="22"/>
        <v>1</v>
      </c>
      <c r="J305" s="516"/>
      <c r="K305" s="516"/>
      <c r="L305" s="495">
        <f ca="1">IF(AND(O304&gt;=SUMIF(NameConv!$C$5:$C$45,RIGHT(C304,3),NameConv!$CG$5:$CG$45),M304=SUMIF(NameConv!$G$4:$M$4,MID(C304,2,3),NameConv!$G$45:$M$45)),L304+1,L304)</f>
        <v>6</v>
      </c>
      <c r="M305" s="495">
        <f ca="1">IF(L305&lt;&gt;L304,1,IF(O304&gt;=SUMIF(NameConv!$C$5:$C$45,RIGHT(C304,3),NameConv!$CG$5:$CG$45),M304+1,M304))</f>
        <v>17</v>
      </c>
      <c r="N305" s="495">
        <f ca="1">SUMIF(NameConv!$C$5:$C$45,RIGHT(C305,3),OFFSET(NameConv!$CG$5,0,O305,NameConv!$A$45,1))</f>
        <v>7</v>
      </c>
      <c r="O305" s="495">
        <f ca="1">IF(O304&gt;=SUMIF(NameConv!$C$5:$C$45,RIGHT(C304,3),NameConv!$CG$5:$CG$45),1,O304+1)</f>
        <v>7</v>
      </c>
    </row>
    <row r="306" spans="1:15">
      <c r="A306" s="422" t="str">
        <f t="shared" ca="1" si="24"/>
        <v>*</v>
      </c>
      <c r="B306" s="515" t="str">
        <f t="shared" si="20"/>
        <v>TOP-OUT</v>
      </c>
      <c r="C306" s="518" t="str">
        <f ca="1">"X"&amp;OFFSET(NameConv!$F$4,0,L306)&amp;OFFSET(NameConv!$F$59,M306,L306)</f>
        <v>XPWRSOL</v>
      </c>
      <c r="D306" s="515" t="str">
        <f ca="1">OFFSET(NameConv!$F$4,0,L306)&amp;OFFSET(NameConv!$AX$4,0,N306)</f>
        <v>PWR</v>
      </c>
      <c r="E306" s="740" t="s">
        <v>334</v>
      </c>
      <c r="F306" s="740" t="s">
        <v>334</v>
      </c>
      <c r="G306" s="740" t="s">
        <v>334</v>
      </c>
      <c r="H306" s="740" t="s">
        <v>334</v>
      </c>
      <c r="I306" s="516">
        <f t="shared" si="22"/>
        <v>1</v>
      </c>
      <c r="J306" s="516"/>
      <c r="K306" s="516"/>
      <c r="L306" s="495">
        <f ca="1">IF(AND(O305&gt;=SUMIF(NameConv!$C$5:$C$45,RIGHT(C305,3),NameConv!$CG$5:$CG$45),M305=SUMIF(NameConv!$G$4:$M$4,MID(C305,2,3),NameConv!$G$45:$M$45)),L305+1,L305)</f>
        <v>6</v>
      </c>
      <c r="M306" s="495">
        <f ca="1">IF(L306&lt;&gt;L305,1,IF(O305&gt;=SUMIF(NameConv!$C$5:$C$45,RIGHT(C305,3),NameConv!$CG$5:$CG$45),M305+1,M305))</f>
        <v>18</v>
      </c>
      <c r="N306" s="495">
        <f ca="1">SUMIF(NameConv!$C$5:$C$45,RIGHT(C306,3),OFFSET(NameConv!$CG$5,0,O306,NameConv!$A$45,1))</f>
        <v>0</v>
      </c>
      <c r="O306" s="495">
        <f ca="1">IF(O305&gt;=SUMIF(NameConv!$C$5:$C$45,RIGHT(C305,3),NameConv!$CG$5:$CG$45),1,O305+1)</f>
        <v>1</v>
      </c>
    </row>
    <row r="307" spans="1:15">
      <c r="A307" s="422" t="str">
        <f t="shared" ref="A307:A308" ca="1" si="25">IF(LEN(D307)=3,"*","")</f>
        <v>*</v>
      </c>
      <c r="B307" s="515" t="str">
        <f t="shared" si="20"/>
        <v>TOP-OUT</v>
      </c>
      <c r="C307" s="518" t="str">
        <f ca="1">"X"&amp;OFFSET(NameConv!$F$4,0,L307)&amp;OFFSET(NameConv!$F$59,M307,L307)</f>
        <v>XPWRWND</v>
      </c>
      <c r="D307" s="515" t="str">
        <f ca="1">OFFSET(NameConv!$F$4,0,L307)&amp;OFFSET(NameConv!$AX$4,0,N307)</f>
        <v>PWR</v>
      </c>
      <c r="E307" s="740" t="s">
        <v>334</v>
      </c>
      <c r="F307" s="740" t="s">
        <v>334</v>
      </c>
      <c r="G307" s="740" t="s">
        <v>334</v>
      </c>
      <c r="H307" s="740" t="s">
        <v>334</v>
      </c>
      <c r="I307" s="516">
        <f t="shared" si="22"/>
        <v>1</v>
      </c>
      <c r="J307" s="516"/>
      <c r="K307" s="516"/>
      <c r="L307" s="495">
        <f ca="1">IF(AND(O306&gt;=SUMIF(NameConv!$C$5:$C$45,RIGHT(C306,3),NameConv!$CG$5:$CG$45),M306=SUMIF(NameConv!$G$4:$M$4,MID(C306,2,3),NameConv!$G$45:$M$45)),L306+1,L306)</f>
        <v>6</v>
      </c>
      <c r="M307" s="495">
        <f ca="1">IF(L307&lt;&gt;L306,1,IF(O306&gt;=SUMIF(NameConv!$C$5:$C$45,RIGHT(C306,3),NameConv!$CG$5:$CG$45),M306+1,M306))</f>
        <v>19</v>
      </c>
      <c r="N307" s="495">
        <f ca="1">SUMIF(NameConv!$C$5:$C$45,RIGHT(C307,3),OFFSET(NameConv!$CG$5,0,O307,NameConv!$A$45,1))</f>
        <v>0</v>
      </c>
      <c r="O307" s="495">
        <f ca="1">IF(O306&gt;=SUMIF(NameConv!$C$5:$C$45,RIGHT(C306,3),NameConv!$CG$5:$CG$45),1,O306+1)</f>
        <v>1</v>
      </c>
    </row>
    <row r="308" spans="1:15">
      <c r="A308" s="422" t="str">
        <f t="shared" ca="1" si="25"/>
        <v>*</v>
      </c>
      <c r="B308" s="515" t="str">
        <f t="shared" si="20"/>
        <v>TOP-OUT</v>
      </c>
      <c r="C308" s="518" t="str">
        <f ca="1">"X"&amp;OFFSET(NameConv!$F$4,0,L308)&amp;OFFSET(NameConv!$F$59,M308,L308)</f>
        <v>XUPSBIE</v>
      </c>
      <c r="D308" s="515" t="str">
        <f ca="1">OFFSET(NameConv!$F$4,0,L308)&amp;OFFSET(NameConv!$AX$4,0,N308)</f>
        <v>UPS</v>
      </c>
      <c r="E308" s="740" t="s">
        <v>334</v>
      </c>
      <c r="F308" s="740" t="s">
        <v>334</v>
      </c>
      <c r="G308" s="740" t="s">
        <v>334</v>
      </c>
      <c r="H308" s="740" t="s">
        <v>334</v>
      </c>
      <c r="I308" s="516">
        <f t="shared" si="22"/>
        <v>1</v>
      </c>
      <c r="J308" s="516"/>
      <c r="K308" s="516"/>
      <c r="L308" s="495">
        <f ca="1">IF(AND(O307&gt;=SUMIF(NameConv!$C$5:$C$45,RIGHT(C307,3),NameConv!$CG$5:$CG$45),M307=SUMIF(NameConv!$G$4:$M$4,MID(C307,2,3),NameConv!$G$45:$M$45)),L307+1,L307)</f>
        <v>7</v>
      </c>
      <c r="M308" s="495">
        <f ca="1">IF(L308&lt;&gt;L307,1,IF(O307&gt;=SUMIF(NameConv!$C$5:$C$45,RIGHT(C307,3),NameConv!$CG$5:$CG$45),M307+1,M307))</f>
        <v>1</v>
      </c>
      <c r="N308" s="495">
        <f ca="1">SUMIF(NameConv!$C$5:$C$45,RIGHT(C308,3),OFFSET(NameConv!$CG$5,0,O308,NameConv!$A$45,1))</f>
        <v>0</v>
      </c>
      <c r="O308" s="495">
        <f ca="1">IF(O307&gt;=SUMIF(NameConv!$C$5:$C$45,RIGHT(C307,3),NameConv!$CG$5:$CG$45),1,O307+1)</f>
        <v>1</v>
      </c>
    </row>
  </sheetData>
  <conditionalFormatting sqref="L12:L308">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topLeftCell="L71"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4" t="s">
        <v>2199</v>
      </c>
      <c r="C2" s="1925"/>
      <c r="D2" s="1925"/>
      <c r="E2" s="1925"/>
      <c r="F2" s="1925"/>
      <c r="G2" s="1925"/>
      <c r="H2" s="1925"/>
      <c r="I2" s="1925"/>
      <c r="J2" s="1925"/>
      <c r="K2" s="1925"/>
      <c r="L2" s="1925"/>
      <c r="M2" s="1925"/>
      <c r="N2" s="1925"/>
      <c r="O2" s="1925"/>
      <c r="P2" s="1925"/>
      <c r="Q2" s="1925"/>
      <c r="R2" s="1925"/>
      <c r="S2" s="1925"/>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26" t="s">
        <v>2200</v>
      </c>
      <c r="C4" s="1925"/>
      <c r="D4" s="1925"/>
      <c r="E4" s="1925"/>
      <c r="F4" s="1925"/>
      <c r="G4" s="1925"/>
      <c r="H4" s="1925"/>
      <c r="I4" s="1925"/>
      <c r="J4" s="1925"/>
      <c r="K4" s="1925"/>
      <c r="L4" s="1925"/>
      <c r="M4" s="1925"/>
      <c r="N4" s="1925"/>
      <c r="O4" s="1925"/>
      <c r="P4" s="1925"/>
      <c r="Q4" s="1925"/>
      <c r="R4" s="1925"/>
      <c r="S4" s="1925"/>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27" t="s">
        <v>943</v>
      </c>
      <c r="C7" s="1929"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28"/>
      <c r="C8" s="1928"/>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0" t="s">
        <v>2268</v>
      </c>
      <c r="C21" s="1931"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28"/>
      <c r="C22" s="1928"/>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election activeCell="W3" sqref="W3"/>
    </sheetView>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election activeCell="D16" sqref="D16"/>
    </sheetView>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topLeftCell="A40" workbookViewId="0">
      <selection activeCell="C58" sqref="C58"/>
    </sheetView>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topLeftCell="A21" workbookViewId="0">
      <selection activeCell="C37" sqref="C37"/>
    </sheetView>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2" t="s">
        <v>2043</v>
      </c>
      <c r="D4" s="1933"/>
      <c r="E4" s="1934"/>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election activeCell="D15" sqref="D15"/>
    </sheetView>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election activeCell="D5" sqref="D5"/>
    </sheetView>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25</v>
      </c>
    </row>
    <row r="6" spans="1:10">
      <c r="A6" s="430" t="s">
        <v>310</v>
      </c>
      <c r="B6" s="430" t="s">
        <v>883</v>
      </c>
      <c r="C6" s="430" t="str">
        <f>Items_TEmiss!C5</f>
        <v>N2OS</v>
      </c>
      <c r="D6" s="3">
        <v>298</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25</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25</v>
      </c>
    </row>
    <row r="18" spans="2:54">
      <c r="B18" s="430" t="s">
        <v>2197</v>
      </c>
      <c r="C18" s="430" t="s">
        <v>334</v>
      </c>
      <c r="D18" s="430" t="str">
        <f t="shared" si="0"/>
        <v>N2OS</v>
      </c>
      <c r="E18" s="430" t="s">
        <v>334</v>
      </c>
      <c r="F18" s="430" t="str">
        <f>Items_TEmiss!$C$2</f>
        <v>CO2EQS</v>
      </c>
      <c r="G18" s="430" t="s">
        <v>334</v>
      </c>
      <c r="H18" s="430" t="s">
        <v>334</v>
      </c>
      <c r="I18" s="430">
        <v>0</v>
      </c>
      <c r="J18" s="430">
        <f t="shared" si="1"/>
        <v>298</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topLeftCell="A10" workbookViewId="0">
      <selection activeCell="B27" sqref="B27"/>
    </sheetView>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election activeCell="B14" sqref="B14"/>
    </sheetView>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election activeCell="A5" sqref="A5:XFD5"/>
    </sheetView>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2021-08-04T20:23:56Z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