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87A483D8-80B1-4A90-A1B9-D6B80E384751}" xr6:coauthVersionLast="47" xr6:coauthVersionMax="47" xr10:uidLastSave="{00000000-0000-0000-0000-000000000000}"/>
  <bookViews>
    <workbookView xWindow="20370" yWindow="-120" windowWidth="29040" windowHeight="15840" firstSheet="4" activeTab="9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FGD-Medupi est" sheetId="129" r:id="rId10"/>
    <sheet name="retirement scenarios" sheetId="123" r:id="rId11"/>
    <sheet name="Deflator" sheetId="99" r:id="rId12"/>
    <sheet name="ANSv2-692-REGIONS" sheetId="18" state="veryHidden" r:id="rId13"/>
    <sheet name="ANSv2-692-Commodities" sheetId="19" state="veryHidden" r:id="rId14"/>
    <sheet name="ANSv2-692-Processes" sheetId="20" state="veryHidden" r:id="rId15"/>
    <sheet name="ANSv2-692-Constraints" sheetId="23" state="veryHidden" r:id="rId16"/>
    <sheet name="ANSv2-692-CommData" sheetId="21" state="veryHidden" r:id="rId17"/>
    <sheet name="ANSv2-692-ProcData" sheetId="25" state="veryHidden" r:id="rId18"/>
    <sheet name="ANSv2-692-ConstrData" sheetId="24" state="veryHidden" r:id="rId19"/>
    <sheet name="ANSv2-692-ITEMS" sheetId="10" state="veryHidden" r:id="rId20"/>
    <sheet name="ANSv2-692-TS DATA" sheetId="12" state="veryHidden" r:id="rId21"/>
    <sheet name="ANSv2-692-TID DATA" sheetId="13" state="veryHidden" r:id="rId22"/>
    <sheet name="ANSv2-692-TS&amp;TID DATA" sheetId="14" state="veryHidden" r:id="rId23"/>
    <sheet name="ANSv2-692-TS TRADE" sheetId="15" state="veryHidden" r:id="rId24"/>
    <sheet name="ANSv2-692-TID TRADE" sheetId="16" state="veryHidden" r:id="rId25"/>
    <sheet name="ANSv2-692-TS&amp;TID TRADE" sheetId="17" state="veryHidden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1">#REF!</definedName>
    <definedName name="\I" localSheetId="6">#REF!</definedName>
    <definedName name="\I" localSheetId="7">#REF!</definedName>
    <definedName name="\I">#REF!</definedName>
    <definedName name="\P" localSheetId="11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1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1">#REF!</definedName>
    <definedName name="INIT">#REF!</definedName>
    <definedName name="InvConstraint">#REF!</definedName>
    <definedName name="LEAP" localSheetId="11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1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1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1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2" i="129" l="1"/>
  <c r="O42" i="129"/>
  <c r="N42" i="129"/>
  <c r="P41" i="129"/>
  <c r="O41" i="129"/>
  <c r="N41" i="129"/>
  <c r="P40" i="129"/>
  <c r="O40" i="129"/>
  <c r="N40" i="129"/>
  <c r="P39" i="129"/>
  <c r="O39" i="129"/>
  <c r="N39" i="129"/>
  <c r="P35" i="129"/>
  <c r="O35" i="129"/>
  <c r="N35" i="129"/>
  <c r="P34" i="129"/>
  <c r="O34" i="129"/>
  <c r="N34" i="129"/>
  <c r="O33" i="129"/>
  <c r="P33" i="129"/>
  <c r="N33" i="129"/>
  <c r="P32" i="129"/>
  <c r="O32" i="129"/>
  <c r="N32" i="129"/>
  <c r="P27" i="129" l="1"/>
  <c r="O27" i="129"/>
  <c r="N27" i="129"/>
  <c r="O26" i="129"/>
  <c r="P26" i="129"/>
  <c r="N26" i="129"/>
  <c r="P25" i="129"/>
  <c r="O25" i="129"/>
  <c r="N25" i="129"/>
  <c r="P21" i="129"/>
  <c r="O21" i="129"/>
  <c r="N21" i="129"/>
  <c r="N18" i="129"/>
  <c r="O20" i="129"/>
  <c r="P20" i="129"/>
  <c r="N20" i="129"/>
  <c r="N11" i="129"/>
  <c r="H23" i="125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M39" i="125"/>
  <c r="I23" i="125"/>
  <c r="D34" i="124"/>
  <c r="D28" i="124"/>
  <c r="D24" i="124"/>
  <c r="D23" i="124"/>
  <c r="D20" i="124"/>
  <c r="D17" i="124"/>
  <c r="D15" i="124"/>
  <c r="D14" i="124"/>
  <c r="D13" i="124"/>
  <c r="D8" i="124"/>
  <c r="D5" i="124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I18" i="123" l="1" a="1"/>
  <c r="I18" i="123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Q18" i="123" l="1"/>
  <c r="S18" i="123" s="1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T162" i="123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62" i="123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H19" i="123" a="1"/>
  <c r="H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A1" i="127"/>
  <c r="A1" i="126"/>
  <c r="P29" i="125" l="1"/>
  <c r="J29" i="125" s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I17" i="125"/>
  <c r="H17" i="126" s="1"/>
  <c r="AF17" i="126" s="1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J35" i="125"/>
  <c r="H19" i="125"/>
  <c r="I19" i="125"/>
  <c r="H19" i="126" s="1"/>
  <c r="AH19" i="126" s="1"/>
  <c r="M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M36" i="125"/>
  <c r="J36" i="125"/>
  <c r="AS30" i="123"/>
  <c r="AT30" i="123" s="1"/>
  <c r="AU30" i="123" s="1"/>
  <c r="AV30" i="123" s="1"/>
  <c r="AW30" i="123" s="1"/>
  <c r="AE21" i="78" s="1"/>
  <c r="P37" i="125" s="1"/>
  <c r="AD21" i="78"/>
  <c r="AS31" i="123"/>
  <c r="AT31" i="123" s="1"/>
  <c r="AU31" i="123" s="1"/>
  <c r="AV31" i="123" s="1"/>
  <c r="AW31" i="123" s="1"/>
  <c r="AE22" i="78" s="1"/>
  <c r="P38" i="125" s="1"/>
  <c r="AD22" i="78"/>
  <c r="J38" i="125" l="1"/>
  <c r="H22" i="125"/>
  <c r="O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L37" i="125"/>
  <c r="K37" i="125"/>
  <c r="AA19" i="99" l="1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U3" i="99"/>
  <c r="V3" i="99" s="1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X9" i="99" s="1"/>
  <c r="X10" i="99" s="1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D33" i="124" l="1"/>
  <c r="D32" i="124"/>
  <c r="E11" i="78"/>
  <c r="E14" i="78"/>
  <c r="E15" i="78"/>
  <c r="E17" i="78"/>
  <c r="E21" i="78"/>
  <c r="E16" i="78"/>
  <c r="E12" i="78"/>
  <c r="K39" i="125" l="1"/>
  <c r="K31" i="125"/>
  <c r="K33" i="125"/>
  <c r="K34" i="125"/>
  <c r="K35" i="125"/>
  <c r="K36" i="125"/>
  <c r="K38" i="125"/>
  <c r="F16" i="124"/>
  <c r="L39" i="125"/>
  <c r="L31" i="125"/>
  <c r="L33" i="125"/>
  <c r="L34" i="125"/>
  <c r="L35" i="125"/>
  <c r="L36" i="125"/>
  <c r="L38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<sst xmlns="http://schemas.openxmlformats.org/spreadsheetml/2006/main" count="1309" uniqueCount="409">
  <si>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</si>
  <si>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</si>
  <si>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</si>
  <si>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</si>
  <si>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</si>
  <si>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</si>
  <si>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</si>
  <si>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</si>
  <si>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</si>
  <si>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</si>
  <si>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</si>
  <si>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</si>
  <si>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</si>
  <si>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</si>
  <si>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</si>
  <si>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</si>
  <si>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</si>
  <si>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</si>
  <si>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</si>
  <si>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</si>
  <si>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</si>
  <si>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</si>
  <si>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</si>
  <si>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</si>
  <si>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</si>
  <si>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</si>
  <si>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</si>
  <si>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</si>
  <si>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</si>
  <si>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</si>
  <si>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</si>
  <si>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</si>
  <si>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</si>
  <si>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</si>
  <si>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</si>
  <si>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</si>
  <si>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</si>
  <si>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</si>
  <si>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</si>
  <si>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</si>
  <si>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</si>
  <si>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</si>
  <si>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</si>
  <si>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</si>
  <si>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</si>
  <si>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</si>
  <si>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</si>
  <si>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</si>
  <si>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</si>
  <si>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</si>
  <si>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</si>
  <si>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</si>
  <si>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</si>
  <si>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</si>
  <si>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</si>
  <si>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</si>
  <si>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</si>
  <si>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</si>
  <si>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</si>
  <si>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</si>
  <si>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</si>
  <si>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</si>
  <si>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</si>
  <si>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</si>
  <si>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</si>
  <si>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</si>
  <si>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</si>
  <si>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</si>
  <si>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</si>
  <si>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</si>
  <si>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</si>
  <si>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</si>
  <si>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</si>
  <si>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</si>
  <si>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</si>
  <si>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</si>
  <si>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</si>
  <si>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</si>
  <si>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</si>
  <si>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</si>
  <si>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</si>
  <si>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</si>
  <si>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</si>
  <si>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</si>
  <si>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</si>
  <si>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</si>
  <si>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</si>
  <si>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</si>
  <si>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</si>
  <si>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</si>
  <si>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</si>
  <si>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</si>
  <si>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</si>
  <si>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</si>
  <si>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</si>
  <si>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</si>
  <si>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</si>
  <si>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</si>
  <si>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</si>
  <si>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</si>
  <si>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</si>
  <si>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</si>
  <si>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</si>
  <si>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</si>
  <si>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</si>
  <si>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</si>
  <si>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</si>
  <si>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</si>
  <si>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</si>
  <si>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</si>
  <si>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</si>
  <si>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</si>
  <si>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</si>
  <si>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</si>
  <si>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</si>
  <si>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</si>
  <si>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</si>
  <si>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</si>
  <si>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</si>
  <si>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</si>
  <si>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</si>
  <si>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</si>
  <si>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</si>
  <si>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</si>
  <si>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</si>
  <si>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</si>
  <si>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</si>
  <si>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</si>
  <si>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</si>
  <si>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</si>
  <si>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</si>
  <si>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</si>
  <si>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</si>
  <si>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</si>
  <si>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</si>
  <si>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</si>
  <si>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</si>
  <si>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</si>
  <si>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</si>
  <si>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</si>
  <si>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</si>
  <si>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</si>
  <si>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</si>
  <si>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</si>
  <si>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</si>
  <si>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</si>
  <si>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</si>
  <si>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</si>
  <si>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</si>
  <si>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</si>
  <si>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</si>
  <si>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</si>
  <si>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</si>
  <si>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</si>
  <si>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</si>
  <si>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</si>
  <si>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</si>
  <si>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</si>
  <si>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</si>
  <si>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</si>
  <si>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</si>
  <si>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</si>
  <si>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</si>
  <si>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</si>
  <si>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</si>
  <si>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</si>
  <si>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</si>
  <si>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</si>
  <si>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</si>
  <si>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</si>
  <si>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</si>
  <si>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</si>
  <si>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</si>
  <si>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</si>
  <si>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</si>
  <si>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</si>
  <si>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</si>
  <si>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</si>
  <si>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</si>
  <si>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</si>
  <si>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</si>
  <si>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</si>
  <si>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</si>
  <si>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</si>
  <si>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</si>
  <si>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</si>
  <si>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</si>
  <si>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</si>
  <si>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</si>
  <si>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</si>
  <si>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</si>
  <si>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</si>
  <si>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</si>
  <si>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</si>
  <si>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</si>
  <si>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</si>
  <si>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</si>
  <si>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</si>
  <si>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</si>
  <si>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</si>
  <si>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</si>
  <si>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</si>
  <si>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</si>
  <si>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</si>
  <si>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</si>
  <si>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</si>
  <si>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</si>
  <si>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</si>
  <si>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</si>
  <si>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</si>
  <si>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</si>
  <si>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</si>
  <si>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</si>
  <si>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</si>
  <si>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</si>
  <si>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</si>
  <si>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</si>
  <si>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</si>
  <si>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</si>
  <si>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</si>
  <si>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</si>
  <si>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</si>
  <si>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</si>
  <si>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</si>
  <si>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</si>
  <si>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</si>
  <si>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</si>
  <si>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</si>
  <si>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</si>
  <si>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</si>
  <si>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</si>
  <si>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</si>
  <si>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</si>
  <si>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</si>
  <si>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</si>
  <si>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</si>
  <si>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</si>
  <si>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</si>
  <si>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</si>
  <si>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</si>
  <si>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</si>
  <si>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</si>
  <si>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</si>
  <si>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</si>
  <si>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</si>
  <si>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</si>
  <si>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</si>
  <si>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</si>
  <si>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</si>
  <si>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</si>
  <si>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</si>
  <si>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</si>
  <si>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</si>
  <si>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</si>
  <si>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</si>
  <si>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</si>
  <si>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</si>
  <si>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</si>
  <si>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</si>
  <si>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</si>
  <si>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</si>
  <si>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</si>
  <si>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</si>
  <si>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</si>
  <si>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</si>
  <si>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</si>
  <si>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</si>
  <si>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</si>
  <si>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</si>
  <si>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</si>
  <si>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</si>
  <si>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</si>
  <si>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</si>
  <si>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</si>
  <si>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</si>
  <si>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</si>
  <si>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</si>
  <si>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</si>
  <si>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</si>
  <si>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</si>
  <si>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</si>
  <si>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</si>
  <si>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</si>
  <si>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</si>
  <si>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</si>
  <si>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</si>
  <si>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</si>
  <si>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</si>
  <si>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</si>
  <si>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</si>
  <si>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</si>
  <si>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</si>
  <si>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</si>
  <si>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</si>
  <si>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</si>
  <si>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</si>
  <si>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</si>
  <si>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</si>
  <si>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</si>
  <si>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</si>
  <si>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</si>
  <si>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</si>
  <si>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</si>
  <si>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</si>
  <si>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</si>
  <si>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</si>
  <si>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</si>
  <si>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</si>
  <si>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</si>
  <si>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</si>
  <si>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</si>
  <si>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</si>
  <si>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</si>
  <si>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</si>
  <si>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</si>
  <si>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</si>
  <si>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</si>
  <si>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</si>
  <si>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</si>
  <si>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</si>
  <si>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</si>
  <si>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</si>
  <si>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</si>
  <si>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</si>
  <si>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</si>
  <si>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</si>
  <si>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</si>
  <si>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</si>
  <si>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</si>
  <si>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</si>
  <si>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</si>
  <si>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</si>
  <si>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</si>
  <si>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</si>
  <si>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</si>
  <si>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</si>
  <si>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</si>
  <si>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</si>
  <si>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</si>
  <si>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</si>
  <si>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</si>
  <si>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</si>
  <si>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</si>
  <si>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</si>
  <si>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</si>
  <si>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</si>
  <si>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</si>
  <si>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</si>
  <si>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</si>
  <si>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</si>
  <si>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</si>
  <si>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</si>
  <si>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</si>
  <si>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</si>
  <si>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</si>
  <si>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</si>
  <si>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</si>
  <si>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</si>
  <si>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</si>
  <si>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</si>
  <si>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</si>
  <si>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</si>
  <si>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</si>
  <si>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</si>
  <si>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</si>
  <si>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</si>
  <si>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</si>
  <si>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</si>
  <si>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</si>
  <si>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</si>
  <si>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</si>
  <si>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</si>
  <si>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</si>
  <si>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Eskom Technology Report</t>
  </si>
  <si>
    <t xml:space="preserve">Title: </t>
  </si>
  <si>
    <t>Estimates from Eskom FGD feasibility study for Medupi, circa ~2018</t>
  </si>
  <si>
    <t>Medupi Flue Gas Desulphurisation Technology Section Study Report Revision 2.0 (signed off Jan 2018)</t>
  </si>
  <si>
    <t>Available from CER website:</t>
  </si>
  <si>
    <t>https://cer.org.za/wp-content/uploads/2021/12/App-B-474-10175-Medupi-FGD-Technology-Study-Report-Rev-2-0-FINAL.pdf</t>
  </si>
  <si>
    <t>Date:</t>
  </si>
  <si>
    <t>Guy Cunliffe</t>
  </si>
  <si>
    <t>CAPEX</t>
  </si>
  <si>
    <t>Wet FGD</t>
  </si>
  <si>
    <t>Wet FGD + Gas Cooler</t>
  </si>
  <si>
    <t>Dry FGD</t>
  </si>
  <si>
    <t>OPEX / y</t>
  </si>
  <si>
    <t>Opex costs based on assumed CF of 90%</t>
  </si>
  <si>
    <t>Medupi capacity [MW]</t>
  </si>
  <si>
    <t>Total costs (2017 ZAR)</t>
  </si>
  <si>
    <t>CAPEX cost [2017 ZAR/kW]</t>
  </si>
  <si>
    <t>CF (assumed)</t>
  </si>
  <si>
    <t>OPEX [2017 ZAR/MWh/year]</t>
  </si>
  <si>
    <t>Annual gen [MWh]</t>
  </si>
  <si>
    <t>Assume all costs Variable except labour</t>
  </si>
  <si>
    <t>Labour / Total OPEX</t>
  </si>
  <si>
    <t>Labour cost</t>
  </si>
  <si>
    <t>F-OPEX [2017 ZAR/MWh/year]</t>
  </si>
  <si>
    <t>V-OPEX [2017 ZAR/MWh/year]</t>
  </si>
  <si>
    <t>2017 to 2015 ZAR</t>
  </si>
  <si>
    <t>Deflator</t>
  </si>
  <si>
    <t>CAPEX cost [2015 ZAR/kW]</t>
  </si>
  <si>
    <t>OPEX [2015 ZAR/MWh/year]</t>
  </si>
  <si>
    <t>F-OPEX [2015 ZAR/MWh/year]</t>
  </si>
  <si>
    <t>V-OPEX [2015 ZAR/MWh/year]</t>
  </si>
  <si>
    <t>2015 to 2019</t>
  </si>
  <si>
    <t>CAPEX cost [2019 ZAR/kW]</t>
  </si>
  <si>
    <t>OPEX [2019 ZAR/MWh/year]</t>
  </si>
  <si>
    <t>F-OPEX [2019 ZAR/MWh/year]</t>
  </si>
  <si>
    <t>V-OPEX [2019 ZAR/MWh/year]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</si>
</sst>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5" formatCode="#,##0.00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u/>
      <sz val="10"/>
      <color theme="10"/>
      <name val="Arial"/>
    </font>
    <font>
      <sz val="10"/>
      <name val="Arial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0" borderId="0" applyNumberFormat="0" applyFill="0" applyBorder="0" applyAlignment="0" applyProtection="0"/>
    <xf numFmtId="9" fontId="46" fillId="0" borderId="0" applyFont="0" applyFill="0" applyBorder="0" applyAlignment="0" applyProtection="0"/>
  </cellStyleXfs>
  <cellXfs count="119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0" fillId="3" borderId="0" xfId="0" applyFill="1"/>
    <xf numFmtId="0" fontId="45" fillId="0" borderId="0" xfId="38"/>
    <xf numFmtId="14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3" fontId="0" fillId="0" borderId="0" xfId="0" applyNumberFormat="1"/>
    <xf numFmtId="175" fontId="0" fillId="0" borderId="0" xfId="0" applyNumberFormat="1"/>
    <xf numFmtId="10" fontId="0" fillId="0" borderId="0" xfId="39" applyNumberFormat="1" applyFont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Heading 2" xfId="36" builtinId="17"/>
    <cellStyle name="Hyperlink" xfId="38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" xfId="39" builtinId="5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3.84</c:v>
                </c:pt>
                <c:pt idx="21">
                  <c:v>3.1999999999999997</c:v>
                </c:pt>
                <c:pt idx="22">
                  <c:v>3.1999999999999997</c:v>
                </c:pt>
                <c:pt idx="23">
                  <c:v>2.5599999999999996</c:v>
                </c:pt>
                <c:pt idx="24">
                  <c:v>1.2799999999999996</c:v>
                </c:pt>
                <c:pt idx="25">
                  <c:v>0.63999999999999957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3.5579999999999998</c:v>
                </c:pt>
                <c:pt idx="18">
                  <c:v>2.9649999999999999</c:v>
                </c:pt>
                <c:pt idx="19">
                  <c:v>1.7789999999999999</c:v>
                </c:pt>
                <c:pt idx="20">
                  <c:v>1.1859999999999999</c:v>
                </c:pt>
                <c:pt idx="21">
                  <c:v>1.1859999999999999</c:v>
                </c:pt>
                <c:pt idx="22">
                  <c:v>0.59299999999999997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1.8330000000000002</c:v>
                </c:pt>
                <c:pt idx="28">
                  <c:v>1.222</c:v>
                </c:pt>
                <c:pt idx="29">
                  <c:v>0.61099999999999988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2.0099999999999998</c:v>
                </c:pt>
                <c:pt idx="31">
                  <c:v>1.3399999999999999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3.69</c:v>
                </c:pt>
                <c:pt idx="20">
                  <c:v>2.46</c:v>
                </c:pt>
                <c:pt idx="21">
                  <c:v>1.845</c:v>
                </c:pt>
                <c:pt idx="22">
                  <c:v>1.23</c:v>
                </c:pt>
                <c:pt idx="23">
                  <c:v>0.61499999999999999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  <c:pt idx="17">
                  <c:v>2.9249999999999998</c:v>
                </c:pt>
                <c:pt idx="18">
                  <c:v>2.34</c:v>
                </c:pt>
                <c:pt idx="19">
                  <c:v>1.17</c:v>
                </c:pt>
                <c:pt idx="20">
                  <c:v>1.17</c:v>
                </c:pt>
                <c:pt idx="21">
                  <c:v>0.58499999999999996</c:v>
                </c:pt>
                <c:pt idx="22">
                  <c:v>0.58499999999999996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93.emf"/><Relationship Id="rId7" Type="http://schemas.openxmlformats.org/officeDocument/2006/relationships/image" Target="../media/image89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6" Type="http://schemas.openxmlformats.org/officeDocument/2006/relationships/image" Target="../media/image90.emf"/><Relationship Id="rId5" Type="http://schemas.openxmlformats.org/officeDocument/2006/relationships/image" Target="../media/image91.emf"/><Relationship Id="rId4" Type="http://schemas.openxmlformats.org/officeDocument/2006/relationships/image" Target="../media/image9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3" Type="http://schemas.openxmlformats.org/officeDocument/2006/relationships/image" Target="../media/image102.emf"/><Relationship Id="rId7" Type="http://schemas.openxmlformats.org/officeDocument/2006/relationships/image" Target="../media/image98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6" Type="http://schemas.openxmlformats.org/officeDocument/2006/relationships/image" Target="../media/image99.emf"/><Relationship Id="rId5" Type="http://schemas.openxmlformats.org/officeDocument/2006/relationships/image" Target="../media/image100.emf"/><Relationship Id="rId10" Type="http://schemas.openxmlformats.org/officeDocument/2006/relationships/image" Target="../media/image105.emf"/><Relationship Id="rId4" Type="http://schemas.openxmlformats.org/officeDocument/2006/relationships/image" Target="../media/image101.emf"/><Relationship Id="rId9" Type="http://schemas.openxmlformats.org/officeDocument/2006/relationships/image" Target="../media/image96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21.emf"/><Relationship Id="rId7" Type="http://schemas.openxmlformats.org/officeDocument/2006/relationships/image" Target="../media/image117.emf"/><Relationship Id="rId2" Type="http://schemas.openxmlformats.org/officeDocument/2006/relationships/image" Target="../media/image122.emf"/><Relationship Id="rId1" Type="http://schemas.openxmlformats.org/officeDocument/2006/relationships/image" Target="../media/image123.emf"/><Relationship Id="rId6" Type="http://schemas.openxmlformats.org/officeDocument/2006/relationships/image" Target="../media/image118.emf"/><Relationship Id="rId5" Type="http://schemas.openxmlformats.org/officeDocument/2006/relationships/image" Target="../media/image119.emf"/><Relationship Id="rId4" Type="http://schemas.openxmlformats.org/officeDocument/2006/relationships/image" Target="../media/image120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30.emf"/><Relationship Id="rId7" Type="http://schemas.openxmlformats.org/officeDocument/2006/relationships/image" Target="../media/image126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6" Type="http://schemas.openxmlformats.org/officeDocument/2006/relationships/image" Target="../media/image127.emf"/><Relationship Id="rId5" Type="http://schemas.openxmlformats.org/officeDocument/2006/relationships/image" Target="../media/image128.emf"/><Relationship Id="rId10" Type="http://schemas.openxmlformats.org/officeDocument/2006/relationships/image" Target="../media/image133.emf"/><Relationship Id="rId4" Type="http://schemas.openxmlformats.org/officeDocument/2006/relationships/image" Target="../media/image129.emf"/><Relationship Id="rId9" Type="http://schemas.openxmlformats.org/officeDocument/2006/relationships/image" Target="../media/image1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83343</xdr:colOff>
      <xdr:row>7</xdr:row>
      <xdr:rowOff>47625</xdr:rowOff>
    </xdr:from>
    <xdr:to>
      <xdr:col>11</xdr:col>
      <xdr:colOff>13506</xdr:colOff>
      <xdr:row>29</xdr:row>
      <xdr:rowOff>135256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0BAE22-96FE-B435-8D07-3D8B1563E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" y="1214438"/>
          <a:ext cx="6228569" cy="3909537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30</xdr:row>
      <xdr:rowOff>85725</xdr:rowOff>
    </xdr:from>
    <xdr:to>
      <xdr:col>10</xdr:col>
      <xdr:colOff>368352</xdr:colOff>
      <xdr:row>45</xdr:row>
      <xdr:rowOff>142564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BCDD2E-63D4-0D33-DD66-D9E8D810F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2475" y="4943475"/>
          <a:ext cx="5933333" cy="2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46</xdr:row>
      <xdr:rowOff>9525</xdr:rowOff>
    </xdr:from>
    <xdr:to>
      <xdr:col>10</xdr:col>
      <xdr:colOff>349298</xdr:colOff>
      <xdr:row>64</xdr:row>
      <xdr:rowOff>152018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EB7C63A-16F7-53F3-0795-D58ADD08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325" y="7458075"/>
          <a:ext cx="5971429" cy="30571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651009</xdr:colOff>
      <xdr:row>115</xdr:row>
      <xdr:rowOff>42689</xdr:rowOff>
    </xdr:from>
    <xdr:to>
      <xdr:col>22</xdr:col>
      <xdr:colOff>273744</xdr:colOff>
      <xdr:row>132</xdr:row>
      <xdr:rowOff>149412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cer.org.za/wp-content/uploads/2021/12/App-B-474-10175-Medupi-FGD-Technology-Study-Report-Rev-2-0-FINAL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343</v>
      </c>
      <c r="D26" s="25"/>
      <c r="E26" s="25"/>
    </row>
    <row r="27" spans="1:10" x14ac:dyDescent="0.2">
      <c r="B27" s="39" t="s">
        <v>328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329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330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331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332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333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334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335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336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337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338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339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340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341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344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342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302</v>
      </c>
      <c r="C9" s="41" t="s">
        <v>315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304</v>
      </c>
      <c r="C10" s="41" t="s">
        <v>317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307</v>
      </c>
      <c r="C11" s="41" t="s">
        <v>320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301</v>
      </c>
      <c r="C12" s="41" t="s">
        <v>314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303</v>
      </c>
      <c r="C13" s="41" t="s">
        <v>316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305</v>
      </c>
      <c r="C14" s="41" t="s">
        <v>318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306</v>
      </c>
      <c r="C15" s="41" t="s">
        <v>319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308</v>
      </c>
      <c r="C16" s="41" t="s">
        <v>321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309</v>
      </c>
      <c r="C17" s="41" t="s">
        <v>322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346</v>
      </c>
      <c r="C18" s="41" t="s">
        <v>323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347</v>
      </c>
      <c r="C19" s="41" t="s">
        <v>348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310</v>
      </c>
      <c r="C20" s="41" t="s">
        <v>324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311</v>
      </c>
      <c r="C21" s="41" t="s">
        <v>325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312</v>
      </c>
      <c r="C22" s="41" t="s">
        <v>326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313</v>
      </c>
      <c r="C24" s="41" t="s">
        <v>327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S10" activePane="bottomRight" state="frozen"/>
      <selection pane="topRight" activeCell="H1" sqref="H1"/>
      <selection pane="bottomLeft" activeCell="A10" sqref="A10"/>
      <selection pane="bottomRight" activeCell="H10" sqref="H10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300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1.4810000000000001</v>
      </c>
      <c r="N9" s="55">
        <f>'retirement scenarios'!X18</f>
        <v>1.4810000000000001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</v>
      </c>
      <c r="P10" s="55">
        <f>'retirement scenarios'!Z19</f>
        <v>0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0.10249999999999998</v>
      </c>
      <c r="J11" s="55">
        <f>'retirement scenarios'!T20</f>
        <v>0.10249999999999998</v>
      </c>
      <c r="K11" s="55">
        <f>'retirement scenarios'!U20</f>
        <v>0.10249999999999998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2.2320000000000002</v>
      </c>
      <c r="P12" s="55">
        <f>'retirement scenarios'!Z21</f>
        <v>1.488</v>
      </c>
      <c r="Q12" s="55">
        <f>'retirement scenarios'!AA21</f>
        <v>0.74399999999999988</v>
      </c>
      <c r="R12" s="55">
        <f>'retirement scenarios'!AB21</f>
        <v>0.74399999999999988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2.875</v>
      </c>
      <c r="U13" s="55">
        <f>'retirement scenarios'!AE22</f>
        <v>1.7250000000000001</v>
      </c>
      <c r="V13" s="55">
        <f>'retirement scenarios'!AF22</f>
        <v>1.7250000000000001</v>
      </c>
      <c r="W13" s="55">
        <f>'retirement scenarios'!AG22</f>
        <v>0.57500000000000018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1.2929999999999999</v>
      </c>
      <c r="K14" s="55">
        <f>'retirement scenarios'!U23</f>
        <v>1.2929999999999999</v>
      </c>
      <c r="L14" s="55">
        <f>'retirement scenarios'!V23</f>
        <v>1.2929999999999999</v>
      </c>
      <c r="M14" s="55">
        <f>'retirement scenarios'!W23</f>
        <v>1.0774999999999999</v>
      </c>
      <c r="N14" s="55">
        <f>'retirement scenarios'!X23</f>
        <v>0.86199999999999988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3.84</v>
      </c>
      <c r="U15" s="55">
        <f>'retirement scenarios'!AE24</f>
        <v>3.84</v>
      </c>
      <c r="V15" s="55">
        <f>'retirement scenarios'!AF24</f>
        <v>3.84</v>
      </c>
      <c r="W15" s="55">
        <f>'retirement scenarios'!AG24</f>
        <v>3.84</v>
      </c>
      <c r="X15" s="55">
        <f>'retirement scenarios'!AH24</f>
        <v>3.84</v>
      </c>
      <c r="Y15" s="55">
        <f>'retirement scenarios'!AI24</f>
        <v>3.84</v>
      </c>
      <c r="Z15" s="55">
        <f>'retirement scenarios'!AJ24</f>
        <v>3.84</v>
      </c>
      <c r="AA15" s="55">
        <f>'retirement scenarios'!AK24</f>
        <v>3.84</v>
      </c>
      <c r="AB15" s="55">
        <f>'retirement scenarios'!AL24</f>
        <v>3.84</v>
      </c>
      <c r="AC15" s="55">
        <f>'retirement scenarios'!AM24</f>
        <v>3.1999999999999997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2.85</v>
      </c>
      <c r="P16" s="55">
        <f>'retirement scenarios'!Z25</f>
        <v>2.375</v>
      </c>
      <c r="Q16" s="55">
        <f>'retirement scenarios'!AA25</f>
        <v>1.9</v>
      </c>
      <c r="R16" s="55">
        <f>'retirement scenarios'!AB25</f>
        <v>1.4249999999999998</v>
      </c>
      <c r="S16" s="55">
        <f>'retirement scenarios'!AC25</f>
        <v>0.47499999999999976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3.5579999999999998</v>
      </c>
      <c r="U17" s="55">
        <f>'retirement scenarios'!AE26</f>
        <v>3.5579999999999998</v>
      </c>
      <c r="V17" s="55">
        <f>'retirement scenarios'!AF26</f>
        <v>3.5579999999999998</v>
      </c>
      <c r="W17" s="55">
        <f>'retirement scenarios'!AG26</f>
        <v>3.5579999999999998</v>
      </c>
      <c r="X17" s="55">
        <f>'retirement scenarios'!AH26</f>
        <v>3.5579999999999998</v>
      </c>
      <c r="Y17" s="55">
        <f>'retirement scenarios'!AI26</f>
        <v>3.5579999999999998</v>
      </c>
      <c r="Z17" s="55">
        <f>'retirement scenarios'!AJ26</f>
        <v>2.9649999999999999</v>
      </c>
      <c r="AA17" s="55">
        <f>'retirement scenarios'!AK26</f>
        <v>1.7789999999999999</v>
      </c>
      <c r="AB17" s="55">
        <f>'retirement scenarios'!AL26</f>
        <v>1.1859999999999999</v>
      </c>
      <c r="AC17" s="55">
        <f>'retirement scenarios'!AM26</f>
        <v>1.1859999999999999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1.8330000000000002</v>
      </c>
      <c r="U18" s="55">
        <f>'retirement scenarios'!AE27</f>
        <v>1.8330000000000002</v>
      </c>
      <c r="V18" s="55">
        <f>'retirement scenarios'!AF27</f>
        <v>1.8330000000000002</v>
      </c>
      <c r="W18" s="55">
        <f>'retirement scenarios'!AG27</f>
        <v>1.8330000000000002</v>
      </c>
      <c r="X18" s="55">
        <f>'retirement scenarios'!AH27</f>
        <v>1.8330000000000002</v>
      </c>
      <c r="Y18" s="55">
        <f>'retirement scenarios'!AI27</f>
        <v>1.8330000000000002</v>
      </c>
      <c r="Z18" s="55">
        <f>'retirement scenarios'!AJ27</f>
        <v>1.8330000000000002</v>
      </c>
      <c r="AA18" s="55">
        <f>'retirement scenarios'!AK27</f>
        <v>1.8330000000000002</v>
      </c>
      <c r="AB18" s="55">
        <f>'retirement scenarios'!AL27</f>
        <v>1.8330000000000002</v>
      </c>
      <c r="AC18" s="55">
        <f>'retirement scenarios'!AM27</f>
        <v>1.8330000000000002</v>
      </c>
      <c r="AD18" s="55">
        <f>'retirement scenarios'!AR27</f>
        <v>1.8330000000000002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2.0099999999999998</v>
      </c>
      <c r="U19" s="55">
        <f>'retirement scenarios'!AE28</f>
        <v>2.0099999999999998</v>
      </c>
      <c r="V19" s="55">
        <f>'retirement scenarios'!AF28</f>
        <v>2.0099999999999998</v>
      </c>
      <c r="W19" s="55">
        <f>'retirement scenarios'!AG28</f>
        <v>2.0099999999999998</v>
      </c>
      <c r="X19" s="55">
        <f>'retirement scenarios'!AH28</f>
        <v>2.0099999999999998</v>
      </c>
      <c r="Y19" s="55">
        <f>'retirement scenarios'!AI28</f>
        <v>2.0099999999999998</v>
      </c>
      <c r="Z19" s="55">
        <f>'retirement scenarios'!AJ28</f>
        <v>2.0099999999999998</v>
      </c>
      <c r="AA19" s="55">
        <f>'retirement scenarios'!AK28</f>
        <v>2.0099999999999998</v>
      </c>
      <c r="AB19" s="55">
        <f>'retirement scenarios'!AL28</f>
        <v>2.0099999999999998</v>
      </c>
      <c r="AC19" s="55">
        <f>'retirement scenarios'!AM28</f>
        <v>2.0099999999999998</v>
      </c>
      <c r="AD19" s="55">
        <f>'retirement scenarios'!AR28</f>
        <v>2.0099999999999998</v>
      </c>
      <c r="AE19" s="55">
        <f>'retirement scenarios'!AW28</f>
        <v>1.3399999999999999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3.69</v>
      </c>
      <c r="U20" s="55">
        <f>'retirement scenarios'!AE29</f>
        <v>3.69</v>
      </c>
      <c r="V20" s="55">
        <f>'retirement scenarios'!AF29</f>
        <v>3.69</v>
      </c>
      <c r="W20" s="55">
        <f>'retirement scenarios'!AG29</f>
        <v>3.69</v>
      </c>
      <c r="X20" s="55">
        <f>'retirement scenarios'!AH29</f>
        <v>3.69</v>
      </c>
      <c r="Y20" s="55">
        <f>'retirement scenarios'!AI29</f>
        <v>3.69</v>
      </c>
      <c r="Z20" s="55">
        <f>'retirement scenarios'!AJ29</f>
        <v>3.69</v>
      </c>
      <c r="AA20" s="55">
        <f>'retirement scenarios'!AK29</f>
        <v>3.69</v>
      </c>
      <c r="AB20" s="55">
        <f>'retirement scenarios'!AL29</f>
        <v>2.46</v>
      </c>
      <c r="AC20" s="55">
        <f>'retirement scenarios'!AM29</f>
        <v>1.845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3.45</v>
      </c>
      <c r="T21" s="55">
        <f>'retirement scenarios'!AD30</f>
        <v>2.875</v>
      </c>
      <c r="U21" s="55">
        <f>'retirement scenarios'!AE30</f>
        <v>1.7249999999999999</v>
      </c>
      <c r="V21" s="55">
        <f>'retirement scenarios'!AF30</f>
        <v>1.1499999999999999</v>
      </c>
      <c r="W21" s="55">
        <f>'retirement scenarios'!AG30</f>
        <v>0.57499999999999984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3.51</v>
      </c>
      <c r="T22" s="55">
        <f>'retirement scenarios'!AD31</f>
        <v>3.51</v>
      </c>
      <c r="U22" s="55">
        <f>'retirement scenarios'!AE31</f>
        <v>3.51</v>
      </c>
      <c r="V22" s="55">
        <f>'retirement scenarios'!AF31</f>
        <v>3.51</v>
      </c>
      <c r="W22" s="55">
        <f>'retirement scenarios'!AG31</f>
        <v>3.51</v>
      </c>
      <c r="X22" s="55">
        <f>'retirement scenarios'!AH31</f>
        <v>3.51</v>
      </c>
      <c r="Y22" s="55">
        <f>'retirement scenarios'!AI31</f>
        <v>2.9249999999999998</v>
      </c>
      <c r="Z22" s="55">
        <f>'retirement scenarios'!AJ31</f>
        <v>2.34</v>
      </c>
      <c r="AA22" s="55">
        <f>'retirement scenarios'!AK31</f>
        <v>1.17</v>
      </c>
      <c r="AB22" s="55">
        <f>'retirement scenarios'!AL31</f>
        <v>1.17</v>
      </c>
      <c r="AC22" s="55">
        <f>'retirement scenarios'!AM31</f>
        <v>0.58499999999999996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E1" workbookViewId="0">
      <selection activeCell="H24" sqref="H24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7" ht="11.25" customHeight="1" x14ac:dyDescent="0.2">
      <c r="A1" s="53" t="s">
        <v>300</v>
      </c>
      <c r="B1" s="18" t="s">
        <v>122</v>
      </c>
      <c r="P1" s="39" t="s">
        <v>92</v>
      </c>
    </row>
    <row r="2" spans="1:17" ht="11.25" customHeight="1" x14ac:dyDescent="0.2">
      <c r="A2" s="51" t="str">
        <f ca="1">MID(CELL("filename",A1),FIND("]",CELL("filename",A1))+1,255)</f>
        <v>ProcDataFGD</v>
      </c>
    </row>
    <row r="3" spans="1:17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349</v>
      </c>
      <c r="Q3" s="61" t="s">
        <v>127</v>
      </c>
    </row>
    <row r="4" spans="1:17" ht="21.75" customHeight="1" x14ac:dyDescent="0.2">
      <c r="E4" s="60"/>
      <c r="F4" s="60"/>
      <c r="G4" s="60"/>
      <c r="H4" s="59" t="s">
        <v>187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Q4" s="52" t="s">
        <v>117</v>
      </c>
    </row>
    <row r="5" spans="1:17" ht="16.5" customHeight="1" x14ac:dyDescent="0.2">
      <c r="H5" s="52" t="s">
        <v>186</v>
      </c>
      <c r="I5" s="52" t="s">
        <v>186</v>
      </c>
      <c r="Q5" s="58"/>
    </row>
    <row r="6" spans="1:17" ht="17.25" customHeight="1" x14ac:dyDescent="0.2">
      <c r="H6" s="52" t="s">
        <v>119</v>
      </c>
      <c r="I6" s="52" t="s">
        <v>119</v>
      </c>
      <c r="Q6" s="58"/>
    </row>
    <row r="7" spans="1:17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Q7" s="56" t="s">
        <v>44</v>
      </c>
    </row>
    <row r="8" spans="1:17" ht="11.25" customHeight="1" x14ac:dyDescent="0.2">
      <c r="A8" s="42" t="s">
        <v>232</v>
      </c>
      <c r="F8" s="44"/>
    </row>
    <row r="9" spans="1:17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IF(P25&gt;5,0.868,"")</f>
        <v/>
      </c>
      <c r="I9" s="55" t="str">
        <f>IF(P25&gt;5,0.06514,"")</f>
        <v/>
      </c>
    </row>
    <row r="10" spans="1:17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IF(P26&gt;5,0.868,"")</f>
        <v/>
      </c>
      <c r="I10" s="55" t="str">
        <f t="shared" ref="I10:I23" si="2">IF(P26&gt;5,0.06514,"")</f>
        <v/>
      </c>
    </row>
    <row r="11" spans="1:17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</row>
    <row r="12" spans="1:17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</row>
    <row r="13" spans="1:17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 t="str">
        <f t="shared" si="1"/>
        <v/>
      </c>
      <c r="I13" s="55" t="str">
        <f t="shared" si="2"/>
        <v/>
      </c>
    </row>
    <row r="14" spans="1:17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</row>
    <row r="15" spans="1:17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 t="shared" si="1"/>
        <v>0.86799999999999999</v>
      </c>
      <c r="I15" s="55">
        <f t="shared" si="2"/>
        <v>6.5140000000000003E-2</v>
      </c>
    </row>
    <row r="16" spans="1:17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</row>
    <row r="17" spans="1:17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 t="shared" si="1"/>
        <v>0.86799999999999999</v>
      </c>
      <c r="I17" s="55">
        <f t="shared" si="2"/>
        <v>6.5140000000000003E-2</v>
      </c>
    </row>
    <row r="18" spans="1:17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 t="shared" si="1"/>
        <v>0.86799999999999999</v>
      </c>
      <c r="I18" s="55">
        <f t="shared" si="2"/>
        <v>6.5140000000000003E-2</v>
      </c>
    </row>
    <row r="19" spans="1:17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 t="shared" si="1"/>
        <v>0.86799999999999999</v>
      </c>
      <c r="I19" s="55">
        <f t="shared" si="2"/>
        <v>6.5140000000000003E-2</v>
      </c>
    </row>
    <row r="20" spans="1:17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 t="shared" si="1"/>
        <v>0.86799999999999999</v>
      </c>
      <c r="I20" s="55">
        <f t="shared" si="2"/>
        <v>6.5140000000000003E-2</v>
      </c>
    </row>
    <row r="21" spans="1:17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 t="str">
        <f t="shared" si="1"/>
        <v/>
      </c>
      <c r="I21" s="55" t="str">
        <f t="shared" si="2"/>
        <v/>
      </c>
    </row>
    <row r="22" spans="1:17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 t="shared" si="1"/>
        <v>0.86799999999999999</v>
      </c>
      <c r="I22" s="55">
        <f t="shared" si="2"/>
        <v>6.5140000000000003E-2</v>
      </c>
    </row>
    <row r="23" spans="1:17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IF(P39&gt;5,0.93,"")</f>
        <v>0.93</v>
      </c>
      <c r="I23" s="55">
        <f t="shared" si="2"/>
        <v>6.5140000000000003E-2</v>
      </c>
    </row>
    <row r="24" spans="1:17" ht="11.25" customHeight="1" x14ac:dyDescent="0.2">
      <c r="A24" s="42" t="s">
        <v>345</v>
      </c>
    </row>
    <row r="25" spans="1:17" ht="11.25" customHeight="1" x14ac:dyDescent="0.2">
      <c r="B25" s="39" t="str">
        <f>Processes!B27</f>
        <v>FGDCAMD-E</v>
      </c>
      <c r="C25" s="39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IF(P25&gt;5,ProcDataRetirement!T9,"")</f>
        <v/>
      </c>
      <c r="K25" s="47" t="str">
        <f>IF(P25&gt;5,FGD!$D$32,"")</f>
        <v/>
      </c>
      <c r="L25" s="90" t="str">
        <f>IF(P25&gt;5,FGD!$D$33,"")</f>
        <v/>
      </c>
      <c r="M25" s="46" t="str">
        <f>IF(P25&gt;5,FGD!$D$34,"")</f>
        <v/>
      </c>
      <c r="N25" s="39">
        <v>-2</v>
      </c>
      <c r="O25" s="39" t="str">
        <f>IF(P25&gt;5,P25,"")</f>
        <v/>
      </c>
      <c r="P25" s="39">
        <f>COUNTIF(ProcDataRetirement!S9:AC9,"&gt;0")+5*IF(ProcDataRetirement!AD9&gt;1,1,0)+5*IF(ProcDataRetirement!AE9&gt;1,1,0)</f>
        <v>0</v>
      </c>
      <c r="Q25" s="39">
        <v>31.536000000000001</v>
      </c>
    </row>
    <row r="26" spans="1:17" ht="11.25" customHeight="1" x14ac:dyDescent="0.2">
      <c r="B26" s="39" t="str">
        <f>Processes!B28</f>
        <v>FGDGROO-E</v>
      </c>
      <c r="C26" s="39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IF(P26&gt;5,ProcDataRetirement!T10,"")</f>
        <v/>
      </c>
      <c r="K26" s="47" t="str">
        <f>IF(P26&gt;5,FGD!$D$32,"")</f>
        <v/>
      </c>
      <c r="L26" s="90" t="str">
        <f>IF(P26&gt;5,FGD!$D$33,"")</f>
        <v/>
      </c>
      <c r="M26" s="46" t="str">
        <f>IF(P26&gt;5,FGD!$D$34,"")</f>
        <v/>
      </c>
      <c r="N26" s="39">
        <v>-2</v>
      </c>
      <c r="O26" s="39" t="str">
        <f t="shared" ref="O26:O39" si="3">IF(P26&gt;5,P26,"")</f>
        <v/>
      </c>
      <c r="P26" s="39">
        <f>COUNTIF(ProcDataRetirement!S10:AC10,"&gt;0")+5*IF(ProcDataRetirement!AD10&gt;1,1,0)+5*IF(ProcDataRetirement!AE10&gt;1,1,0)</f>
        <v>0</v>
      </c>
      <c r="Q26" s="39">
        <v>31.536000000000001</v>
      </c>
    </row>
    <row r="27" spans="1:17" ht="11.25" customHeight="1" x14ac:dyDescent="0.2">
      <c r="B27" s="39" t="str">
        <f>Processes!B29</f>
        <v>FGDKOMA-E</v>
      </c>
      <c r="C27" s="39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IF(P27&gt;5,ProcDataRetirement!T11,"")</f>
        <v/>
      </c>
      <c r="K27" s="47" t="str">
        <f>IF(P27&gt;5,FGD!$D$32,"")</f>
        <v/>
      </c>
      <c r="L27" s="90" t="str">
        <f>IF(P27&gt;5,FGD!$D$33,"")</f>
        <v/>
      </c>
      <c r="M27" s="46" t="str">
        <f>IF(P27&gt;5,FGD!$D$34,"")</f>
        <v/>
      </c>
      <c r="N27" s="39">
        <v>-2</v>
      </c>
      <c r="O27" s="39" t="str">
        <f t="shared" si="3"/>
        <v/>
      </c>
      <c r="P27" s="39">
        <f>COUNTIF(ProcDataRetirement!S11:AC11,"&gt;0")+5*IF(ProcDataRetirement!AD11&gt;1,1,0)+5*IF(ProcDataRetirement!AE11&gt;1,1,0)</f>
        <v>0</v>
      </c>
      <c r="Q27" s="39">
        <v>31.536000000000001</v>
      </c>
    </row>
    <row r="28" spans="1:17" ht="11.25" customHeight="1" x14ac:dyDescent="0.2">
      <c r="B28" s="39" t="str">
        <f>Processes!B30</f>
        <v>FGDARNO-E</v>
      </c>
      <c r="C28" s="39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IF(P28&gt;5,ProcDataRetirement!T12,"")</f>
        <v/>
      </c>
      <c r="K28" s="47" t="str">
        <f>IF(P28&gt;5,FGD!$D$32,"")</f>
        <v/>
      </c>
      <c r="L28" s="90" t="str">
        <f>IF(P28&gt;5,FGD!$D$33,"")</f>
        <v/>
      </c>
      <c r="M28" s="46" t="str">
        <f>IF(P28&gt;5,FGD!$D$34,"")</f>
        <v/>
      </c>
      <c r="N28" s="39">
        <v>-2</v>
      </c>
      <c r="O28" s="39" t="str">
        <f t="shared" si="3"/>
        <v/>
      </c>
      <c r="P28" s="39">
        <f>COUNTIF(ProcDataRetirement!S12:AC12,"&gt;0")+5*IF(ProcDataRetirement!AD12&gt;1,1,0)+5*IF(ProcDataRetirement!AE12&gt;1,1,0)</f>
        <v>0</v>
      </c>
      <c r="Q28" s="39">
        <v>31.536000000000001</v>
      </c>
    </row>
    <row r="29" spans="1:17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J29" s="39" t="str">
        <f>IF(P29&gt;5,ProcDataRetirement!T13,"")</f>
        <v/>
      </c>
      <c r="K29" s="47" t="str">
        <f>IF(P29&gt;5,FGD!$D$32,"")</f>
        <v/>
      </c>
      <c r="L29" s="90" t="str">
        <f>IF(P29&gt;5,FGD!$D$33,"")</f>
        <v/>
      </c>
      <c r="M29" s="46" t="str">
        <f>IF(P29&gt;5,FGD!$D$34,"")</f>
        <v/>
      </c>
      <c r="N29" s="39">
        <v>-2</v>
      </c>
      <c r="O29" s="39" t="str">
        <f t="shared" si="3"/>
        <v/>
      </c>
      <c r="P29" s="39">
        <f>COUNTIF(ProcDataRetirement!S13:AC13,"&gt;0")+5*IF(ProcDataRetirement!AD13&gt;1,1,0)+5*IF(ProcDataRetirement!AE13&gt;1,1,0)</f>
        <v>5</v>
      </c>
      <c r="Q29" s="39">
        <v>31.536000000000001</v>
      </c>
    </row>
    <row r="30" spans="1:17" ht="11.25" customHeight="1" x14ac:dyDescent="0.2">
      <c r="B30" s="39" t="str">
        <f>Processes!B32</f>
        <v>FGDHEND-E</v>
      </c>
      <c r="C30" s="39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IF(P30&gt;5,ProcDataRetirement!T14,"")</f>
        <v/>
      </c>
      <c r="K30" s="47" t="str">
        <f>IF(P30&gt;5,FGD!$D$32,"")</f>
        <v/>
      </c>
      <c r="L30" s="90" t="str">
        <f>IF(P30&gt;5,FGD!$D$33,"")</f>
        <v/>
      </c>
      <c r="M30" s="46" t="str">
        <f>IF(P30&gt;5,FGD!$D$34,"")</f>
        <v/>
      </c>
      <c r="N30" s="39">
        <v>-2</v>
      </c>
      <c r="O30" s="39" t="str">
        <f t="shared" si="3"/>
        <v/>
      </c>
      <c r="P30" s="39">
        <f>COUNTIF(ProcDataRetirement!S14:AC14,"&gt;0")+5*IF(ProcDataRetirement!AD14&gt;1,1,0)+5*IF(ProcDataRetirement!AE14&gt;1,1,0)</f>
        <v>0</v>
      </c>
      <c r="Q30" s="39">
        <v>31.536000000000001</v>
      </c>
    </row>
    <row r="31" spans="1:17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J31" s="39">
        <f>IF(P31&gt;5,ProcDataRetirement!T15,"")</f>
        <v>3.84</v>
      </c>
      <c r="K31" s="47">
        <f>IF(P31&gt;5,FGD!$D$32,"")</f>
        <v>3.0272136364862297</v>
      </c>
      <c r="L31" s="90">
        <f>IF(P31&gt;5,FGD!$D$33,"")</f>
        <v>196.52075410631926</v>
      </c>
      <c r="M31" s="46">
        <f>IF(P31&gt;5,FGD!$D$34,"")</f>
        <v>5867.8983833718248</v>
      </c>
      <c r="N31" s="39">
        <v>-2</v>
      </c>
      <c r="O31" s="39">
        <f t="shared" si="3"/>
        <v>11</v>
      </c>
      <c r="P31" s="39">
        <f>COUNTIF(ProcDataRetirement!S15:AC15,"&gt;0")+5*IF(ProcDataRetirement!AD15&gt;1,1,0)+5*IF(ProcDataRetirement!AE15&gt;1,1,0)</f>
        <v>11</v>
      </c>
      <c r="Q31" s="39">
        <v>31.536000000000001</v>
      </c>
    </row>
    <row r="32" spans="1:17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J32" s="39" t="str">
        <f>IF(P32&gt;5,ProcDataRetirement!T16,"")</f>
        <v/>
      </c>
      <c r="K32" s="47" t="str">
        <f>IF(P32&gt;5,FGD!$D$32,"")</f>
        <v/>
      </c>
      <c r="L32" s="90" t="str">
        <f>IF(P32&gt;5,FGD!$D$33,"")</f>
        <v/>
      </c>
      <c r="M32" s="46" t="str">
        <f>IF(P32&gt;5,FGD!$D$34,"")</f>
        <v/>
      </c>
      <c r="N32" s="39">
        <v>-2</v>
      </c>
      <c r="O32" s="39" t="str">
        <f t="shared" si="3"/>
        <v/>
      </c>
      <c r="P32" s="39">
        <f>COUNTIF(ProcDataRetirement!S16:AC16,"&gt;0")+5*IF(ProcDataRetirement!AD16&gt;1,1,0)+5*IF(ProcDataRetirement!AE16&gt;1,1,0)</f>
        <v>1</v>
      </c>
      <c r="Q32" s="39">
        <v>31.536000000000001</v>
      </c>
    </row>
    <row r="33" spans="2:17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J33" s="39">
        <f>IF(P33&gt;5,ProcDataRetirement!T17,"")</f>
        <v>3.5579999999999998</v>
      </c>
      <c r="K33" s="47">
        <f>IF(P33&gt;5,FGD!$D$32,"")</f>
        <v>3.0272136364862297</v>
      </c>
      <c r="L33" s="90">
        <f>IF(P33&gt;5,FGD!$D$33,"")</f>
        <v>196.52075410631926</v>
      </c>
      <c r="M33" s="46">
        <f>IF(P33&gt;5,FGD!$D$34,"")</f>
        <v>5867.8983833718248</v>
      </c>
      <c r="N33" s="39">
        <v>-2</v>
      </c>
      <c r="O33" s="39">
        <f t="shared" si="3"/>
        <v>11</v>
      </c>
      <c r="P33" s="39">
        <f>COUNTIF(ProcDataRetirement!S17:AC17,"&gt;0")+5*IF(ProcDataRetirement!AD17&gt;1,1,0)+5*IF(ProcDataRetirement!AE17&gt;1,1,0)</f>
        <v>11</v>
      </c>
      <c r="Q33" s="39">
        <v>31.536000000000001</v>
      </c>
    </row>
    <row r="34" spans="2:17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J34" s="39">
        <f>IF(P34&gt;5,ProcDataRetirement!T18,"")</f>
        <v>1.8330000000000002</v>
      </c>
      <c r="K34" s="47">
        <f>IF(P34&gt;5,FGD!$D$32,"")</f>
        <v>3.0272136364862297</v>
      </c>
      <c r="L34" s="90">
        <f>IF(P34&gt;5,FGD!$D$33,"")</f>
        <v>196.52075410631926</v>
      </c>
      <c r="M34" s="46">
        <f>IF(P34&gt;5,FGD!$D$34,"")</f>
        <v>5867.8983833718248</v>
      </c>
      <c r="N34" s="39">
        <v>-2</v>
      </c>
      <c r="O34" s="39">
        <f t="shared" si="3"/>
        <v>16</v>
      </c>
      <c r="P34" s="39">
        <f>COUNTIF(ProcDataRetirement!S18:AC18,"&gt;0")+5*IF(ProcDataRetirement!AD18&gt;1,1,0)+5*IF(ProcDataRetirement!AE18&gt;1,1,0)</f>
        <v>16</v>
      </c>
      <c r="Q34" s="39">
        <v>31.536000000000001</v>
      </c>
    </row>
    <row r="35" spans="2:17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J35" s="39">
        <f>IF(P35&gt;5,ProcDataRetirement!T19,"")</f>
        <v>2.0099999999999998</v>
      </c>
      <c r="K35" s="47">
        <f>IF(P35&gt;5,FGD!$D$32,"")</f>
        <v>3.0272136364862297</v>
      </c>
      <c r="L35" s="90">
        <f>IF(P35&gt;5,FGD!$D$33,"")</f>
        <v>196.52075410631926</v>
      </c>
      <c r="M35" s="46">
        <f>IF(P35&gt;5,FGD!$D$34,"")</f>
        <v>5867.8983833718248</v>
      </c>
      <c r="N35" s="39">
        <v>-2</v>
      </c>
      <c r="O35" s="39">
        <f t="shared" si="3"/>
        <v>21</v>
      </c>
      <c r="P35" s="39">
        <f>COUNTIF(ProcDataRetirement!S19:AC19,"&gt;0")+5*IF(ProcDataRetirement!AD19&gt;1,1,0)+5*IF(ProcDataRetirement!AE19&gt;1,1,0)</f>
        <v>21</v>
      </c>
      <c r="Q35" s="39">
        <v>31.536000000000001</v>
      </c>
    </row>
    <row r="36" spans="2:17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J36" s="39">
        <f>IF(P36&gt;5,ProcDataRetirement!T20,"")</f>
        <v>3.69</v>
      </c>
      <c r="K36" s="47">
        <f>IF(P36&gt;5,FGD!$D$32,"")</f>
        <v>3.0272136364862297</v>
      </c>
      <c r="L36" s="90">
        <f>IF(P36&gt;5,FGD!$D$33,"")</f>
        <v>196.52075410631926</v>
      </c>
      <c r="M36" s="46">
        <f>IF(P36&gt;5,FGD!$D$34,"")</f>
        <v>5867.8983833718248</v>
      </c>
      <c r="N36" s="39">
        <v>-2</v>
      </c>
      <c r="O36" s="39">
        <f t="shared" si="3"/>
        <v>11</v>
      </c>
      <c r="P36" s="39">
        <f>COUNTIF(ProcDataRetirement!S20:AC20,"&gt;0")+5*IF(ProcDataRetirement!AD20&gt;1,1,0)+5*IF(ProcDataRetirement!AE20&gt;1,1,0)</f>
        <v>11</v>
      </c>
      <c r="Q36" s="39">
        <v>31.536000000000001</v>
      </c>
    </row>
    <row r="37" spans="2:17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J37" s="39" t="str">
        <f>IF(P37&gt;5,ProcDataRetirement!T21,"")</f>
        <v/>
      </c>
      <c r="K37" s="47" t="str">
        <f>IF(P37&gt;5,FGD!$D$32,"")</f>
        <v/>
      </c>
      <c r="L37" s="90" t="str">
        <f>IF(P37&gt;5,FGD!$D$33,"")</f>
        <v/>
      </c>
      <c r="M37" s="46" t="str">
        <f>IF(P37&gt;5,FGD!$D$34,"")</f>
        <v/>
      </c>
      <c r="N37" s="39">
        <v>-2</v>
      </c>
      <c r="O37" s="39" t="str">
        <f t="shared" si="3"/>
        <v/>
      </c>
      <c r="P37" s="39">
        <f>COUNTIF(ProcDataRetirement!S21:AC21,"&gt;0")+5*IF(ProcDataRetirement!AD21&gt;1,1,0)+5*IF(ProcDataRetirement!AE21&gt;1,1,0)</f>
        <v>5</v>
      </c>
      <c r="Q37" s="39">
        <v>31.536000000000001</v>
      </c>
    </row>
    <row r="38" spans="2:17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J38" s="39">
        <f>IF(P38&gt;5,ProcDataRetirement!T22,"")</f>
        <v>3.51</v>
      </c>
      <c r="K38" s="47">
        <f>IF(P38&gt;5,FGD!$D$32,"")</f>
        <v>3.0272136364862297</v>
      </c>
      <c r="L38" s="90">
        <f>IF(P38&gt;5,FGD!$D$33,"")</f>
        <v>196.52075410631926</v>
      </c>
      <c r="M38" s="46">
        <f>IF(P38&gt;5,FGD!$D$34,"")</f>
        <v>5867.8983833718248</v>
      </c>
      <c r="N38" s="39">
        <v>-2</v>
      </c>
      <c r="O38" s="39">
        <f t="shared" si="3"/>
        <v>11</v>
      </c>
      <c r="P38" s="39">
        <f>COUNTIF(ProcDataRetirement!S22:AC22,"&gt;0")+5*IF(ProcDataRetirement!AD22&gt;1,1,0)+5*IF(ProcDataRetirement!AE22&gt;1,1,0)</f>
        <v>11</v>
      </c>
      <c r="Q38" s="39">
        <v>31.536000000000001</v>
      </c>
    </row>
    <row r="39" spans="2:17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J39" s="39">
        <v>4.33</v>
      </c>
      <c r="K39" s="47">
        <f>IF(P39&gt;5,FGD!$D$32,"")</f>
        <v>3.0272136364862297</v>
      </c>
      <c r="L39" s="90">
        <f>IF(P39&gt;5,FGD!$D$33,"")</f>
        <v>196.52075410631926</v>
      </c>
      <c r="M39" s="46">
        <f>IF(P39&gt;5,FGD!$D$34,"")</f>
        <v>5867.8983833718248</v>
      </c>
      <c r="N39" s="39">
        <v>-2</v>
      </c>
      <c r="O39" s="39">
        <f t="shared" si="3"/>
        <v>30</v>
      </c>
      <c r="P39" s="39">
        <v>30</v>
      </c>
      <c r="Q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K11" sqref="K11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 t="str">
        <f ca="1">IF(INDEX([6]Index!$C$18:$C$48,MATCH(A2,[6]Index!B18:B48,0)),"ProcData","")</f>
        <v>ProcData</v>
      </c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371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302</v>
      </c>
      <c r="J5" s="39" t="s">
        <v>304</v>
      </c>
      <c r="K5" s="39" t="s">
        <v>307</v>
      </c>
      <c r="L5" s="39" t="s">
        <v>301</v>
      </c>
      <c r="M5" s="39" t="s">
        <v>303</v>
      </c>
      <c r="N5" s="39" t="s">
        <v>305</v>
      </c>
      <c r="O5" s="39" t="s">
        <v>306</v>
      </c>
      <c r="P5" s="39" t="s">
        <v>308</v>
      </c>
      <c r="Q5" s="39" t="s">
        <v>309</v>
      </c>
      <c r="R5" s="39" t="s">
        <v>346</v>
      </c>
      <c r="S5" s="39" t="s">
        <v>347</v>
      </c>
      <c r="T5" s="39" t="s">
        <v>310</v>
      </c>
      <c r="U5" s="39" t="s">
        <v>311</v>
      </c>
      <c r="V5" s="39" t="s">
        <v>312</v>
      </c>
      <c r="W5" s="39" t="s">
        <v>313</v>
      </c>
      <c r="X5" s="39" t="s">
        <v>302</v>
      </c>
      <c r="Y5" s="39" t="s">
        <v>304</v>
      </c>
      <c r="Z5" s="39" t="s">
        <v>307</v>
      </c>
      <c r="AA5" s="39" t="s">
        <v>301</v>
      </c>
      <c r="AB5" s="39" t="s">
        <v>303</v>
      </c>
      <c r="AC5" s="39" t="s">
        <v>305</v>
      </c>
      <c r="AD5" s="39" t="s">
        <v>306</v>
      </c>
      <c r="AE5" s="39" t="s">
        <v>308</v>
      </c>
      <c r="AF5" s="39" t="s">
        <v>309</v>
      </c>
      <c r="AG5" s="39" t="s">
        <v>346</v>
      </c>
      <c r="AH5" s="39" t="s">
        <v>347</v>
      </c>
      <c r="AI5" s="39" t="s">
        <v>310</v>
      </c>
      <c r="AJ5" s="39" t="s">
        <v>311</v>
      </c>
      <c r="AK5" s="39" t="s">
        <v>312</v>
      </c>
      <c r="AL5" s="39" t="s">
        <v>313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 t="str">
        <f>ProcDataFGD!I13</f>
        <v/>
      </c>
      <c r="I13" s="90"/>
      <c r="J13" s="90"/>
      <c r="M13" s="39">
        <v>0</v>
      </c>
      <c r="X13" s="90"/>
      <c r="Y13" s="90"/>
      <c r="AB13" s="90" t="str">
        <f>IF($H13="","",1)</f>
        <v/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>
        <f>ProcDataFGD!I15</f>
        <v>6.5140000000000003E-2</v>
      </c>
      <c r="I15" s="90"/>
      <c r="J15" s="90"/>
      <c r="O15" s="39">
        <v>0</v>
      </c>
      <c r="X15" s="90"/>
      <c r="Y15" s="90"/>
      <c r="AD15" s="90">
        <f>IF($H15="","",1)</f>
        <v>1</v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>
        <f>ProcDataFGD!I17</f>
        <v>6.5140000000000003E-2</v>
      </c>
      <c r="I17" s="90"/>
      <c r="J17" s="90"/>
      <c r="Q17" s="39">
        <v>0</v>
      </c>
      <c r="X17" s="90"/>
      <c r="Y17" s="90"/>
      <c r="AF17" s="90">
        <f>IF($H17="","",1)</f>
        <v>1</v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>
        <f>ProcDataFGD!I18</f>
        <v>6.5140000000000003E-2</v>
      </c>
      <c r="I18" s="90"/>
      <c r="J18" s="90"/>
      <c r="R18" s="39">
        <v>0</v>
      </c>
      <c r="X18" s="90"/>
      <c r="Y18" s="90"/>
      <c r="AG18" s="90">
        <f>IF($H18="","",1)</f>
        <v>1</v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>
        <f>ProcDataFGD!I19</f>
        <v>6.5140000000000003E-2</v>
      </c>
      <c r="I19" s="90"/>
      <c r="J19" s="90"/>
      <c r="S19" s="39">
        <v>0</v>
      </c>
      <c r="X19" s="90"/>
      <c r="Y19" s="90"/>
      <c r="AH19" s="90">
        <f>IF($H19="","",1)</f>
        <v>1</v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>
        <f>ProcDataFGD!I20</f>
        <v>6.5140000000000003E-2</v>
      </c>
      <c r="I20" s="90"/>
      <c r="J20" s="90"/>
      <c r="T20" s="39">
        <v>0</v>
      </c>
      <c r="X20" s="90"/>
      <c r="Y20" s="90"/>
      <c r="AI20" s="90">
        <f>IF($H20="","",1)</f>
        <v>1</v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 t="str">
        <f>ProcDataFGD!I21</f>
        <v/>
      </c>
      <c r="I21" s="90"/>
      <c r="J21" s="90"/>
      <c r="U21" s="39">
        <v>0</v>
      </c>
      <c r="X21" s="90"/>
      <c r="Y21" s="90"/>
      <c r="AJ21" s="90" t="str">
        <f>IF($H21="","",1)</f>
        <v/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>
        <f>ProcDataFGD!I22</f>
        <v>6.5140000000000003E-2</v>
      </c>
      <c r="I22" s="90"/>
      <c r="J22" s="90"/>
      <c r="V22" s="39">
        <v>0</v>
      </c>
      <c r="X22" s="90"/>
      <c r="Y22" s="90"/>
      <c r="AK22" s="90">
        <f>IF($H22="","",1)</f>
        <v>1</v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 t="s">
        <v>300</v>
      </c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F34"/>
  <sheetViews>
    <sheetView workbookViewId="0">
      <selection activeCell="D32" sqref="D32"/>
    </sheetView>
  </sheetViews>
  <sheetFormatPr defaultRowHeight="12.75" x14ac:dyDescent="0.2"/>
  <cols>
    <col min="2" max="2" width="23.42578125" bestFit="1" customWidth="1"/>
  </cols>
  <sheetData>
    <row r="3" spans="2:6" x14ac:dyDescent="0.2">
      <c r="B3" s="85" t="s">
        <v>350</v>
      </c>
      <c r="C3" s="85" t="s">
        <v>244</v>
      </c>
      <c r="D3">
        <v>65.900000000000006</v>
      </c>
    </row>
    <row r="4" spans="2:6" x14ac:dyDescent="0.2">
      <c r="B4" s="85" t="s">
        <v>351</v>
      </c>
      <c r="C4" s="85" t="s">
        <v>244</v>
      </c>
      <c r="D4">
        <v>90.3</v>
      </c>
    </row>
    <row r="5" spans="2:6" x14ac:dyDescent="0.2">
      <c r="B5" s="85" t="s">
        <v>354</v>
      </c>
      <c r="C5" s="85" t="s">
        <v>244</v>
      </c>
      <c r="D5" s="111">
        <f>D4-D3</f>
        <v>24.399999999999991</v>
      </c>
    </row>
    <row r="6" spans="2:6" x14ac:dyDescent="0.2">
      <c r="B6" s="85" t="s">
        <v>352</v>
      </c>
      <c r="C6" s="85" t="s">
        <v>358</v>
      </c>
      <c r="D6">
        <v>789</v>
      </c>
    </row>
    <row r="7" spans="2:6" x14ac:dyDescent="0.2">
      <c r="B7" s="85" t="s">
        <v>353</v>
      </c>
      <c r="C7" s="85" t="s">
        <v>358</v>
      </c>
      <c r="D7">
        <v>1229</v>
      </c>
    </row>
    <row r="8" spans="2:6" x14ac:dyDescent="0.2">
      <c r="B8" s="85" t="s">
        <v>354</v>
      </c>
      <c r="C8" s="85" t="s">
        <v>358</v>
      </c>
      <c r="D8" s="111">
        <f>D7-D6</f>
        <v>440</v>
      </c>
    </row>
    <row r="10" spans="2:6" x14ac:dyDescent="0.2">
      <c r="B10" s="85" t="s">
        <v>355</v>
      </c>
    </row>
    <row r="11" spans="2:6" x14ac:dyDescent="0.2">
      <c r="B11" s="85" t="s">
        <v>211</v>
      </c>
      <c r="C11" s="85" t="s">
        <v>132</v>
      </c>
      <c r="D11">
        <v>4.33</v>
      </c>
    </row>
    <row r="12" spans="2:6" x14ac:dyDescent="0.2">
      <c r="B12" s="85" t="s">
        <v>356</v>
      </c>
      <c r="D12" s="91">
        <v>0.8</v>
      </c>
      <c r="F12" s="85" t="s">
        <v>372</v>
      </c>
    </row>
    <row r="13" spans="2:6" x14ac:dyDescent="0.2">
      <c r="B13" s="85" t="s">
        <v>359</v>
      </c>
      <c r="C13" s="85" t="s">
        <v>123</v>
      </c>
      <c r="D13" s="92">
        <f>D12*D11*8.76</f>
        <v>30.344640000000002</v>
      </c>
    </row>
    <row r="14" spans="2:6" x14ac:dyDescent="0.2">
      <c r="B14" s="85" t="s">
        <v>361</v>
      </c>
      <c r="C14" s="85" t="s">
        <v>360</v>
      </c>
      <c r="D14">
        <f>D11*D8/1000</f>
        <v>1.9052</v>
      </c>
      <c r="F14">
        <v>320.8965</v>
      </c>
    </row>
    <row r="15" spans="2:6" x14ac:dyDescent="0.2">
      <c r="B15" s="85" t="s">
        <v>362</v>
      </c>
      <c r="C15" s="85" t="s">
        <v>360</v>
      </c>
      <c r="D15">
        <f>D13*D5/1000</f>
        <v>0.74040921599999976</v>
      </c>
      <c r="F15">
        <v>850.93489999999997</v>
      </c>
    </row>
    <row r="16" spans="2:6" x14ac:dyDescent="0.2">
      <c r="F16">
        <f>SUM(F14:F15)*D24/D33</f>
        <v>1311.8355319384059</v>
      </c>
    </row>
    <row r="17" spans="2:4" x14ac:dyDescent="0.2">
      <c r="B17" s="85" t="s">
        <v>357</v>
      </c>
      <c r="C17" s="85" t="s">
        <v>360</v>
      </c>
      <c r="D17">
        <f>SUM(D14:D15)</f>
        <v>2.6456092159999995</v>
      </c>
    </row>
    <row r="19" spans="2:4" x14ac:dyDescent="0.2">
      <c r="B19" s="85" t="s">
        <v>363</v>
      </c>
      <c r="C19" s="85" t="s">
        <v>360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85" t="s">
        <v>364</v>
      </c>
      <c r="C22" s="85" t="s">
        <v>367</v>
      </c>
    </row>
    <row r="23" spans="2:4" x14ac:dyDescent="0.2">
      <c r="B23" s="85" t="s">
        <v>365</v>
      </c>
      <c r="C23" s="85" t="s">
        <v>244</v>
      </c>
      <c r="D23">
        <f>D5/2</f>
        <v>12.199999999999996</v>
      </c>
    </row>
    <row r="24" spans="2:4" x14ac:dyDescent="0.2">
      <c r="B24" s="85" t="s">
        <v>366</v>
      </c>
      <c r="C24" s="85" t="s">
        <v>241</v>
      </c>
      <c r="D24">
        <f>D8/2</f>
        <v>220</v>
      </c>
    </row>
    <row r="26" spans="2:4" x14ac:dyDescent="0.2">
      <c r="B26" s="85" t="s">
        <v>248</v>
      </c>
      <c r="C26" s="85" t="s">
        <v>368</v>
      </c>
    </row>
    <row r="27" spans="2:4" x14ac:dyDescent="0.2">
      <c r="B27" s="85" t="s">
        <v>357</v>
      </c>
      <c r="C27" s="85" t="s">
        <v>360</v>
      </c>
      <c r="D27">
        <v>32</v>
      </c>
    </row>
    <row r="28" spans="2:4" x14ac:dyDescent="0.2">
      <c r="B28" s="85" t="s">
        <v>369</v>
      </c>
      <c r="C28" s="85" t="s">
        <v>241</v>
      </c>
      <c r="D28">
        <f>D27/D11*1000</f>
        <v>7390.300230946882</v>
      </c>
    </row>
    <row r="31" spans="2:4" x14ac:dyDescent="0.2">
      <c r="B31" s="85" t="s">
        <v>364</v>
      </c>
      <c r="C31" s="85" t="s">
        <v>370</v>
      </c>
    </row>
    <row r="32" spans="2:4" x14ac:dyDescent="0.2">
      <c r="B32" s="85" t="s">
        <v>365</v>
      </c>
      <c r="C32" s="85" t="s">
        <v>120</v>
      </c>
      <c r="D32">
        <f>D23/3.6*Deflator!W4</f>
        <v>3.0272136364862297</v>
      </c>
    </row>
    <row r="33" spans="2:4" x14ac:dyDescent="0.2">
      <c r="B33" s="85" t="s">
        <v>366</v>
      </c>
      <c r="C33" s="85" t="s">
        <v>241</v>
      </c>
      <c r="D33">
        <f>D24*Deflator!W4</f>
        <v>196.52075410631926</v>
      </c>
    </row>
    <row r="34" spans="2:4" x14ac:dyDescent="0.2">
      <c r="B34" s="85" t="s">
        <v>369</v>
      </c>
      <c r="C34" s="85" t="s">
        <v>241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6B2DD-8768-441D-926B-CDBA0112D872}">
  <sheetPr>
    <tabColor rgb="FF00B050"/>
  </sheetPr>
  <dimension ref="A1:P42"/>
  <sheetViews>
    <sheetView tabSelected="1" zoomScale="80" zoomScaleNormal="80" workbookViewId="0">
      <selection activeCell="M44" sqref="M44"/>
    </sheetView>
  </sheetViews>
  <sheetFormatPr defaultRowHeight="12.75" x14ac:dyDescent="0.2"/>
  <cols>
    <col min="2" max="2" width="12.42578125" customWidth="1"/>
    <col min="13" max="13" width="28" customWidth="1"/>
    <col min="14" max="14" width="24.28515625" bestFit="1" customWidth="1"/>
    <col min="15" max="16" width="21.42578125" bestFit="1" customWidth="1"/>
  </cols>
  <sheetData>
    <row r="1" spans="1:16" x14ac:dyDescent="0.2">
      <c r="A1" t="s">
        <v>375</v>
      </c>
    </row>
    <row r="2" spans="1:16" x14ac:dyDescent="0.2">
      <c r="A2" t="s">
        <v>379</v>
      </c>
      <c r="B2" s="113">
        <v>44986</v>
      </c>
      <c r="C2" t="s">
        <v>380</v>
      </c>
    </row>
    <row r="3" spans="1:16" x14ac:dyDescent="0.2">
      <c r="B3" s="113"/>
    </row>
    <row r="4" spans="1:16" x14ac:dyDescent="0.2">
      <c r="B4" t="s">
        <v>373</v>
      </c>
    </row>
    <row r="5" spans="1:16" x14ac:dyDescent="0.2">
      <c r="B5" t="s">
        <v>374</v>
      </c>
      <c r="C5" t="s">
        <v>376</v>
      </c>
    </row>
    <row r="6" spans="1:16" x14ac:dyDescent="0.2">
      <c r="B6" t="s">
        <v>377</v>
      </c>
      <c r="E6" s="112" t="s">
        <v>378</v>
      </c>
    </row>
    <row r="9" spans="1:16" x14ac:dyDescent="0.2">
      <c r="N9" s="85" t="s">
        <v>388</v>
      </c>
    </row>
    <row r="10" spans="1:16" ht="25.5" x14ac:dyDescent="0.2">
      <c r="N10" t="s">
        <v>382</v>
      </c>
      <c r="O10" s="114" t="s">
        <v>383</v>
      </c>
      <c r="P10" t="s">
        <v>384</v>
      </c>
    </row>
    <row r="11" spans="1:16" x14ac:dyDescent="0.2">
      <c r="M11" t="s">
        <v>381</v>
      </c>
      <c r="N11" s="116">
        <f>17677732000000</f>
        <v>17677732000000</v>
      </c>
      <c r="O11" s="116">
        <v>18122432000000</v>
      </c>
      <c r="P11" s="116">
        <v>19277632000000</v>
      </c>
    </row>
    <row r="12" spans="1:16" x14ac:dyDescent="0.2">
      <c r="M12" s="85" t="s">
        <v>385</v>
      </c>
      <c r="N12" s="116">
        <v>1213335037</v>
      </c>
      <c r="O12" s="116">
        <v>1170979109</v>
      </c>
      <c r="P12" s="116">
        <v>1887352330</v>
      </c>
    </row>
    <row r="14" spans="1:16" x14ac:dyDescent="0.2">
      <c r="M14" s="85" t="s">
        <v>386</v>
      </c>
    </row>
    <row r="16" spans="1:16" x14ac:dyDescent="0.2">
      <c r="M16" s="85" t="s">
        <v>387</v>
      </c>
      <c r="N16" s="116">
        <v>4332</v>
      </c>
    </row>
    <row r="17" spans="12:16" x14ac:dyDescent="0.2">
      <c r="M17" s="85" t="s">
        <v>390</v>
      </c>
      <c r="N17">
        <v>0.9</v>
      </c>
    </row>
    <row r="18" spans="12:16" x14ac:dyDescent="0.2">
      <c r="M18" s="85" t="s">
        <v>392</v>
      </c>
      <c r="N18" s="116">
        <f>N16*N17*8760</f>
        <v>34153488</v>
      </c>
    </row>
    <row r="20" spans="12:16" x14ac:dyDescent="0.2">
      <c r="M20" s="85" t="s">
        <v>389</v>
      </c>
      <c r="N20" s="116">
        <f>N11/$N$16/1000</f>
        <v>4080732.2253000923</v>
      </c>
      <c r="O20" s="116">
        <f>O11/$N$16/1000</f>
        <v>4183386.888273315</v>
      </c>
      <c r="P20" s="116">
        <f>P11/$N$16/1000</f>
        <v>4450053.5549399815</v>
      </c>
    </row>
    <row r="21" spans="12:16" x14ac:dyDescent="0.2">
      <c r="M21" s="85" t="s">
        <v>391</v>
      </c>
      <c r="N21" s="115">
        <f>N12/$N$18</f>
        <v>35.525947950030755</v>
      </c>
      <c r="O21" s="117">
        <f>O12/$N$18</f>
        <v>34.28578390002216</v>
      </c>
      <c r="P21" s="117">
        <f>P12/$N$18</f>
        <v>55.260895461101953</v>
      </c>
    </row>
    <row r="23" spans="12:16" x14ac:dyDescent="0.2">
      <c r="M23" s="85" t="s">
        <v>393</v>
      </c>
    </row>
    <row r="24" spans="12:16" x14ac:dyDescent="0.2">
      <c r="M24" s="85" t="s">
        <v>395</v>
      </c>
      <c r="N24" s="116">
        <v>44428800</v>
      </c>
      <c r="O24" s="116">
        <v>44428800</v>
      </c>
      <c r="P24" s="116">
        <v>31948800</v>
      </c>
    </row>
    <row r="25" spans="12:16" x14ac:dyDescent="0.2">
      <c r="M25" s="85" t="s">
        <v>394</v>
      </c>
      <c r="N25" s="118">
        <f>44428800/N12</f>
        <v>3.6617091442320233E-2</v>
      </c>
      <c r="O25" s="118">
        <f>44428800/O12</f>
        <v>3.7941582098711894E-2</v>
      </c>
      <c r="P25" s="118">
        <f>44428800/P12</f>
        <v>2.3540278777730919E-2</v>
      </c>
    </row>
    <row r="26" spans="12:16" x14ac:dyDescent="0.2">
      <c r="M26" s="85" t="s">
        <v>396</v>
      </c>
      <c r="N26" s="115">
        <f>N25*N21</f>
        <v>1.3008568846613853</v>
      </c>
      <c r="O26" s="115">
        <f t="shared" ref="O26:P26" si="0">O25*O21</f>
        <v>1.3008568846613853</v>
      </c>
      <c r="P26" s="115">
        <f t="shared" si="0"/>
        <v>1.3008568846613853</v>
      </c>
    </row>
    <row r="27" spans="12:16" x14ac:dyDescent="0.2">
      <c r="M27" s="85" t="s">
        <v>397</v>
      </c>
      <c r="N27" s="115">
        <f>N21-N26</f>
        <v>34.225091065369369</v>
      </c>
      <c r="O27" s="115">
        <f t="shared" ref="O27:P27" si="1">O21-O26</f>
        <v>32.984927015360775</v>
      </c>
      <c r="P27" s="115">
        <f t="shared" si="1"/>
        <v>53.960038576440567</v>
      </c>
    </row>
    <row r="30" spans="12:16" x14ac:dyDescent="0.2">
      <c r="M30" s="85" t="s">
        <v>398</v>
      </c>
      <c r="N30">
        <v>0.89327615502872393</v>
      </c>
      <c r="O30" s="85" t="s">
        <v>399</v>
      </c>
    </row>
    <row r="31" spans="12:16" x14ac:dyDescent="0.2">
      <c r="M31" s="85"/>
    </row>
    <row r="32" spans="12:16" x14ac:dyDescent="0.2">
      <c r="L32" s="85"/>
      <c r="M32" s="85" t="s">
        <v>400</v>
      </c>
      <c r="N32" s="116">
        <f>N20*$N$30</f>
        <v>3645220.7919178749</v>
      </c>
      <c r="O32" s="116">
        <f t="shared" ref="O32:P32" si="2">O20*$N$30</f>
        <v>3736919.7545543648</v>
      </c>
      <c r="P32" s="116">
        <f t="shared" si="2"/>
        <v>3975126.7292286912</v>
      </c>
    </row>
    <row r="33" spans="13:16" x14ac:dyDescent="0.2">
      <c r="M33" s="85" t="s">
        <v>401</v>
      </c>
      <c r="N33" s="115">
        <f>N21*$N$30</f>
        <v>31.73448218855405</v>
      </c>
      <c r="O33" s="115">
        <f t="shared" ref="O33:P33" si="3">O21*$N$30</f>
        <v>30.62667321435752</v>
      </c>
      <c r="P33" s="115">
        <f t="shared" si="3"/>
        <v>49.363240220937413</v>
      </c>
    </row>
    <row r="34" spans="13:16" x14ac:dyDescent="0.2">
      <c r="M34" s="85" t="s">
        <v>402</v>
      </c>
      <c r="N34" s="115">
        <f>N26*$N$30</f>
        <v>1.1620244361729664</v>
      </c>
      <c r="O34" s="115">
        <f t="shared" ref="O34:P34" si="4">O26*$N$30</f>
        <v>1.1620244361729664</v>
      </c>
      <c r="P34" s="115">
        <f t="shared" si="4"/>
        <v>1.1620244361729664</v>
      </c>
    </row>
    <row r="35" spans="13:16" x14ac:dyDescent="0.2">
      <c r="M35" s="85" t="s">
        <v>403</v>
      </c>
      <c r="N35" s="115">
        <f t="shared" ref="N35:P35" si="5">N27*$N$30</f>
        <v>30.572457752381084</v>
      </c>
      <c r="O35" s="115">
        <f t="shared" si="5"/>
        <v>29.464648778184557</v>
      </c>
      <c r="P35" s="115">
        <f t="shared" si="5"/>
        <v>48.20121578476445</v>
      </c>
    </row>
    <row r="37" spans="13:16" x14ac:dyDescent="0.2">
      <c r="M37" s="85" t="s">
        <v>404</v>
      </c>
      <c r="N37">
        <v>1.2195652173913043</v>
      </c>
      <c r="O37" s="85" t="s">
        <v>399</v>
      </c>
    </row>
    <row r="39" spans="13:16" x14ac:dyDescent="0.2">
      <c r="M39" s="85" t="s">
        <v>405</v>
      </c>
      <c r="N39" s="116">
        <f>N32*$N$37</f>
        <v>4445584.4875346255</v>
      </c>
      <c r="O39" s="116">
        <f t="shared" ref="O39:P39" si="6">O32*$N$37</f>
        <v>4557417.3528369535</v>
      </c>
      <c r="P39" s="116">
        <f t="shared" si="6"/>
        <v>4847926.2936897734</v>
      </c>
    </row>
    <row r="40" spans="13:16" x14ac:dyDescent="0.2">
      <c r="M40" s="85" t="s">
        <v>406</v>
      </c>
      <c r="N40" s="115">
        <f t="shared" ref="N40:P40" si="7">N33*$N$37</f>
        <v>38.702270669084392</v>
      </c>
      <c r="O40" s="115">
        <f t="shared" si="7"/>
        <v>37.351225376640365</v>
      </c>
      <c r="P40" s="115">
        <f t="shared" si="7"/>
        <v>60.201690791186714</v>
      </c>
    </row>
    <row r="41" spans="13:16" x14ac:dyDescent="0.2">
      <c r="M41" s="85" t="s">
        <v>407</v>
      </c>
      <c r="N41" s="115">
        <f t="shared" ref="N41:P41" si="8">N34*$N$37</f>
        <v>1.4171645841152916</v>
      </c>
      <c r="O41" s="115">
        <f t="shared" si="8"/>
        <v>1.4171645841152916</v>
      </c>
      <c r="P41" s="115">
        <f t="shared" si="8"/>
        <v>1.4171645841152916</v>
      </c>
    </row>
    <row r="42" spans="13:16" x14ac:dyDescent="0.2">
      <c r="M42" s="85" t="s">
        <v>408</v>
      </c>
      <c r="N42" s="115">
        <f t="shared" ref="N42:P42" si="9">N35*$N$37</f>
        <v>37.285106084969101</v>
      </c>
      <c r="O42" s="115">
        <f t="shared" si="9"/>
        <v>35.934060792525081</v>
      </c>
      <c r="P42" s="115">
        <f t="shared" si="9"/>
        <v>58.784526207071423</v>
      </c>
    </row>
  </sheetData>
  <hyperlinks>
    <hyperlink ref="E6" r:id="rId1" xr:uid="{1E54EE81-89D1-4564-ABB1-50E6FFC03D20}"/>
  </hyperlinks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zoomScale="90" zoomScaleNormal="90" workbookViewId="0">
      <selection activeCell="B18" sqref="B18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298</v>
      </c>
      <c r="G10" s="95" t="s">
        <v>262</v>
      </c>
      <c r="H10" s="95" t="s">
        <v>299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264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288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/>
      <c r="C18" s="62" t="str">
        <f>D18&amp;E18</f>
        <v>Scenario A - CAMDEN</v>
      </c>
      <c r="D18" s="62" t="str">
        <f>B19</f>
        <v xml:space="preserve">Scenario A - </v>
      </c>
      <c r="E18" s="105" t="s">
        <v>165</v>
      </c>
      <c r="F18" s="105">
        <f>MATCH(C18,$C$118:$C$241,0)</f>
        <v>1</v>
      </c>
      <c r="G18" s="105" t="s">
        <v>208</v>
      </c>
      <c r="H18" s="63" cm="1">
        <f t="array" ref="H18">INDEX(H$118:H$241,$F18)</f>
        <v>2026</v>
      </c>
      <c r="I18" s="63" cm="1">
        <f t="array" ref="I18">INDEX(I$118:I$241,$F18)</f>
        <v>2026</v>
      </c>
      <c r="J18" s="63" cm="1">
        <f t="array" ref="J18">INDEX(J$118:J$241,$F18)</f>
        <v>2026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2026</v>
      </c>
      <c r="N18" s="63" cm="1">
        <f t="array" ref="N18">INDEX(N$118:N$241,$F18)</f>
        <v>2026</v>
      </c>
      <c r="O18" s="63" cm="1">
        <f t="array" ref="O18">INDEX(O$118:O$241,$F18)</f>
        <v>2026</v>
      </c>
      <c r="P18" s="63" cm="1">
        <f t="array" ref="P18">INDEX(P$118:P$241,$F18)</f>
        <v>0</v>
      </c>
      <c r="Q18" s="101">
        <f>COUNTIF(H18:P18,"&gt;0")</f>
        <v>8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1.4810000000000001</v>
      </c>
      <c r="X18" s="101">
        <f t="shared" ref="X18:X31" si="4">COUNTIF($H18:$P18,X$98)*-$R18/$Q18+W18</f>
        <v>1.4810000000000001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 xml:space="preserve">Scenario A - </v>
      </c>
      <c r="C19" s="62" t="str">
        <f t="shared" ref="C19:C31" si="30">D19&amp;E19</f>
        <v>Scenario A - GROOTVLEI</v>
      </c>
      <c r="D19" s="62" t="str">
        <f>D18</f>
        <v xml:space="preserve">Scenario A - </v>
      </c>
      <c r="E19" s="105" t="s">
        <v>163</v>
      </c>
      <c r="F19" s="105">
        <f t="shared" ref="F19:F31" si="31">MATCH(C19,$C$118:$C$241,0)</f>
        <v>2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2026</v>
      </c>
      <c r="J19" s="63" cm="1">
        <f t="array" ref="J19">INDEX(J$118:J$241,$F19)</f>
        <v>2026</v>
      </c>
      <c r="K19" s="63" cm="1">
        <f t="array" ref="K19">INDEX(K$118:K$241,$F19)</f>
        <v>0</v>
      </c>
      <c r="L19" s="63" cm="1">
        <f t="array" ref="L19">INDEX(L$118:L$241,$F19)</f>
        <v>0</v>
      </c>
      <c r="M19" s="63" cm="1">
        <f t="array" ref="M19">INDEX(M$118:M$241,$F19)</f>
        <v>0</v>
      </c>
      <c r="N19" s="63" cm="1">
        <f t="array" ref="N19">INDEX(N$118:N$241,$F19)</f>
        <v>0</v>
      </c>
      <c r="O19" s="63" cm="1">
        <f t="array" ref="O19">INDEX(O$118:O$241,$F19)</f>
        <v>0</v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</v>
      </c>
      <c r="Z19" s="101">
        <f t="shared" si="6"/>
        <v>0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A - KOMATI</v>
      </c>
      <c r="D20" s="62" t="str">
        <f t="shared" ref="D20:D31" si="34">D19</f>
        <v xml:space="preserve">Scenario A - </v>
      </c>
      <c r="E20" s="105" t="s">
        <v>161</v>
      </c>
      <c r="F20" s="105">
        <f t="shared" si="31"/>
        <v>3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2020</v>
      </c>
      <c r="K20" s="63" cm="1">
        <f t="array" ref="K20">INDEX(K$118:K$241,$F20)</f>
        <v>2023</v>
      </c>
      <c r="L20" s="63" cm="1">
        <f t="array" ref="L20">INDEX(L$118:L$241,$F20)</f>
        <v>0</v>
      </c>
      <c r="M20" s="63" cm="1">
        <f t="array" ref="M20">INDEX(M$118:M$241,$F20)</f>
        <v>0</v>
      </c>
      <c r="N20" s="63" cm="1">
        <f t="array" ref="N20">INDEX(N$118:N$241,$F20)</f>
        <v>0</v>
      </c>
      <c r="O20" s="63" cm="1">
        <f t="array" ref="O20">INDEX(O$118:O$241,$F20)</f>
        <v>0</v>
      </c>
      <c r="P20" s="63" cm="1">
        <f t="array" ref="P20">INDEX(P$118:P$241,$F20)</f>
        <v>0</v>
      </c>
      <c r="Q20" s="101">
        <f t="shared" si="32"/>
        <v>4</v>
      </c>
      <c r="R20" s="101">
        <v>0.41</v>
      </c>
      <c r="S20" s="101">
        <f t="shared" si="33"/>
        <v>0.10249999999999998</v>
      </c>
      <c r="T20" s="101">
        <f t="shared" si="0"/>
        <v>0.10249999999999998</v>
      </c>
      <c r="U20" s="101">
        <f t="shared" si="1"/>
        <v>0.10249999999999998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A - ARNOT</v>
      </c>
      <c r="D21" s="62" t="str">
        <f t="shared" si="34"/>
        <v xml:space="preserve">Scenario A - </v>
      </c>
      <c r="E21" s="105" t="s">
        <v>159</v>
      </c>
      <c r="F21" s="105">
        <f t="shared" si="31"/>
        <v>4</v>
      </c>
      <c r="G21" s="105" t="s">
        <v>201</v>
      </c>
      <c r="H21" s="63" cm="1">
        <f t="array" ref="H21">INDEX(H$118:H$241,$F21)</f>
        <v>2028</v>
      </c>
      <c r="I21" s="63" cm="1">
        <f t="array" ref="I21">INDEX(I$118:I$241,$F21)</f>
        <v>2027</v>
      </c>
      <c r="J21" s="63" cm="1">
        <f t="array" ref="J21">INDEX(J$118:J$241,$F21)</f>
        <v>2027</v>
      </c>
      <c r="K21" s="63" cm="1">
        <f t="array" ref="K21">INDEX(K$118:K$241,$F21)</f>
        <v>2028</v>
      </c>
      <c r="L21" s="63" cm="1">
        <f t="array" ref="L21">INDEX(L$118:L$241,$F21)</f>
        <v>2030</v>
      </c>
      <c r="M21" s="63" cm="1">
        <f t="array" ref="M21">INDEX(M$118:M$241,$F21)</f>
        <v>2030</v>
      </c>
      <c r="N21" s="63" cm="1">
        <f t="array" ref="N21">INDEX(N$118:N$241,$F21)</f>
        <v>0</v>
      </c>
      <c r="O21" s="63" cm="1">
        <f t="array" ref="O21">INDEX(O$118:O$241,$F21)</f>
        <v>0</v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2.2320000000000002</v>
      </c>
      <c r="Z21" s="101">
        <f t="shared" si="6"/>
        <v>1.488</v>
      </c>
      <c r="AA21" s="101">
        <f t="shared" si="7"/>
        <v>0.74399999999999988</v>
      </c>
      <c r="AB21" s="101">
        <f t="shared" si="8"/>
        <v>0.74399999999999988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A - DUVHA</v>
      </c>
      <c r="D22" s="62" t="str">
        <f t="shared" si="34"/>
        <v xml:space="preserve">Scenario A - </v>
      </c>
      <c r="E22" s="105" t="s">
        <v>157</v>
      </c>
      <c r="F22" s="105">
        <f t="shared" si="31"/>
        <v>5</v>
      </c>
      <c r="G22" s="105" t="s">
        <v>207</v>
      </c>
      <c r="H22" s="63" cm="1">
        <f t="array" ref="H22">INDEX(H$118:H$241,$F22)</f>
        <v>2032</v>
      </c>
      <c r="I22" s="63" cm="1">
        <f t="array" ref="I22">INDEX(I$118:I$241,$F22)</f>
        <v>2032</v>
      </c>
      <c r="J22" s="63" cm="1">
        <f t="array" ref="J22">INDEX(J$118:J$241,$F22)</f>
        <v>2034</v>
      </c>
      <c r="K22" s="63" cm="1">
        <f t="array" ref="K22">INDEX(K$118:K$241,$F22)</f>
        <v>2034</v>
      </c>
      <c r="L22" s="63" cm="1">
        <f t="array" ref="L22">INDEX(L$118:L$241,$F22)</f>
        <v>2035</v>
      </c>
      <c r="M22" s="63" cm="1">
        <f t="array" ref="M22">INDEX(M$118:M$241,$F22)</f>
        <v>0</v>
      </c>
      <c r="N22" s="63" cm="1">
        <f t="array" ref="N22">INDEX(N$118:N$241,$F22)</f>
        <v>0</v>
      </c>
      <c r="O22" s="63" cm="1">
        <f t="array" ref="O22">INDEX(O$118:O$241,$F22)</f>
        <v>0</v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2.875</v>
      </c>
      <c r="AE22" s="101">
        <f t="shared" si="11"/>
        <v>1.7250000000000001</v>
      </c>
      <c r="AF22" s="101">
        <f t="shared" si="12"/>
        <v>1.7250000000000001</v>
      </c>
      <c r="AG22" s="101">
        <f t="shared" si="13"/>
        <v>0.57500000000000018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A - HENDRINA</v>
      </c>
      <c r="D23" s="62" t="str">
        <f t="shared" si="34"/>
        <v xml:space="preserve">Scenario A - </v>
      </c>
      <c r="E23" s="105" t="s">
        <v>155</v>
      </c>
      <c r="F23" s="105">
        <f t="shared" si="31"/>
        <v>6</v>
      </c>
      <c r="G23" s="105" t="s">
        <v>198</v>
      </c>
      <c r="H23" s="63" cm="1">
        <f t="array" ref="H23">INDEX(H$118:H$241,$F23)</f>
        <v>2026</v>
      </c>
      <c r="I23" s="63" cm="1">
        <f t="array" ref="I23">INDEX(I$118:I$241,$F23)</f>
        <v>2026</v>
      </c>
      <c r="J23" s="63" cm="1">
        <f t="array" ref="J23">INDEX(J$118:J$241,$F23)</f>
        <v>2026</v>
      </c>
      <c r="K23" s="63" cm="1">
        <f t="array" ref="K23">INDEX(K$118:K$241,$F23)</f>
        <v>2026</v>
      </c>
      <c r="L23" s="63" cm="1">
        <f t="array" ref="L23">INDEX(L$118:L$241,$F23)</f>
        <v>2025</v>
      </c>
      <c r="M23" s="63" cm="1">
        <f t="array" ref="M23">INDEX(M$118:M$241,$F23)</f>
        <v>2024</v>
      </c>
      <c r="N23" s="63" cm="1">
        <f t="array" ref="N23">INDEX(N$118:N$241,$F23)</f>
        <v>0</v>
      </c>
      <c r="O23" s="63" cm="1">
        <f t="array" ref="O23">INDEX(O$118:O$241,$F23)</f>
        <v>0</v>
      </c>
      <c r="P23" s="63" cm="1">
        <f t="array" ref="P23">INDEX(P$118:P$241,$F23)</f>
        <v>0</v>
      </c>
      <c r="Q23" s="101">
        <f t="shared" si="32"/>
        <v>6</v>
      </c>
      <c r="R23" s="101">
        <v>1.2929999999999999</v>
      </c>
      <c r="S23" s="101">
        <f t="shared" si="33"/>
        <v>1.2929999999999999</v>
      </c>
      <c r="T23" s="101">
        <f t="shared" si="0"/>
        <v>1.2929999999999999</v>
      </c>
      <c r="U23" s="101">
        <f t="shared" si="1"/>
        <v>1.2929999999999999</v>
      </c>
      <c r="V23" s="101">
        <f t="shared" si="2"/>
        <v>1.2929999999999999</v>
      </c>
      <c r="W23" s="101">
        <f t="shared" si="3"/>
        <v>1.0774999999999999</v>
      </c>
      <c r="X23" s="101">
        <f t="shared" si="4"/>
        <v>0.86199999999999988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A - KENDAL</v>
      </c>
      <c r="D24" s="62" t="str">
        <f t="shared" si="34"/>
        <v xml:space="preserve">Scenario A - </v>
      </c>
      <c r="E24" s="105" t="s">
        <v>153</v>
      </c>
      <c r="F24" s="105">
        <f t="shared" si="31"/>
        <v>7</v>
      </c>
      <c r="G24" s="105" t="s">
        <v>206</v>
      </c>
      <c r="H24" s="63" cm="1">
        <f t="array" ref="H24">INDEX(H$118:H$241,$F24)</f>
        <v>2040</v>
      </c>
      <c r="I24" s="63" cm="1">
        <f t="array" ref="I24">INDEX(I$118:I$241,$F24)</f>
        <v>2042</v>
      </c>
      <c r="J24" s="63" cm="1">
        <f t="array" ref="J24">INDEX(J$118:J$241,$F24)</f>
        <v>2043</v>
      </c>
      <c r="K24" s="63" cm="1">
        <f t="array" ref="K24">INDEX(K$118:K$241,$F24)</f>
        <v>2043</v>
      </c>
      <c r="L24" s="63" cm="1">
        <f t="array" ref="L24">INDEX(L$118:L$241,$F24)</f>
        <v>2044</v>
      </c>
      <c r="M24" s="63" cm="1">
        <f t="array" ref="M24">INDEX(M$118:M$241,$F24)</f>
        <v>2045</v>
      </c>
      <c r="N24" s="63" cm="1">
        <f t="array" ref="N24">INDEX(N$118:N$241,$F24)</f>
        <v>0</v>
      </c>
      <c r="O24" s="63" cm="1">
        <f t="array" ref="O24">INDEX(O$118:O$241,$F24)</f>
        <v>0</v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3.84</v>
      </c>
      <c r="AE24" s="101">
        <f t="shared" si="11"/>
        <v>3.84</v>
      </c>
      <c r="AF24" s="101">
        <f t="shared" si="12"/>
        <v>3.84</v>
      </c>
      <c r="AG24" s="101">
        <f t="shared" si="13"/>
        <v>3.84</v>
      </c>
      <c r="AH24" s="101">
        <f t="shared" si="14"/>
        <v>3.84</v>
      </c>
      <c r="AI24" s="101">
        <f t="shared" si="15"/>
        <v>3.84</v>
      </c>
      <c r="AJ24" s="101">
        <f t="shared" si="16"/>
        <v>3.84</v>
      </c>
      <c r="AK24" s="101">
        <f t="shared" si="17"/>
        <v>3.84</v>
      </c>
      <c r="AL24" s="101">
        <f t="shared" si="18"/>
        <v>3.84</v>
      </c>
      <c r="AM24" s="101">
        <f t="shared" si="19"/>
        <v>3.1999999999999997</v>
      </c>
      <c r="AN24" s="101">
        <f t="shared" si="20"/>
        <v>3.1999999999999997</v>
      </c>
      <c r="AO24" s="101">
        <f t="shared" si="21"/>
        <v>2.5599999999999996</v>
      </c>
      <c r="AP24" s="101">
        <f t="shared" si="22"/>
        <v>1.2799999999999996</v>
      </c>
      <c r="AQ24" s="101">
        <f t="shared" si="23"/>
        <v>0.63999999999999957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A - KRIEL</v>
      </c>
      <c r="D25" s="62" t="str">
        <f t="shared" si="34"/>
        <v xml:space="preserve">Scenario A - </v>
      </c>
      <c r="E25" s="105" t="s">
        <v>151</v>
      </c>
      <c r="F25" s="105">
        <f t="shared" si="31"/>
        <v>8</v>
      </c>
      <c r="G25" s="105" t="s">
        <v>199</v>
      </c>
      <c r="H25" s="63" cm="1">
        <f t="array" ref="H25">INDEX(H$118:H$241,$F25)</f>
        <v>2027</v>
      </c>
      <c r="I25" s="63" cm="1">
        <f t="array" ref="I25">INDEX(I$118:I$241,$F25)</f>
        <v>2028</v>
      </c>
      <c r="J25" s="63" cm="1">
        <f t="array" ref="J25">INDEX(J$118:J$241,$F25)</f>
        <v>2029</v>
      </c>
      <c r="K25" s="63" cm="1">
        <f t="array" ref="K25">INDEX(K$118:K$241,$F25)</f>
        <v>2030</v>
      </c>
      <c r="L25" s="63" cm="1">
        <f t="array" ref="L25">INDEX(L$118:L$241,$F25)</f>
        <v>2030</v>
      </c>
      <c r="M25" s="63" cm="1">
        <f t="array" ref="M25">INDEX(M$118:M$241,$F25)</f>
        <v>2031</v>
      </c>
      <c r="N25" s="63" cm="1">
        <f t="array" ref="N25">INDEX(N$118:N$241,$F25)</f>
        <v>0</v>
      </c>
      <c r="O25" s="63" cm="1">
        <f t="array" ref="O25">INDEX(O$118:O$241,$F25)</f>
        <v>0</v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2.85</v>
      </c>
      <c r="Z25" s="101">
        <f t="shared" si="6"/>
        <v>2.375</v>
      </c>
      <c r="AA25" s="101">
        <f t="shared" si="7"/>
        <v>1.9</v>
      </c>
      <c r="AB25" s="101">
        <f t="shared" si="8"/>
        <v>1.4249999999999998</v>
      </c>
      <c r="AC25" s="101">
        <f t="shared" si="9"/>
        <v>0.47499999999999976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A - LETHABO</v>
      </c>
      <c r="D26" s="62" t="str">
        <f t="shared" si="34"/>
        <v xml:space="preserve">Scenario A - </v>
      </c>
      <c r="E26" s="105" t="s">
        <v>149</v>
      </c>
      <c r="F26" s="105">
        <f t="shared" si="31"/>
        <v>9</v>
      </c>
      <c r="G26" s="105" t="s">
        <v>205</v>
      </c>
      <c r="H26" s="63" cm="1">
        <f t="array" ref="H26">INDEX(H$118:H$241,$F26)</f>
        <v>2037</v>
      </c>
      <c r="I26" s="63" cm="1">
        <f t="array" ref="I26">INDEX(I$118:I$241,$F26)</f>
        <v>2038</v>
      </c>
      <c r="J26" s="63" cm="1">
        <f t="array" ref="J26">INDEX(J$118:J$241,$F26)</f>
        <v>2038</v>
      </c>
      <c r="K26" s="63" cm="1">
        <f t="array" ref="K26">INDEX(K$118:K$241,$F26)</f>
        <v>2039</v>
      </c>
      <c r="L26" s="63" cm="1">
        <f t="array" ref="L26">INDEX(L$118:L$241,$F26)</f>
        <v>2041</v>
      </c>
      <c r="M26" s="63" cm="1">
        <f t="array" ref="M26">INDEX(M$118:M$241,$F26)</f>
        <v>2042</v>
      </c>
      <c r="N26" s="63" cm="1">
        <f t="array" ref="N26">INDEX(N$118:N$241,$F26)</f>
        <v>0</v>
      </c>
      <c r="O26" s="63" cm="1">
        <f t="array" ref="O26">INDEX(O$118:O$241,$F26)</f>
        <v>0</v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3.5579999999999998</v>
      </c>
      <c r="AE26" s="101">
        <f t="shared" si="11"/>
        <v>3.5579999999999998</v>
      </c>
      <c r="AF26" s="101">
        <f t="shared" si="12"/>
        <v>3.5579999999999998</v>
      </c>
      <c r="AG26" s="101">
        <f t="shared" si="13"/>
        <v>3.5579999999999998</v>
      </c>
      <c r="AH26" s="101">
        <f t="shared" si="14"/>
        <v>3.5579999999999998</v>
      </c>
      <c r="AI26" s="101">
        <f t="shared" si="15"/>
        <v>3.5579999999999998</v>
      </c>
      <c r="AJ26" s="101">
        <f t="shared" si="16"/>
        <v>2.9649999999999999</v>
      </c>
      <c r="AK26" s="101">
        <f t="shared" si="17"/>
        <v>1.7789999999999999</v>
      </c>
      <c r="AL26" s="101">
        <f t="shared" si="18"/>
        <v>1.1859999999999999</v>
      </c>
      <c r="AM26" s="101">
        <f t="shared" si="19"/>
        <v>1.1859999999999999</v>
      </c>
      <c r="AN26" s="101">
        <f t="shared" si="20"/>
        <v>0.59299999999999997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A - MAJUBA DRY</v>
      </c>
      <c r="D27" s="62" t="str">
        <f t="shared" si="34"/>
        <v xml:space="preserve">Scenario A - </v>
      </c>
      <c r="E27" s="105" t="s">
        <v>147</v>
      </c>
      <c r="F27" s="105">
        <f t="shared" si="31"/>
        <v>10</v>
      </c>
      <c r="G27" s="105" t="s">
        <v>197</v>
      </c>
      <c r="H27" s="63" cm="1">
        <f t="array" ref="H27">INDEX(H$118:H$241,$F27)</f>
        <v>2047</v>
      </c>
      <c r="I27" s="63" cm="1">
        <f t="array" ref="I27">INDEX(I$118:I$241,$F27)</f>
        <v>2048</v>
      </c>
      <c r="J27" s="63" cm="1">
        <f t="array" ref="J27">INDEX(J$118:J$241,$F27)</f>
        <v>2049</v>
      </c>
      <c r="K27" s="63" cm="1">
        <f t="array" ref="K27">INDEX(K$118:K$241,$F27)</f>
        <v>0</v>
      </c>
      <c r="L27" s="63" cm="1">
        <f t="array" ref="L27">INDEX(L$118:L$241,$F27)</f>
        <v>0</v>
      </c>
      <c r="M27" s="63" cm="1">
        <f t="array" ref="M27">INDEX(M$118:M$241,$F27)</f>
        <v>0</v>
      </c>
      <c r="N27" s="63" cm="1">
        <f t="array" ref="N27">INDEX(N$118:N$241,$F27)</f>
        <v>0</v>
      </c>
      <c r="O27" s="63" cm="1">
        <f t="array" ref="O27">INDEX(O$118:O$241,$F27)</f>
        <v>0</v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1.8330000000000002</v>
      </c>
      <c r="AE27" s="101">
        <f t="shared" si="11"/>
        <v>1.8330000000000002</v>
      </c>
      <c r="AF27" s="101">
        <f t="shared" si="12"/>
        <v>1.8330000000000002</v>
      </c>
      <c r="AG27" s="101">
        <f t="shared" si="13"/>
        <v>1.8330000000000002</v>
      </c>
      <c r="AH27" s="101">
        <f t="shared" si="14"/>
        <v>1.8330000000000002</v>
      </c>
      <c r="AI27" s="101">
        <f t="shared" si="15"/>
        <v>1.8330000000000002</v>
      </c>
      <c r="AJ27" s="101">
        <f t="shared" si="16"/>
        <v>1.8330000000000002</v>
      </c>
      <c r="AK27" s="101">
        <f t="shared" si="17"/>
        <v>1.8330000000000002</v>
      </c>
      <c r="AL27" s="101">
        <f t="shared" si="18"/>
        <v>1.8330000000000002</v>
      </c>
      <c r="AM27" s="101">
        <f t="shared" si="19"/>
        <v>1.8330000000000002</v>
      </c>
      <c r="AN27" s="101">
        <f t="shared" si="20"/>
        <v>1.8330000000000002</v>
      </c>
      <c r="AO27" s="101">
        <f t="shared" si="21"/>
        <v>1.8330000000000002</v>
      </c>
      <c r="AP27" s="101">
        <f t="shared" si="22"/>
        <v>1.8330000000000002</v>
      </c>
      <c r="AQ27" s="101">
        <f t="shared" si="23"/>
        <v>1.8330000000000002</v>
      </c>
      <c r="AR27" s="101">
        <f t="shared" si="24"/>
        <v>1.8330000000000002</v>
      </c>
      <c r="AS27" s="101">
        <f t="shared" si="25"/>
        <v>1.8330000000000002</v>
      </c>
      <c r="AT27" s="101">
        <f t="shared" si="26"/>
        <v>1.222</v>
      </c>
      <c r="AU27" s="101">
        <f t="shared" si="27"/>
        <v>0.61099999999999988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A - MAJUBA WET</v>
      </c>
      <c r="D28" s="62" t="str">
        <f t="shared" si="34"/>
        <v xml:space="preserve">Scenario A - </v>
      </c>
      <c r="E28" s="105" t="s">
        <v>145</v>
      </c>
      <c r="F28" s="105">
        <f t="shared" si="31"/>
        <v>11</v>
      </c>
      <c r="G28" s="105"/>
      <c r="H28" s="63" cm="1">
        <f t="array" ref="H28">INDEX(H$118:H$241,$F28)</f>
        <v>0</v>
      </c>
      <c r="I28" s="63" cm="1">
        <f t="array" ref="I28">INDEX(I$118:I$241,$F28)</f>
        <v>0</v>
      </c>
      <c r="J28" s="63" cm="1">
        <f t="array" ref="J28">INDEX(J$118:J$241,$F28)</f>
        <v>0</v>
      </c>
      <c r="K28" s="63" cm="1">
        <f t="array" ref="K28">INDEX(K$118:K$241,$F28)</f>
        <v>2050</v>
      </c>
      <c r="L28" s="63" cm="1">
        <f t="array" ref="L28">INDEX(L$118:L$241,$F28)</f>
        <v>2051</v>
      </c>
      <c r="M28" s="63" cm="1">
        <f t="array" ref="M28">INDEX(M$118:M$241,$F28)</f>
        <v>2052</v>
      </c>
      <c r="N28" s="63" cm="1">
        <f t="array" ref="N28">INDEX(N$118:N$241,$F28)</f>
        <v>0</v>
      </c>
      <c r="O28" s="63" cm="1">
        <f t="array" ref="O28">INDEX(O$118:O$241,$F28)</f>
        <v>0</v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2.0099999999999998</v>
      </c>
      <c r="AE28" s="101">
        <f t="shared" si="11"/>
        <v>2.0099999999999998</v>
      </c>
      <c r="AF28" s="101">
        <f t="shared" si="12"/>
        <v>2.0099999999999998</v>
      </c>
      <c r="AG28" s="101">
        <f t="shared" si="13"/>
        <v>2.0099999999999998</v>
      </c>
      <c r="AH28" s="101">
        <f t="shared" si="14"/>
        <v>2.0099999999999998</v>
      </c>
      <c r="AI28" s="101">
        <f t="shared" si="15"/>
        <v>2.0099999999999998</v>
      </c>
      <c r="AJ28" s="101">
        <f t="shared" si="16"/>
        <v>2.0099999999999998</v>
      </c>
      <c r="AK28" s="101">
        <f t="shared" si="17"/>
        <v>2.0099999999999998</v>
      </c>
      <c r="AL28" s="101">
        <f t="shared" si="18"/>
        <v>2.0099999999999998</v>
      </c>
      <c r="AM28" s="101">
        <f t="shared" si="19"/>
        <v>2.0099999999999998</v>
      </c>
      <c r="AN28" s="101">
        <f t="shared" si="20"/>
        <v>2.0099999999999998</v>
      </c>
      <c r="AO28" s="101">
        <f t="shared" si="21"/>
        <v>2.0099999999999998</v>
      </c>
      <c r="AP28" s="101">
        <f t="shared" si="22"/>
        <v>2.0099999999999998</v>
      </c>
      <c r="AQ28" s="101">
        <f t="shared" si="23"/>
        <v>2.0099999999999998</v>
      </c>
      <c r="AR28" s="101">
        <f t="shared" si="24"/>
        <v>2.0099999999999998</v>
      </c>
      <c r="AS28" s="101">
        <f t="shared" si="25"/>
        <v>2.0099999999999998</v>
      </c>
      <c r="AT28" s="101">
        <f t="shared" si="26"/>
        <v>2.0099999999999998</v>
      </c>
      <c r="AU28" s="101">
        <f t="shared" si="27"/>
        <v>2.0099999999999998</v>
      </c>
      <c r="AV28" s="101">
        <f t="shared" si="28"/>
        <v>2.0099999999999998</v>
      </c>
      <c r="AW28" s="101">
        <f t="shared" si="29"/>
        <v>1.3399999999999999</v>
      </c>
    </row>
    <row r="29" spans="1:49" x14ac:dyDescent="0.25">
      <c r="C29" s="62" t="str">
        <f t="shared" si="30"/>
        <v>Scenario A - MATIMBA</v>
      </c>
      <c r="D29" s="62" t="str">
        <f t="shared" si="34"/>
        <v xml:space="preserve">Scenario A - </v>
      </c>
      <c r="E29" s="105" t="s">
        <v>143</v>
      </c>
      <c r="F29" s="105">
        <f t="shared" si="31"/>
        <v>12</v>
      </c>
      <c r="G29" s="105" t="s">
        <v>204</v>
      </c>
      <c r="H29" s="63" cm="1">
        <f t="array" ref="H29">INDEX(H$118:H$241,$F29)</f>
        <v>2039</v>
      </c>
      <c r="I29" s="63" cm="1">
        <f t="array" ref="I29">INDEX(I$118:I$241,$F29)</f>
        <v>2039</v>
      </c>
      <c r="J29" s="63" cm="1">
        <f t="array" ref="J29">INDEX(J$118:J$241,$F29)</f>
        <v>2040</v>
      </c>
      <c r="K29" s="63" cm="1">
        <f t="array" ref="K29">INDEX(K$118:K$241,$F29)</f>
        <v>2041</v>
      </c>
      <c r="L29" s="63" cm="1">
        <f t="array" ref="L29">INDEX(L$118:L$241,$F29)</f>
        <v>2042</v>
      </c>
      <c r="M29" s="63" cm="1">
        <f t="array" ref="M29">INDEX(M$118:M$241,$F29)</f>
        <v>2043</v>
      </c>
      <c r="N29" s="63" cm="1">
        <f t="array" ref="N29">INDEX(N$118:N$241,$F29)</f>
        <v>0</v>
      </c>
      <c r="O29" s="63" cm="1">
        <f t="array" ref="O29">INDEX(O$118:O$241,$F29)</f>
        <v>0</v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3.69</v>
      </c>
      <c r="AE29" s="101">
        <f t="shared" si="11"/>
        <v>3.69</v>
      </c>
      <c r="AF29" s="101">
        <f t="shared" si="12"/>
        <v>3.69</v>
      </c>
      <c r="AG29" s="101">
        <f t="shared" si="13"/>
        <v>3.69</v>
      </c>
      <c r="AH29" s="101">
        <f t="shared" si="14"/>
        <v>3.69</v>
      </c>
      <c r="AI29" s="101">
        <f t="shared" si="15"/>
        <v>3.69</v>
      </c>
      <c r="AJ29" s="101">
        <f t="shared" si="16"/>
        <v>3.69</v>
      </c>
      <c r="AK29" s="101">
        <f t="shared" si="17"/>
        <v>3.69</v>
      </c>
      <c r="AL29" s="101">
        <f t="shared" si="18"/>
        <v>2.46</v>
      </c>
      <c r="AM29" s="101">
        <f t="shared" si="19"/>
        <v>1.845</v>
      </c>
      <c r="AN29" s="101">
        <f t="shared" si="20"/>
        <v>1.23</v>
      </c>
      <c r="AO29" s="101">
        <f t="shared" si="21"/>
        <v>0.61499999999999999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A - MATLA</v>
      </c>
      <c r="D30" s="62" t="str">
        <f t="shared" si="34"/>
        <v xml:space="preserve">Scenario A - </v>
      </c>
      <c r="E30" s="105" t="s">
        <v>141</v>
      </c>
      <c r="F30" s="105">
        <f t="shared" si="31"/>
        <v>13</v>
      </c>
      <c r="G30" s="105" t="s">
        <v>200</v>
      </c>
      <c r="H30" s="63" cm="1">
        <f t="array" ref="H30">INDEX(H$118:H$241,$F30)</f>
        <v>2031</v>
      </c>
      <c r="I30" s="63" cm="1">
        <f t="array" ref="I30">INDEX(I$118:I$241,$F30)</f>
        <v>2032</v>
      </c>
      <c r="J30" s="63" cm="1">
        <f t="array" ref="J30">INDEX(J$118:J$241,$F30)</f>
        <v>2032</v>
      </c>
      <c r="K30" s="63" cm="1">
        <f t="array" ref="K30">INDEX(K$118:K$241,$F30)</f>
        <v>2033</v>
      </c>
      <c r="L30" s="63" cm="1">
        <f t="array" ref="L30">INDEX(L$118:L$241,$F30)</f>
        <v>2034</v>
      </c>
      <c r="M30" s="63" cm="1">
        <f t="array" ref="M30">INDEX(M$118:M$241,$F30)</f>
        <v>2035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3.45</v>
      </c>
      <c r="AD30" s="101">
        <f t="shared" si="10"/>
        <v>2.875</v>
      </c>
      <c r="AE30" s="101">
        <f t="shared" si="11"/>
        <v>1.7249999999999999</v>
      </c>
      <c r="AF30" s="101">
        <f t="shared" si="12"/>
        <v>1.1499999999999999</v>
      </c>
      <c r="AG30" s="101">
        <f t="shared" si="13"/>
        <v>0.57499999999999984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A - TUTUKA</v>
      </c>
      <c r="D31" s="62" t="str">
        <f t="shared" si="34"/>
        <v xml:space="preserve">Scenario A - </v>
      </c>
      <c r="E31" s="105" t="s">
        <v>139</v>
      </c>
      <c r="F31" s="105">
        <f t="shared" si="31"/>
        <v>14</v>
      </c>
      <c r="G31" s="105" t="s">
        <v>202</v>
      </c>
      <c r="H31" s="63" cm="1">
        <f t="array" ref="H31">INDEX(H$118:H$241,$F31)</f>
        <v>2036</v>
      </c>
      <c r="I31" s="63" cm="1">
        <f t="array" ref="I31">INDEX(I$118:I$241,$F31)</f>
        <v>2037</v>
      </c>
      <c r="J31" s="63" cm="1">
        <f t="array" ref="J31">INDEX(J$118:J$241,$F31)</f>
        <v>2038</v>
      </c>
      <c r="K31" s="63" cm="1">
        <f t="array" ref="K31">INDEX(K$118:K$241,$F31)</f>
        <v>2038</v>
      </c>
      <c r="L31" s="63" cm="1">
        <f t="array" ref="L31">INDEX(L$118:L$241,$F31)</f>
        <v>2040</v>
      </c>
      <c r="M31" s="63" cm="1">
        <f t="array" ref="M31">INDEX(M$118:M$241,$F31)</f>
        <v>2042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3.51</v>
      </c>
      <c r="AD31" s="101">
        <f t="shared" si="10"/>
        <v>3.51</v>
      </c>
      <c r="AE31" s="101">
        <f t="shared" si="11"/>
        <v>3.51</v>
      </c>
      <c r="AF31" s="101">
        <f t="shared" si="12"/>
        <v>3.51</v>
      </c>
      <c r="AG31" s="101">
        <f t="shared" si="13"/>
        <v>3.51</v>
      </c>
      <c r="AH31" s="101">
        <f t="shared" si="14"/>
        <v>3.51</v>
      </c>
      <c r="AI31" s="101">
        <f t="shared" si="15"/>
        <v>2.9249999999999998</v>
      </c>
      <c r="AJ31" s="101">
        <f t="shared" si="16"/>
        <v>2.34</v>
      </c>
      <c r="AK31" s="101">
        <f t="shared" si="17"/>
        <v>1.17</v>
      </c>
      <c r="AL31" s="101">
        <f t="shared" si="18"/>
        <v>1.17</v>
      </c>
      <c r="AM31" s="101">
        <f t="shared" si="19"/>
        <v>0.58499999999999996</v>
      </c>
      <c r="AN31" s="101">
        <f t="shared" si="20"/>
        <v>0.58499999999999996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2026</v>
      </c>
      <c r="I118" s="63">
        <v>2026</v>
      </c>
      <c r="J118" s="63">
        <v>2026</v>
      </c>
      <c r="K118" s="63">
        <v>2026</v>
      </c>
      <c r="L118" s="63">
        <v>2026</v>
      </c>
      <c r="M118" s="63">
        <v>2026</v>
      </c>
      <c r="N118" s="63">
        <v>2026</v>
      </c>
      <c r="O118" s="63">
        <v>2026</v>
      </c>
      <c r="P118" s="63"/>
      <c r="Q118" s="101">
        <f t="shared" ref="Q118:Q131" si="39">COUNT(H118:P118)</f>
        <v>8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1.4810000000000001</v>
      </c>
      <c r="X118" s="101">
        <f t="shared" si="40"/>
        <v>1.4810000000000001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2026</v>
      </c>
      <c r="J119" s="63">
        <v>2026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</v>
      </c>
      <c r="Z119" s="101">
        <f t="shared" si="43"/>
        <v>0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2020</v>
      </c>
      <c r="K120" s="63">
        <v>2023</v>
      </c>
      <c r="L120" s="63"/>
      <c r="M120" s="63"/>
      <c r="N120" s="63"/>
      <c r="O120" s="63"/>
      <c r="P120" s="63"/>
      <c r="Q120" s="101">
        <f t="shared" si="39"/>
        <v>4</v>
      </c>
      <c r="R120" s="101">
        <v>0.41</v>
      </c>
      <c r="S120" s="101">
        <f t="shared" si="43"/>
        <v>0.10249999999999998</v>
      </c>
      <c r="T120" s="101">
        <f t="shared" si="43"/>
        <v>0.10249999999999998</v>
      </c>
      <c r="U120" s="101">
        <f t="shared" si="43"/>
        <v>0.10249999999999998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2028</v>
      </c>
      <c r="I121" s="62">
        <v>2027</v>
      </c>
      <c r="J121" s="62">
        <v>2027</v>
      </c>
      <c r="K121" s="63">
        <v>2028</v>
      </c>
      <c r="L121" s="63">
        <v>2030</v>
      </c>
      <c r="M121" s="63">
        <v>2030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2.2320000000000002</v>
      </c>
      <c r="Z121" s="101">
        <f t="shared" si="43"/>
        <v>1.488</v>
      </c>
      <c r="AA121" s="101">
        <f t="shared" si="43"/>
        <v>0.74399999999999988</v>
      </c>
      <c r="AB121" s="101">
        <f t="shared" si="43"/>
        <v>0.74399999999999988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2032</v>
      </c>
      <c r="I122" s="63">
        <v>2032</v>
      </c>
      <c r="J122" s="63">
        <v>2034</v>
      </c>
      <c r="K122" s="63">
        <v>2034</v>
      </c>
      <c r="L122" s="63">
        <v>2035</v>
      </c>
      <c r="M122" s="63"/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2.875</v>
      </c>
      <c r="AE122" s="101">
        <f t="shared" si="43"/>
        <v>1.7250000000000001</v>
      </c>
      <c r="AF122" s="101">
        <f t="shared" si="43"/>
        <v>1.7250000000000001</v>
      </c>
      <c r="AG122" s="101">
        <f t="shared" si="43"/>
        <v>0.57500000000000018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2026</v>
      </c>
      <c r="I123" s="63">
        <v>2026</v>
      </c>
      <c r="J123" s="63">
        <v>2026</v>
      </c>
      <c r="K123" s="63">
        <v>2026</v>
      </c>
      <c r="L123" s="63">
        <v>2025</v>
      </c>
      <c r="M123" s="63">
        <v>2024</v>
      </c>
      <c r="N123" s="63"/>
      <c r="O123" s="63"/>
      <c r="P123" s="63"/>
      <c r="Q123" s="101">
        <f t="shared" si="39"/>
        <v>6</v>
      </c>
      <c r="R123" s="101">
        <v>1.2929999999999999</v>
      </c>
      <c r="S123" s="101">
        <f t="shared" si="43"/>
        <v>1.2929999999999999</v>
      </c>
      <c r="T123" s="101">
        <f t="shared" si="43"/>
        <v>1.2929999999999999</v>
      </c>
      <c r="U123" s="101">
        <f t="shared" si="43"/>
        <v>1.2929999999999999</v>
      </c>
      <c r="V123" s="101">
        <f t="shared" si="43"/>
        <v>1.2929999999999999</v>
      </c>
      <c r="W123" s="101">
        <f t="shared" si="43"/>
        <v>1.0774999999999999</v>
      </c>
      <c r="X123" s="101">
        <f t="shared" si="43"/>
        <v>0.86199999999999988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2040</v>
      </c>
      <c r="I124" s="63">
        <v>2042</v>
      </c>
      <c r="J124" s="63">
        <v>2043</v>
      </c>
      <c r="K124" s="63">
        <v>2043</v>
      </c>
      <c r="L124" s="63">
        <v>2044</v>
      </c>
      <c r="M124" s="63">
        <v>2045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3.84</v>
      </c>
      <c r="AM124" s="101">
        <f t="shared" si="41"/>
        <v>3.1999999999999997</v>
      </c>
      <c r="AN124" s="101">
        <f t="shared" si="41"/>
        <v>3.1999999999999997</v>
      </c>
      <c r="AO124" s="101">
        <f t="shared" si="41"/>
        <v>2.5599999999999996</v>
      </c>
      <c r="AP124" s="101">
        <f t="shared" si="41"/>
        <v>1.2799999999999996</v>
      </c>
      <c r="AQ124" s="101">
        <f t="shared" si="41"/>
        <v>0.63999999999999957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2027</v>
      </c>
      <c r="I125" s="63">
        <v>2028</v>
      </c>
      <c r="J125" s="63">
        <v>2029</v>
      </c>
      <c r="K125" s="63">
        <v>2030</v>
      </c>
      <c r="L125" s="63">
        <v>2030</v>
      </c>
      <c r="M125" s="63">
        <v>2031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2.85</v>
      </c>
      <c r="Z125" s="101">
        <f t="shared" si="43"/>
        <v>2.375</v>
      </c>
      <c r="AA125" s="101">
        <f t="shared" si="43"/>
        <v>1.9</v>
      </c>
      <c r="AB125" s="101">
        <f t="shared" si="43"/>
        <v>1.4249999999999998</v>
      </c>
      <c r="AC125" s="101">
        <f t="shared" si="43"/>
        <v>0.47499999999999976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2037</v>
      </c>
      <c r="I126" s="63">
        <v>2038</v>
      </c>
      <c r="J126" s="63">
        <v>2038</v>
      </c>
      <c r="K126" s="63">
        <v>2039</v>
      </c>
      <c r="L126" s="63">
        <v>2041</v>
      </c>
      <c r="M126" s="63">
        <v>2042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3.5579999999999998</v>
      </c>
      <c r="AJ126" s="101">
        <f t="shared" si="41"/>
        <v>2.9649999999999999</v>
      </c>
      <c r="AK126" s="101">
        <f t="shared" si="41"/>
        <v>1.7789999999999999</v>
      </c>
      <c r="AL126" s="101">
        <f t="shared" si="41"/>
        <v>1.1859999999999999</v>
      </c>
      <c r="AM126" s="101">
        <f t="shared" si="41"/>
        <v>1.1859999999999999</v>
      </c>
      <c r="AN126" s="101">
        <f t="shared" si="41"/>
        <v>0.59299999999999997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2047</v>
      </c>
      <c r="I127" s="63">
        <v>2048</v>
      </c>
      <c r="J127" s="63">
        <v>2049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1.8330000000000002</v>
      </c>
      <c r="AT127" s="101">
        <f t="shared" si="41"/>
        <v>1.222</v>
      </c>
      <c r="AU127" s="101">
        <f t="shared" si="41"/>
        <v>0.61099999999999988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2050</v>
      </c>
      <c r="L128" s="63">
        <v>2051</v>
      </c>
      <c r="M128" s="63">
        <v>2052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2.0099999999999998</v>
      </c>
      <c r="AW128" s="101">
        <f t="shared" si="41"/>
        <v>1.3399999999999999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2039</v>
      </c>
      <c r="I129" s="63">
        <v>2039</v>
      </c>
      <c r="J129" s="63">
        <v>2040</v>
      </c>
      <c r="K129" s="63">
        <v>2041</v>
      </c>
      <c r="L129" s="63">
        <v>2042</v>
      </c>
      <c r="M129" s="63">
        <v>2043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3.69</v>
      </c>
      <c r="AL129" s="101">
        <f t="shared" si="41"/>
        <v>2.46</v>
      </c>
      <c r="AM129" s="101">
        <f t="shared" si="41"/>
        <v>1.845</v>
      </c>
      <c r="AN129" s="101">
        <f t="shared" si="41"/>
        <v>1.23</v>
      </c>
      <c r="AO129" s="101">
        <f t="shared" si="41"/>
        <v>0.61499999999999999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2031</v>
      </c>
      <c r="I130" s="63">
        <v>2032</v>
      </c>
      <c r="J130" s="63">
        <v>2032</v>
      </c>
      <c r="K130" s="63">
        <v>2033</v>
      </c>
      <c r="L130" s="63">
        <v>2034</v>
      </c>
      <c r="M130" s="63">
        <v>2035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3.45</v>
      </c>
      <c r="AD130" s="101">
        <f t="shared" si="43"/>
        <v>2.875</v>
      </c>
      <c r="AE130" s="101">
        <f t="shared" si="43"/>
        <v>1.7249999999999999</v>
      </c>
      <c r="AF130" s="101">
        <f t="shared" si="43"/>
        <v>1.1499999999999999</v>
      </c>
      <c r="AG130" s="101">
        <f t="shared" si="43"/>
        <v>0.57499999999999984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2036</v>
      </c>
      <c r="I131" s="63">
        <v>2037</v>
      </c>
      <c r="J131" s="63">
        <v>2038</v>
      </c>
      <c r="K131" s="63">
        <v>2038</v>
      </c>
      <c r="L131" s="63">
        <v>2040</v>
      </c>
      <c r="M131" s="63">
        <v>2042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3.51</v>
      </c>
      <c r="AD131" s="101">
        <f t="shared" si="43"/>
        <v>3.51</v>
      </c>
      <c r="AE131" s="101">
        <f t="shared" si="43"/>
        <v>3.51</v>
      </c>
      <c r="AF131" s="101">
        <f t="shared" si="43"/>
        <v>3.51</v>
      </c>
      <c r="AG131" s="101">
        <f t="shared" si="43"/>
        <v>3.51</v>
      </c>
      <c r="AH131" s="101">
        <f t="shared" si="43"/>
        <v>3.51</v>
      </c>
      <c r="AI131" s="101">
        <f t="shared" si="41"/>
        <v>2.9249999999999998</v>
      </c>
      <c r="AJ131" s="101">
        <f t="shared" si="41"/>
        <v>2.34</v>
      </c>
      <c r="AK131" s="101">
        <f t="shared" si="41"/>
        <v>1.17</v>
      </c>
      <c r="AL131" s="101">
        <f t="shared" si="41"/>
        <v>1.17</v>
      </c>
      <c r="AM131" s="101">
        <f t="shared" si="41"/>
        <v>0.58499999999999996</v>
      </c>
      <c r="AN131" s="101">
        <f t="shared" si="41"/>
        <v>0.58499999999999996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2026</v>
      </c>
      <c r="I139" s="62">
        <f t="shared" ref="I139:O139" si="45">IF(I118="","",I118)</f>
        <v>2026</v>
      </c>
      <c r="J139" s="62">
        <f t="shared" si="45"/>
        <v>2026</v>
      </c>
      <c r="K139" s="62">
        <f t="shared" si="45"/>
        <v>2026</v>
      </c>
      <c r="L139" s="62">
        <f t="shared" si="45"/>
        <v>2026</v>
      </c>
      <c r="M139" s="62">
        <f t="shared" si="45"/>
        <v>2026</v>
      </c>
      <c r="N139" s="62">
        <f t="shared" si="45"/>
        <v>2026</v>
      </c>
      <c r="O139" s="62">
        <f t="shared" si="45"/>
        <v>2026</v>
      </c>
      <c r="Q139" s="101">
        <f t="shared" ref="Q139:Q152" si="46">COUNT(H139:P139)</f>
        <v>8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1.4810000000000001</v>
      </c>
      <c r="X139" s="101">
        <f t="shared" si="47"/>
        <v>1.4810000000000001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2026</v>
      </c>
      <c r="J140" s="62">
        <f t="shared" si="50"/>
        <v>2026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</v>
      </c>
      <c r="Z140" s="101">
        <f t="shared" si="51"/>
        <v>0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2020</v>
      </c>
      <c r="K141" s="62">
        <f t="shared" si="50"/>
        <v>2023</v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4</v>
      </c>
      <c r="R141" s="101">
        <v>0.41</v>
      </c>
      <c r="S141" s="101">
        <f t="shared" si="51"/>
        <v>0.10249999999999998</v>
      </c>
      <c r="T141" s="101">
        <f t="shared" si="51"/>
        <v>0.10249999999999998</v>
      </c>
      <c r="U141" s="101">
        <f t="shared" si="51"/>
        <v>0.10249999999999998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2028</v>
      </c>
      <c r="I142" s="62">
        <f t="shared" si="50"/>
        <v>2027</v>
      </c>
      <c r="J142" s="62">
        <f t="shared" si="50"/>
        <v>2027</v>
      </c>
      <c r="K142" s="62">
        <f t="shared" si="50"/>
        <v>2028</v>
      </c>
      <c r="L142" s="62">
        <f t="shared" si="50"/>
        <v>2030</v>
      </c>
      <c r="M142" s="62">
        <f t="shared" si="50"/>
        <v>2030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2.2320000000000002</v>
      </c>
      <c r="Z142" s="101">
        <f t="shared" si="51"/>
        <v>1.488</v>
      </c>
      <c r="AA142" s="101">
        <f t="shared" si="51"/>
        <v>0.74399999999999988</v>
      </c>
      <c r="AB142" s="101">
        <f t="shared" si="51"/>
        <v>0.74399999999999988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'[7]new retirement plan'!G43</f>
        <v>2028</v>
      </c>
      <c r="I143" s="62">
        <f>'[7]new retirement plan'!H43</f>
        <v>2028</v>
      </c>
      <c r="J143" s="62">
        <f>'[7]new retirement plan'!I43</f>
        <v>2030</v>
      </c>
      <c r="K143" s="62">
        <f>'[7]new retirement plan'!J43</f>
        <v>2030</v>
      </c>
      <c r="L143" s="62">
        <f>'[7]new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2026</v>
      </c>
      <c r="I144" s="62">
        <f t="shared" ref="I144:O144" si="53">IF(I123="","",I123)</f>
        <v>2026</v>
      </c>
      <c r="J144" s="62">
        <f t="shared" si="53"/>
        <v>2026</v>
      </c>
      <c r="K144" s="62">
        <f t="shared" si="53"/>
        <v>2026</v>
      </c>
      <c r="L144" s="62">
        <f t="shared" si="53"/>
        <v>2025</v>
      </c>
      <c r="M144" s="62">
        <f t="shared" si="53"/>
        <v>2024</v>
      </c>
      <c r="N144" s="62" t="str">
        <f t="shared" si="53"/>
        <v/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1.2929999999999999</v>
      </c>
      <c r="U144" s="101">
        <f t="shared" si="51"/>
        <v>1.2929999999999999</v>
      </c>
      <c r="V144" s="101">
        <f t="shared" si="51"/>
        <v>1.2929999999999999</v>
      </c>
      <c r="W144" s="101">
        <f t="shared" si="51"/>
        <v>1.0774999999999999</v>
      </c>
      <c r="X144" s="101">
        <f t="shared" si="51"/>
        <v>0.86199999999999988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'[7]new retirement plan'!G45</f>
        <v>2026</v>
      </c>
      <c r="I145" s="62">
        <f>'[7]new retirement plan'!H45</f>
        <v>2028</v>
      </c>
      <c r="J145" s="62">
        <f>'[7]new retirement plan'!I45</f>
        <v>2029</v>
      </c>
      <c r="K145" s="62">
        <f>'[7]new retirement plan'!J45</f>
        <v>2029</v>
      </c>
      <c r="L145" s="62">
        <f>'[7]new retirement plan'!K45</f>
        <v>2030</v>
      </c>
      <c r="M145" s="62">
        <f>'[7]new retirement plan'!L45</f>
        <v>2031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3.1999999999999997</v>
      </c>
      <c r="Z145" s="101">
        <f t="shared" si="51"/>
        <v>3.1999999999999997</v>
      </c>
      <c r="AA145" s="101">
        <f t="shared" si="51"/>
        <v>2.5599999999999996</v>
      </c>
      <c r="AB145" s="101">
        <f t="shared" si="51"/>
        <v>1.2799999999999996</v>
      </c>
      <c r="AC145" s="101">
        <f t="shared" si="51"/>
        <v>0.63999999999999957</v>
      </c>
      <c r="AD145" s="101">
        <f t="shared" si="51"/>
        <v>0</v>
      </c>
      <c r="AE145" s="101">
        <f t="shared" si="51"/>
        <v>0</v>
      </c>
      <c r="AF145" s="101">
        <f t="shared" si="51"/>
        <v>0</v>
      </c>
      <c r="AG145" s="101">
        <f t="shared" si="51"/>
        <v>0</v>
      </c>
      <c r="AH145" s="101">
        <f t="shared" si="51"/>
        <v>0</v>
      </c>
      <c r="AI145" s="101">
        <f t="shared" si="48"/>
        <v>0</v>
      </c>
      <c r="AJ145" s="101">
        <f t="shared" si="48"/>
        <v>0</v>
      </c>
      <c r="AK145" s="101">
        <f t="shared" si="48"/>
        <v>0</v>
      </c>
      <c r="AL145" s="101">
        <f t="shared" si="48"/>
        <v>0</v>
      </c>
      <c r="AM145" s="101">
        <f t="shared" si="48"/>
        <v>0</v>
      </c>
      <c r="AN145" s="101">
        <f t="shared" si="48"/>
        <v>0</v>
      </c>
      <c r="AO145" s="101">
        <f t="shared" si="48"/>
        <v>0</v>
      </c>
      <c r="AP145" s="101">
        <f t="shared" si="48"/>
        <v>0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2027</v>
      </c>
      <c r="I146" s="62">
        <f t="shared" ref="I146:O146" si="54">IF(I125="","",I125)</f>
        <v>2028</v>
      </c>
      <c r="J146" s="62">
        <f t="shared" si="54"/>
        <v>2029</v>
      </c>
      <c r="K146" s="62">
        <f t="shared" si="54"/>
        <v>2030</v>
      </c>
      <c r="L146" s="62">
        <f t="shared" si="54"/>
        <v>2030</v>
      </c>
      <c r="M146" s="62">
        <f t="shared" si="54"/>
        <v>2031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2.85</v>
      </c>
      <c r="Z146" s="101">
        <f t="shared" si="51"/>
        <v>2.375</v>
      </c>
      <c r="AA146" s="101">
        <f t="shared" si="51"/>
        <v>1.9</v>
      </c>
      <c r="AB146" s="101">
        <f t="shared" si="51"/>
        <v>1.4249999999999998</v>
      </c>
      <c r="AC146" s="101">
        <f t="shared" si="51"/>
        <v>0.47499999999999976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2037</v>
      </c>
      <c r="I147" s="62">
        <f t="shared" si="55"/>
        <v>2038</v>
      </c>
      <c r="J147" s="62">
        <f t="shared" si="55"/>
        <v>2038</v>
      </c>
      <c r="K147" s="62">
        <f t="shared" si="55"/>
        <v>2039</v>
      </c>
      <c r="L147" s="62">
        <f t="shared" si="55"/>
        <v>2041</v>
      </c>
      <c r="M147" s="62">
        <f t="shared" si="55"/>
        <v>2042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3.5579999999999998</v>
      </c>
      <c r="AJ147" s="101">
        <f t="shared" si="48"/>
        <v>2.9649999999999999</v>
      </c>
      <c r="AK147" s="101">
        <f t="shared" si="48"/>
        <v>1.7789999999999999</v>
      </c>
      <c r="AL147" s="101">
        <f t="shared" si="48"/>
        <v>1.1859999999999999</v>
      </c>
      <c r="AM147" s="101">
        <f t="shared" si="48"/>
        <v>1.1859999999999999</v>
      </c>
      <c r="AN147" s="101">
        <f t="shared" si="48"/>
        <v>0.59299999999999997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2047</v>
      </c>
      <c r="I148" s="62">
        <f t="shared" si="55"/>
        <v>2048</v>
      </c>
      <c r="J148" s="62">
        <f t="shared" si="55"/>
        <v>2049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1.8330000000000002</v>
      </c>
      <c r="AT148" s="101">
        <f t="shared" si="48"/>
        <v>1.222</v>
      </c>
      <c r="AU148" s="101">
        <f t="shared" si="48"/>
        <v>0.61099999999999988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2050</v>
      </c>
      <c r="L149" s="62">
        <f t="shared" si="55"/>
        <v>2051</v>
      </c>
      <c r="M149" s="62">
        <f t="shared" si="55"/>
        <v>2052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2.0099999999999998</v>
      </c>
      <c r="AW149" s="101">
        <f t="shared" si="48"/>
        <v>1.3399999999999999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2039</v>
      </c>
      <c r="I150" s="62">
        <f t="shared" si="55"/>
        <v>2039</v>
      </c>
      <c r="J150" s="62">
        <f t="shared" si="55"/>
        <v>2040</v>
      </c>
      <c r="K150" s="62">
        <f t="shared" si="55"/>
        <v>2041</v>
      </c>
      <c r="L150" s="62">
        <f t="shared" si="55"/>
        <v>2042</v>
      </c>
      <c r="M150" s="62">
        <f t="shared" si="55"/>
        <v>2043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3.69</v>
      </c>
      <c r="AL150" s="101">
        <f t="shared" si="48"/>
        <v>2.46</v>
      </c>
      <c r="AM150" s="101">
        <f t="shared" si="48"/>
        <v>1.845</v>
      </c>
      <c r="AN150" s="101">
        <f t="shared" si="48"/>
        <v>1.23</v>
      </c>
      <c r="AO150" s="101">
        <f t="shared" si="48"/>
        <v>0.61499999999999999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'[7]new retirement plan'!G51</f>
        <v>2027</v>
      </c>
      <c r="I151" s="62">
        <f>'[7]new retirement plan'!H51</f>
        <v>2028</v>
      </c>
      <c r="J151" s="62">
        <f>'[7]new retirement plan'!I51</f>
        <v>2028</v>
      </c>
      <c r="K151" s="62">
        <f>'[7]new retirement plan'!J51</f>
        <v>2029</v>
      </c>
      <c r="L151" s="62">
        <f>'[7]new retirement plan'!K51</f>
        <v>2030</v>
      </c>
      <c r="M151" s="62">
        <f>'[7]new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'[7]new retirement plan'!G52</f>
        <v>2025</v>
      </c>
      <c r="I152" s="62">
        <f>'[7]new retirement plan'!H52</f>
        <v>2026</v>
      </c>
      <c r="J152" s="62">
        <f>'[7]new retirement plan'!I52</f>
        <v>2027</v>
      </c>
      <c r="K152" s="62">
        <f>'[7]new retirement plan'!J52</f>
        <v>2027</v>
      </c>
      <c r="L152" s="62">
        <f>'[7]new retirement plan'!K52</f>
        <v>2029</v>
      </c>
      <c r="M152" s="62">
        <f>'[7]new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2026</v>
      </c>
      <c r="I157" s="62">
        <f t="shared" ref="I157:O157" si="56">I139</f>
        <v>2026</v>
      </c>
      <c r="J157" s="62">
        <f t="shared" si="56"/>
        <v>2026</v>
      </c>
      <c r="K157" s="62">
        <f t="shared" si="56"/>
        <v>2026</v>
      </c>
      <c r="L157" s="62">
        <f t="shared" si="56"/>
        <v>2026</v>
      </c>
      <c r="M157" s="62">
        <f t="shared" si="56"/>
        <v>2026</v>
      </c>
      <c r="N157" s="62">
        <f t="shared" si="56"/>
        <v>2026</v>
      </c>
      <c r="O157" s="62">
        <f t="shared" si="56"/>
        <v>2026</v>
      </c>
      <c r="Q157" s="101">
        <f t="shared" ref="Q157:Q170" si="57">COUNT(H157:P157)</f>
        <v>8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1.4810000000000001</v>
      </c>
      <c r="X157" s="101">
        <f t="shared" si="58"/>
        <v>1.4810000000000001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2026</v>
      </c>
      <c r="J158" s="62">
        <f t="shared" si="61"/>
        <v>2026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</v>
      </c>
      <c r="Z158" s="101">
        <f t="shared" si="62"/>
        <v>0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2020</v>
      </c>
      <c r="K159" s="62">
        <f t="shared" si="61"/>
        <v>2023</v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4</v>
      </c>
      <c r="R159" s="101">
        <v>0.41</v>
      </c>
      <c r="S159" s="101">
        <f t="shared" si="62"/>
        <v>0.10249999999999998</v>
      </c>
      <c r="T159" s="101">
        <f t="shared" si="62"/>
        <v>0.10249999999999998</v>
      </c>
      <c r="U159" s="101">
        <f t="shared" si="62"/>
        <v>0.10249999999999998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2028</v>
      </c>
      <c r="I160" s="62">
        <f t="shared" si="61"/>
        <v>2027</v>
      </c>
      <c r="J160" s="62">
        <f t="shared" si="61"/>
        <v>2027</v>
      </c>
      <c r="K160" s="62">
        <f t="shared" si="61"/>
        <v>2028</v>
      </c>
      <c r="L160" s="62">
        <f t="shared" si="61"/>
        <v>2030</v>
      </c>
      <c r="M160" s="62">
        <f t="shared" si="61"/>
        <v>2030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2.2320000000000002</v>
      </c>
      <c r="Z160" s="101">
        <f t="shared" si="62"/>
        <v>1.488</v>
      </c>
      <c r="AA160" s="101">
        <f t="shared" si="62"/>
        <v>0.74399999999999988</v>
      </c>
      <c r="AB160" s="101">
        <f t="shared" si="62"/>
        <v>0.74399999999999988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2026</v>
      </c>
      <c r="I162" s="62">
        <f t="shared" ref="I162:O162" si="64">I144</f>
        <v>2026</v>
      </c>
      <c r="J162" s="62">
        <f t="shared" si="64"/>
        <v>2026</v>
      </c>
      <c r="K162" s="62">
        <f t="shared" si="64"/>
        <v>2026</v>
      </c>
      <c r="L162" s="62">
        <f t="shared" si="64"/>
        <v>2025</v>
      </c>
      <c r="M162" s="62">
        <f t="shared" si="64"/>
        <v>2024</v>
      </c>
      <c r="N162" s="62" t="str">
        <f t="shared" si="64"/>
        <v/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1.2929999999999999</v>
      </c>
      <c r="U162" s="101">
        <f t="shared" si="62"/>
        <v>1.2929999999999999</v>
      </c>
      <c r="V162" s="101">
        <f t="shared" si="62"/>
        <v>1.2929999999999999</v>
      </c>
      <c r="W162" s="101">
        <f t="shared" si="62"/>
        <v>1.0774999999999999</v>
      </c>
      <c r="X162" s="101">
        <f t="shared" si="62"/>
        <v>0.86199999999999988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3" t="s">
        <v>153</v>
      </c>
      <c r="F163" s="101"/>
      <c r="G163" s="101" t="s">
        <v>206</v>
      </c>
      <c r="H163" s="62">
        <v>2031</v>
      </c>
      <c r="I163" s="62">
        <v>2031</v>
      </c>
      <c r="J163" s="62">
        <v>2031</v>
      </c>
      <c r="K163" s="62">
        <v>2031</v>
      </c>
      <c r="L163" s="62">
        <v>2031</v>
      </c>
      <c r="M163" s="62">
        <v>2031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0</v>
      </c>
      <c r="AE163" s="101">
        <f t="shared" si="62"/>
        <v>0</v>
      </c>
      <c r="AF163" s="101">
        <f t="shared" si="62"/>
        <v>0</v>
      </c>
      <c r="AG163" s="101">
        <f t="shared" si="62"/>
        <v>0</v>
      </c>
      <c r="AH163" s="101">
        <f t="shared" si="62"/>
        <v>0</v>
      </c>
      <c r="AI163" s="101">
        <f t="shared" si="59"/>
        <v>0</v>
      </c>
      <c r="AJ163" s="101">
        <f t="shared" si="59"/>
        <v>0</v>
      </c>
      <c r="AK163" s="101">
        <f t="shared" si="59"/>
        <v>0</v>
      </c>
      <c r="AL163" s="101">
        <f t="shared" si="59"/>
        <v>0</v>
      </c>
      <c r="AM163" s="101">
        <f t="shared" si="59"/>
        <v>0</v>
      </c>
      <c r="AN163" s="101">
        <f t="shared" si="59"/>
        <v>0</v>
      </c>
      <c r="AO163" s="101">
        <f t="shared" si="59"/>
        <v>0</v>
      </c>
      <c r="AP163" s="101">
        <f t="shared" si="59"/>
        <v>0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2027</v>
      </c>
      <c r="I164" s="62">
        <f t="shared" ref="I164:O164" si="65">I146</f>
        <v>2028</v>
      </c>
      <c r="J164" s="62">
        <f t="shared" si="65"/>
        <v>2029</v>
      </c>
      <c r="K164" s="62">
        <f t="shared" si="65"/>
        <v>2030</v>
      </c>
      <c r="L164" s="62">
        <f t="shared" si="65"/>
        <v>2030</v>
      </c>
      <c r="M164" s="62">
        <f t="shared" si="65"/>
        <v>2031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2.85</v>
      </c>
      <c r="Z164" s="101">
        <f t="shared" si="62"/>
        <v>2.375</v>
      </c>
      <c r="AA164" s="101">
        <f t="shared" si="62"/>
        <v>1.9</v>
      </c>
      <c r="AB164" s="101">
        <f t="shared" si="62"/>
        <v>1.4249999999999998</v>
      </c>
      <c r="AC164" s="101">
        <f t="shared" si="62"/>
        <v>0.47499999999999976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2037</v>
      </c>
      <c r="I165" s="62">
        <f t="shared" si="66"/>
        <v>2038</v>
      </c>
      <c r="J165" s="62">
        <f t="shared" si="66"/>
        <v>2038</v>
      </c>
      <c r="K165" s="62">
        <f t="shared" si="66"/>
        <v>2039</v>
      </c>
      <c r="L165" s="62">
        <f t="shared" si="66"/>
        <v>2041</v>
      </c>
      <c r="M165" s="62">
        <f t="shared" si="66"/>
        <v>2042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3.5579999999999998</v>
      </c>
      <c r="AJ165" s="101">
        <f t="shared" si="59"/>
        <v>2.9649999999999999</v>
      </c>
      <c r="AK165" s="101">
        <f t="shared" si="59"/>
        <v>1.7789999999999999</v>
      </c>
      <c r="AL165" s="101">
        <f t="shared" si="59"/>
        <v>1.1859999999999999</v>
      </c>
      <c r="AM165" s="101">
        <f t="shared" si="59"/>
        <v>1.1859999999999999</v>
      </c>
      <c r="AN165" s="101">
        <f t="shared" si="59"/>
        <v>0.59299999999999997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2047</v>
      </c>
      <c r="I166" s="62">
        <f t="shared" si="66"/>
        <v>2048</v>
      </c>
      <c r="J166" s="62">
        <f t="shared" si="66"/>
        <v>2049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1.8330000000000002</v>
      </c>
      <c r="AT166" s="101">
        <f t="shared" si="59"/>
        <v>1.222</v>
      </c>
      <c r="AU166" s="101">
        <f t="shared" si="59"/>
        <v>0.61099999999999988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2050</v>
      </c>
      <c r="L167" s="62">
        <f t="shared" si="66"/>
        <v>2051</v>
      </c>
      <c r="M167" s="62">
        <f t="shared" si="66"/>
        <v>2052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2.0099999999999998</v>
      </c>
      <c r="AW167" s="101">
        <f t="shared" si="59"/>
        <v>1.3399999999999999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2039</v>
      </c>
      <c r="I168" s="62">
        <f t="shared" si="66"/>
        <v>2039</v>
      </c>
      <c r="J168" s="62">
        <f t="shared" si="66"/>
        <v>2040</v>
      </c>
      <c r="K168" s="62">
        <f t="shared" si="66"/>
        <v>2041</v>
      </c>
      <c r="L168" s="62">
        <f t="shared" si="66"/>
        <v>2042</v>
      </c>
      <c r="M168" s="62">
        <f t="shared" si="66"/>
        <v>2043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3.69</v>
      </c>
      <c r="AL168" s="101">
        <f t="shared" si="59"/>
        <v>2.46</v>
      </c>
      <c r="AM168" s="101">
        <f t="shared" si="59"/>
        <v>1.845</v>
      </c>
      <c r="AN168" s="101">
        <f t="shared" si="59"/>
        <v>1.23</v>
      </c>
      <c r="AO168" s="101">
        <f t="shared" si="59"/>
        <v>0.61499999999999999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2026</v>
      </c>
      <c r="I174" s="62">
        <f t="shared" ref="I174:O174" si="67">I157</f>
        <v>2026</v>
      </c>
      <c r="J174" s="62">
        <f t="shared" si="67"/>
        <v>2026</v>
      </c>
      <c r="K174" s="62">
        <f t="shared" si="67"/>
        <v>2026</v>
      </c>
      <c r="L174" s="62">
        <f t="shared" si="67"/>
        <v>2026</v>
      </c>
      <c r="M174" s="62">
        <f t="shared" si="67"/>
        <v>2026</v>
      </c>
      <c r="N174" s="62">
        <f t="shared" si="67"/>
        <v>2026</v>
      </c>
      <c r="O174" s="62">
        <f t="shared" si="67"/>
        <v>2026</v>
      </c>
      <c r="Q174" s="101">
        <f t="shared" ref="Q174:Q187" si="68">COUNT(H174:P174)</f>
        <v>8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1.4810000000000001</v>
      </c>
      <c r="X174" s="101">
        <f t="shared" si="69"/>
        <v>1.4810000000000001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2026</v>
      </c>
      <c r="J175" s="62">
        <f t="shared" si="72"/>
        <v>2026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</v>
      </c>
      <c r="Z175" s="101">
        <f t="shared" si="73"/>
        <v>0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2020</v>
      </c>
      <c r="K176" s="62">
        <f t="shared" si="72"/>
        <v>2023</v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4</v>
      </c>
      <c r="R176" s="101">
        <v>0.41</v>
      </c>
      <c r="S176" s="101">
        <f t="shared" si="73"/>
        <v>0.10249999999999998</v>
      </c>
      <c r="T176" s="101">
        <f t="shared" si="73"/>
        <v>0.10249999999999998</v>
      </c>
      <c r="U176" s="101">
        <f t="shared" si="73"/>
        <v>0.10249999999999998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2028</v>
      </c>
      <c r="I177" s="62">
        <f t="shared" si="72"/>
        <v>2027</v>
      </c>
      <c r="J177" s="62">
        <f t="shared" si="72"/>
        <v>2027</v>
      </c>
      <c r="K177" s="62">
        <f t="shared" si="72"/>
        <v>2028</v>
      </c>
      <c r="L177" s="62">
        <f t="shared" si="72"/>
        <v>2030</v>
      </c>
      <c r="M177" s="62">
        <f t="shared" si="72"/>
        <v>2030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2.2320000000000002</v>
      </c>
      <c r="Z177" s="101">
        <f t="shared" si="73"/>
        <v>1.488</v>
      </c>
      <c r="AA177" s="101">
        <f t="shared" si="73"/>
        <v>0.74399999999999988</v>
      </c>
      <c r="AB177" s="101">
        <f t="shared" si="73"/>
        <v>0.74399999999999988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2026</v>
      </c>
      <c r="I179" s="62">
        <f t="shared" ref="I179:O179" si="75">I162</f>
        <v>2026</v>
      </c>
      <c r="J179" s="62">
        <f t="shared" si="75"/>
        <v>2026</v>
      </c>
      <c r="K179" s="62">
        <f t="shared" si="75"/>
        <v>2026</v>
      </c>
      <c r="L179" s="62">
        <f t="shared" si="75"/>
        <v>2025</v>
      </c>
      <c r="M179" s="62">
        <f t="shared" si="75"/>
        <v>2024</v>
      </c>
      <c r="N179" s="62" t="str">
        <f t="shared" si="75"/>
        <v/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1.2929999999999999</v>
      </c>
      <c r="U179" s="101">
        <f t="shared" si="73"/>
        <v>1.2929999999999999</v>
      </c>
      <c r="V179" s="101">
        <f t="shared" si="73"/>
        <v>1.2929999999999999</v>
      </c>
      <c r="W179" s="101">
        <f t="shared" si="73"/>
        <v>1.0774999999999999</v>
      </c>
      <c r="X179" s="101">
        <f t="shared" si="73"/>
        <v>0.86199999999999988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2027</v>
      </c>
      <c r="I181" s="62">
        <f t="shared" ref="I181:O181" si="76">I164</f>
        <v>2028</v>
      </c>
      <c r="J181" s="62">
        <f t="shared" si="76"/>
        <v>2029</v>
      </c>
      <c r="K181" s="62">
        <f t="shared" si="76"/>
        <v>2030</v>
      </c>
      <c r="L181" s="62">
        <f t="shared" si="76"/>
        <v>2030</v>
      </c>
      <c r="M181" s="62">
        <f t="shared" si="76"/>
        <v>2031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2.85</v>
      </c>
      <c r="Z181" s="101">
        <f t="shared" si="73"/>
        <v>2.375</v>
      </c>
      <c r="AA181" s="101">
        <f t="shared" si="73"/>
        <v>1.9</v>
      </c>
      <c r="AB181" s="101">
        <f t="shared" si="73"/>
        <v>1.4249999999999998</v>
      </c>
      <c r="AC181" s="101">
        <f t="shared" si="73"/>
        <v>0.47499999999999976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2037</v>
      </c>
      <c r="I182" s="62">
        <f t="shared" si="77"/>
        <v>2038</v>
      </c>
      <c r="J182" s="62">
        <f t="shared" si="77"/>
        <v>2038</v>
      </c>
      <c r="K182" s="62">
        <f t="shared" si="77"/>
        <v>2039</v>
      </c>
      <c r="L182" s="62">
        <f t="shared" si="77"/>
        <v>2041</v>
      </c>
      <c r="M182" s="62">
        <f t="shared" si="77"/>
        <v>2042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3.5579999999999998</v>
      </c>
      <c r="AJ182" s="101">
        <f t="shared" si="70"/>
        <v>2.9649999999999999</v>
      </c>
      <c r="AK182" s="101">
        <f t="shared" si="70"/>
        <v>1.7789999999999999</v>
      </c>
      <c r="AL182" s="101">
        <f t="shared" si="70"/>
        <v>1.1859999999999999</v>
      </c>
      <c r="AM182" s="101">
        <f t="shared" si="70"/>
        <v>1.1859999999999999</v>
      </c>
      <c r="AN182" s="101">
        <f t="shared" si="70"/>
        <v>0.59299999999999997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2047</v>
      </c>
      <c r="I183" s="62">
        <f t="shared" si="77"/>
        <v>2048</v>
      </c>
      <c r="J183" s="62">
        <f t="shared" si="77"/>
        <v>2049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1.8330000000000002</v>
      </c>
      <c r="AT183" s="101">
        <f t="shared" si="70"/>
        <v>1.222</v>
      </c>
      <c r="AU183" s="101">
        <f t="shared" si="70"/>
        <v>0.61099999999999988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2050</v>
      </c>
      <c r="L184" s="62">
        <f t="shared" si="77"/>
        <v>2051</v>
      </c>
      <c r="M184" s="62">
        <f t="shared" si="77"/>
        <v>2052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2.0099999999999998</v>
      </c>
      <c r="AW184" s="101">
        <f t="shared" si="70"/>
        <v>1.3399999999999999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2039</v>
      </c>
      <c r="I185" s="62">
        <f t="shared" si="77"/>
        <v>2039</v>
      </c>
      <c r="J185" s="62">
        <f t="shared" si="77"/>
        <v>2040</v>
      </c>
      <c r="K185" s="62">
        <f t="shared" si="77"/>
        <v>2041</v>
      </c>
      <c r="L185" s="62">
        <f t="shared" si="77"/>
        <v>2042</v>
      </c>
      <c r="M185" s="62">
        <f t="shared" si="77"/>
        <v>2043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3.69</v>
      </c>
      <c r="AL185" s="101">
        <f t="shared" si="70"/>
        <v>2.46</v>
      </c>
      <c r="AM185" s="101">
        <f t="shared" si="70"/>
        <v>1.845</v>
      </c>
      <c r="AN185" s="101">
        <f t="shared" si="70"/>
        <v>1.23</v>
      </c>
      <c r="AO185" s="101">
        <f t="shared" si="70"/>
        <v>0.61499999999999999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2026</v>
      </c>
      <c r="I193" s="62">
        <f t="shared" ref="I193:O193" si="78">I174</f>
        <v>2026</v>
      </c>
      <c r="J193" s="62">
        <f t="shared" si="78"/>
        <v>2026</v>
      </c>
      <c r="K193" s="62">
        <f t="shared" si="78"/>
        <v>2026</v>
      </c>
      <c r="L193" s="62">
        <f t="shared" si="78"/>
        <v>2026</v>
      </c>
      <c r="M193" s="62">
        <f t="shared" si="78"/>
        <v>2026</v>
      </c>
      <c r="N193" s="62">
        <f t="shared" si="78"/>
        <v>2026</v>
      </c>
      <c r="O193" s="62">
        <f t="shared" si="78"/>
        <v>2026</v>
      </c>
      <c r="Q193" s="101">
        <f t="shared" ref="Q193:Q206" si="79">COUNT(H193:P193)</f>
        <v>8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1.4810000000000001</v>
      </c>
      <c r="X193" s="101">
        <f t="shared" si="80"/>
        <v>1.4810000000000001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2026</v>
      </c>
      <c r="J194" s="62">
        <f t="shared" si="83"/>
        <v>2026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</v>
      </c>
      <c r="Z194" s="101">
        <f t="shared" si="84"/>
        <v>0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2020</v>
      </c>
      <c r="K195" s="62">
        <f t="shared" si="83"/>
        <v>2023</v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4</v>
      </c>
      <c r="R195" s="101">
        <v>0.41</v>
      </c>
      <c r="S195" s="101">
        <f t="shared" si="84"/>
        <v>0.10249999999999998</v>
      </c>
      <c r="T195" s="101">
        <f t="shared" si="84"/>
        <v>0.10249999999999998</v>
      </c>
      <c r="U195" s="101">
        <f t="shared" si="84"/>
        <v>0.10249999999999998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2028</v>
      </c>
      <c r="I196" s="62">
        <f t="shared" si="83"/>
        <v>2027</v>
      </c>
      <c r="J196" s="62">
        <f t="shared" si="83"/>
        <v>2027</v>
      </c>
      <c r="K196" s="62">
        <f t="shared" si="83"/>
        <v>2028</v>
      </c>
      <c r="L196" s="62">
        <f t="shared" si="83"/>
        <v>2030</v>
      </c>
      <c r="M196" s="62">
        <f t="shared" si="83"/>
        <v>2030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2.2320000000000002</v>
      </c>
      <c r="Z196" s="101">
        <f t="shared" si="84"/>
        <v>1.488</v>
      </c>
      <c r="AA196" s="101">
        <f t="shared" si="84"/>
        <v>0.74399999999999988</v>
      </c>
      <c r="AB196" s="101">
        <f t="shared" si="84"/>
        <v>0.74399999999999988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'[7]new retirement plan'!G61</f>
        <v>2028</v>
      </c>
      <c r="I197" s="62">
        <f>'[7]new retirement plan'!H61</f>
        <v>2028</v>
      </c>
      <c r="J197" s="62">
        <f>'[7]new retirement plan'!I61</f>
        <v>2030</v>
      </c>
      <c r="K197" s="62">
        <f>'[7]new retirement plan'!J61</f>
        <v>2030</v>
      </c>
      <c r="L197" s="62">
        <f>'[7]new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2026</v>
      </c>
      <c r="I198" s="62">
        <f t="shared" si="83"/>
        <v>2026</v>
      </c>
      <c r="J198" s="62">
        <f t="shared" si="83"/>
        <v>2026</v>
      </c>
      <c r="K198" s="62">
        <f t="shared" si="83"/>
        <v>2026</v>
      </c>
      <c r="L198" s="62">
        <f t="shared" si="83"/>
        <v>2025</v>
      </c>
      <c r="M198" s="62">
        <f t="shared" si="83"/>
        <v>2024</v>
      </c>
      <c r="N198" s="62" t="str">
        <f t="shared" si="83"/>
        <v/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1.2929999999999999</v>
      </c>
      <c r="U198" s="101">
        <f t="shared" si="84"/>
        <v>1.2929999999999999</v>
      </c>
      <c r="V198" s="101">
        <f t="shared" si="84"/>
        <v>1.2929999999999999</v>
      </c>
      <c r="W198" s="101">
        <f t="shared" si="84"/>
        <v>1.0774999999999999</v>
      </c>
      <c r="X198" s="101">
        <f t="shared" si="84"/>
        <v>0.86199999999999988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'[7]new retirement plan'!G63</f>
        <v>2026</v>
      </c>
      <c r="I199" s="62">
        <f>'[7]new retirement plan'!H63</f>
        <v>2028</v>
      </c>
      <c r="J199" s="62">
        <f>'[7]new retirement plan'!I63</f>
        <v>2029</v>
      </c>
      <c r="K199" s="62">
        <f>'[7]new retirement plan'!J63</f>
        <v>2029</v>
      </c>
      <c r="L199" s="62">
        <f>'[7]new retirement plan'!K63</f>
        <v>2030</v>
      </c>
      <c r="M199" s="62">
        <f>'[7]new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2027</v>
      </c>
      <c r="I200" s="62">
        <f t="shared" si="83"/>
        <v>2028</v>
      </c>
      <c r="J200" s="62">
        <f t="shared" si="83"/>
        <v>2029</v>
      </c>
      <c r="K200" s="62">
        <f t="shared" si="83"/>
        <v>2030</v>
      </c>
      <c r="L200" s="62">
        <f t="shared" si="83"/>
        <v>2030</v>
      </c>
      <c r="M200" s="62">
        <f t="shared" si="83"/>
        <v>2031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2.85</v>
      </c>
      <c r="Z200" s="101">
        <f t="shared" si="84"/>
        <v>2.375</v>
      </c>
      <c r="AA200" s="101">
        <f t="shared" si="84"/>
        <v>1.9</v>
      </c>
      <c r="AB200" s="101">
        <f t="shared" si="84"/>
        <v>1.4249999999999998</v>
      </c>
      <c r="AC200" s="101">
        <f t="shared" si="84"/>
        <v>0.47499999999999976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'[7]new retirement plan'!G65</f>
        <v>2026</v>
      </c>
      <c r="I201" s="62">
        <f>'[7]new retirement plan'!H65</f>
        <v>2027</v>
      </c>
      <c r="J201" s="62">
        <f>'[7]new retirement plan'!I65</f>
        <v>2027</v>
      </c>
      <c r="K201" s="62">
        <f>'[7]new retirement plan'!J65</f>
        <v>2028</v>
      </c>
      <c r="L201" s="62">
        <f>'[7]new retirement plan'!K65</f>
        <v>2030</v>
      </c>
      <c r="M201" s="62">
        <f>'[7]new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'[7]new retirement plan'!G66</f>
        <v>2026</v>
      </c>
      <c r="I202" s="62">
        <f>'[7]new retirement plan'!H66</f>
        <v>2027</v>
      </c>
      <c r="J202" s="62">
        <f>'[7]new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'[7]new retirement plan'!J67</f>
        <v>2029</v>
      </c>
      <c r="L203" s="62">
        <f>'[7]new retirement plan'!K67</f>
        <v>2030</v>
      </c>
      <c r="M203" s="62">
        <f>'[7]new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'[7]new retirement plan'!G68</f>
        <v>2027</v>
      </c>
      <c r="I204" s="62">
        <f>'[7]new retirement plan'!H68</f>
        <v>2027</v>
      </c>
      <c r="J204" s="62">
        <f>'[7]new retirement plan'!I68</f>
        <v>2028</v>
      </c>
      <c r="K204" s="62">
        <f>'[7]new retirement plan'!J68</f>
        <v>2029</v>
      </c>
      <c r="L204" s="62">
        <f>'[7]new retirement plan'!K68</f>
        <v>2030</v>
      </c>
      <c r="M204" s="62">
        <f>'[7]new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'[7]new retirement plan'!G69</f>
        <v>2027</v>
      </c>
      <c r="I205" s="62">
        <f>'[7]new retirement plan'!H69</f>
        <v>2028</v>
      </c>
      <c r="J205" s="62">
        <f>'[7]new retirement plan'!I69</f>
        <v>2028</v>
      </c>
      <c r="K205" s="62">
        <f>'[7]new retirement plan'!J69</f>
        <v>2029</v>
      </c>
      <c r="L205" s="62">
        <f>'[7]new retirement plan'!K69</f>
        <v>2030</v>
      </c>
      <c r="M205" s="62">
        <f>'[7]new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'[7]new retirement plan'!G70</f>
        <v>2025</v>
      </c>
      <c r="I206" s="62">
        <f>'[7]new retirement plan'!H70</f>
        <v>2026</v>
      </c>
      <c r="J206" s="62">
        <f>'[7]new retirement plan'!I70</f>
        <v>2027</v>
      </c>
      <c r="K206" s="62">
        <f>'[7]new retirement plan'!J70</f>
        <v>2027</v>
      </c>
      <c r="L206" s="62">
        <f>'[7]new retirement plan'!K70</f>
        <v>2029</v>
      </c>
      <c r="M206" s="62">
        <f>'[7]new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296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2026</v>
      </c>
      <c r="I211" s="62">
        <f t="shared" ref="I211:N211" si="86">I193</f>
        <v>2026</v>
      </c>
      <c r="J211" s="62">
        <f t="shared" si="86"/>
        <v>2026</v>
      </c>
      <c r="K211" s="62">
        <f t="shared" si="86"/>
        <v>2026</v>
      </c>
      <c r="L211" s="62">
        <f t="shared" si="86"/>
        <v>2026</v>
      </c>
      <c r="M211" s="62">
        <f t="shared" si="86"/>
        <v>2026</v>
      </c>
      <c r="N211" s="62">
        <f t="shared" si="86"/>
        <v>2026</v>
      </c>
      <c r="O211" s="62">
        <f>O193</f>
        <v>2026</v>
      </c>
      <c r="Q211" s="101">
        <f t="shared" ref="Q211:Q224" si="87">COUNT(H211:P211)</f>
        <v>8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1.4810000000000001</v>
      </c>
      <c r="X211" s="101">
        <f t="shared" si="88"/>
        <v>1.4810000000000001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2026</v>
      </c>
      <c r="J212" s="62">
        <f t="shared" si="91"/>
        <v>2026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</v>
      </c>
      <c r="Z212" s="101">
        <f t="shared" si="92"/>
        <v>0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2020</v>
      </c>
      <c r="K213" s="62">
        <f t="shared" si="91"/>
        <v>2023</v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4</v>
      </c>
      <c r="R213" s="101">
        <v>0.41</v>
      </c>
      <c r="S213" s="101">
        <f t="shared" si="92"/>
        <v>0.10249999999999998</v>
      </c>
      <c r="T213" s="101">
        <f t="shared" si="92"/>
        <v>0.10249999999999998</v>
      </c>
      <c r="U213" s="101">
        <f t="shared" si="92"/>
        <v>0.10249999999999998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2028</v>
      </c>
      <c r="I214" s="62">
        <f t="shared" si="91"/>
        <v>2027</v>
      </c>
      <c r="J214" s="62">
        <f t="shared" si="91"/>
        <v>2027</v>
      </c>
      <c r="K214" s="62">
        <f t="shared" si="91"/>
        <v>2028</v>
      </c>
      <c r="L214" s="62">
        <f t="shared" si="91"/>
        <v>2030</v>
      </c>
      <c r="M214" s="62">
        <f t="shared" si="91"/>
        <v>2030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2.2320000000000002</v>
      </c>
      <c r="Z214" s="101">
        <f t="shared" si="92"/>
        <v>1.488</v>
      </c>
      <c r="AA214" s="101">
        <f t="shared" si="92"/>
        <v>0.74399999999999988</v>
      </c>
      <c r="AB214" s="101">
        <f t="shared" si="92"/>
        <v>0.74399999999999988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2026</v>
      </c>
      <c r="I216" s="62">
        <f t="shared" ref="I216:N216" si="94">I198</f>
        <v>2026</v>
      </c>
      <c r="J216" s="62">
        <f t="shared" si="94"/>
        <v>2026</v>
      </c>
      <c r="K216" s="62">
        <f t="shared" si="94"/>
        <v>2026</v>
      </c>
      <c r="L216" s="62">
        <f t="shared" si="94"/>
        <v>2025</v>
      </c>
      <c r="M216" s="62">
        <f t="shared" si="94"/>
        <v>2024</v>
      </c>
      <c r="N216" s="62" t="str">
        <f t="shared" si="94"/>
        <v/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1.2929999999999999</v>
      </c>
      <c r="U216" s="101">
        <f t="shared" si="92"/>
        <v>1.2929999999999999</v>
      </c>
      <c r="V216" s="101">
        <f t="shared" si="92"/>
        <v>1.2929999999999999</v>
      </c>
      <c r="W216" s="101">
        <f t="shared" si="92"/>
        <v>1.0774999999999999</v>
      </c>
      <c r="X216" s="101">
        <f t="shared" si="92"/>
        <v>0.86199999999999988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2027</v>
      </c>
      <c r="I218" s="62">
        <f t="shared" ref="I218:N218" si="95">I200</f>
        <v>2028</v>
      </c>
      <c r="J218" s="62">
        <f t="shared" si="95"/>
        <v>2029</v>
      </c>
      <c r="K218" s="62">
        <f t="shared" si="95"/>
        <v>2030</v>
      </c>
      <c r="L218" s="62">
        <f t="shared" si="95"/>
        <v>2030</v>
      </c>
      <c r="M218" s="62">
        <f t="shared" si="95"/>
        <v>2031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2.85</v>
      </c>
      <c r="Z218" s="101">
        <f t="shared" si="92"/>
        <v>2.375</v>
      </c>
      <c r="AA218" s="101">
        <f t="shared" si="92"/>
        <v>1.9</v>
      </c>
      <c r="AB218" s="101">
        <f t="shared" si="92"/>
        <v>1.4249999999999998</v>
      </c>
      <c r="AC218" s="101">
        <f t="shared" si="92"/>
        <v>0.47499999999999976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297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2026</v>
      </c>
      <c r="I228" s="62">
        <f t="shared" ref="I228:O228" si="96">I211</f>
        <v>2026</v>
      </c>
      <c r="J228" s="62">
        <f t="shared" si="96"/>
        <v>2026</v>
      </c>
      <c r="K228" s="62">
        <f t="shared" si="96"/>
        <v>2026</v>
      </c>
      <c r="L228" s="62">
        <f t="shared" si="96"/>
        <v>2026</v>
      </c>
      <c r="M228" s="62">
        <f t="shared" si="96"/>
        <v>2026</v>
      </c>
      <c r="N228" s="62">
        <f t="shared" si="96"/>
        <v>2026</v>
      </c>
      <c r="O228" s="62">
        <f t="shared" si="96"/>
        <v>2026</v>
      </c>
      <c r="Q228" s="101">
        <f t="shared" ref="Q228:Q241" si="97">COUNT(H228:P228)</f>
        <v>8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1.4810000000000001</v>
      </c>
      <c r="X228" s="101">
        <f t="shared" si="98"/>
        <v>1.4810000000000001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2026</v>
      </c>
      <c r="J229" s="62">
        <f t="shared" si="101"/>
        <v>2026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</v>
      </c>
      <c r="Z229" s="101">
        <f t="shared" si="102"/>
        <v>0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2020</v>
      </c>
      <c r="K230" s="62">
        <f t="shared" si="101"/>
        <v>2023</v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4</v>
      </c>
      <c r="R230" s="101">
        <v>0.41</v>
      </c>
      <c r="S230" s="101">
        <f t="shared" si="102"/>
        <v>0.10249999999999998</v>
      </c>
      <c r="T230" s="101">
        <f t="shared" si="102"/>
        <v>0.10249999999999998</v>
      </c>
      <c r="U230" s="101">
        <f t="shared" si="102"/>
        <v>0.10249999999999998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2028</v>
      </c>
      <c r="I231" s="62">
        <f t="shared" si="101"/>
        <v>2027</v>
      </c>
      <c r="J231" s="62">
        <f t="shared" si="101"/>
        <v>2027</v>
      </c>
      <c r="K231" s="62">
        <f t="shared" si="101"/>
        <v>2028</v>
      </c>
      <c r="L231" s="62">
        <f t="shared" si="101"/>
        <v>2030</v>
      </c>
      <c r="M231" s="62">
        <f t="shared" si="101"/>
        <v>2030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2.2320000000000002</v>
      </c>
      <c r="Z231" s="101">
        <f t="shared" si="102"/>
        <v>1.488</v>
      </c>
      <c r="AA231" s="101">
        <f t="shared" si="102"/>
        <v>0.74399999999999988</v>
      </c>
      <c r="AB231" s="101">
        <f t="shared" si="102"/>
        <v>0.74399999999999988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2026</v>
      </c>
      <c r="I233" s="62">
        <f t="shared" si="101"/>
        <v>2026</v>
      </c>
      <c r="J233" s="62">
        <f t="shared" si="101"/>
        <v>2026</v>
      </c>
      <c r="K233" s="62">
        <f t="shared" si="101"/>
        <v>2026</v>
      </c>
      <c r="L233" s="62">
        <f t="shared" si="101"/>
        <v>2025</v>
      </c>
      <c r="M233" s="62">
        <f t="shared" si="101"/>
        <v>2024</v>
      </c>
      <c r="N233" s="62" t="str">
        <f t="shared" si="101"/>
        <v/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1.2929999999999999</v>
      </c>
      <c r="U233" s="101">
        <f t="shared" si="102"/>
        <v>1.2929999999999999</v>
      </c>
      <c r="V233" s="101">
        <f t="shared" si="102"/>
        <v>1.2929999999999999</v>
      </c>
      <c r="W233" s="101">
        <f t="shared" si="102"/>
        <v>1.0774999999999999</v>
      </c>
      <c r="X233" s="101">
        <f t="shared" si="102"/>
        <v>0.86199999999999988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2027</v>
      </c>
      <c r="I235" s="62">
        <f t="shared" si="101"/>
        <v>2028</v>
      </c>
      <c r="J235" s="62">
        <f t="shared" si="101"/>
        <v>2029</v>
      </c>
      <c r="K235" s="62">
        <f t="shared" si="101"/>
        <v>2030</v>
      </c>
      <c r="L235" s="62">
        <f t="shared" si="101"/>
        <v>2030</v>
      </c>
      <c r="M235" s="62">
        <f t="shared" si="101"/>
        <v>2031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2.85</v>
      </c>
      <c r="Z235" s="101">
        <f t="shared" si="102"/>
        <v>2.375</v>
      </c>
      <c r="AA235" s="101">
        <f t="shared" si="102"/>
        <v>1.9</v>
      </c>
      <c r="AB235" s="101">
        <f t="shared" si="102"/>
        <v>1.4249999999999998</v>
      </c>
      <c r="AC235" s="101">
        <f t="shared" si="102"/>
        <v>0.47499999999999976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workbookViewId="0">
      <selection activeCell="B11" sqref="B11"/>
    </sheetView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51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2019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0.81996434937611407</v>
      </c>
    </row>
    <row r="15" spans="1:29" ht="15" x14ac:dyDescent="0.25">
      <c r="A15" s="38" t="s">
        <v>221</v>
      </c>
      <c r="B15" s="72">
        <f>SUMIF($B$1:$Y$1,B10,$B$3:$Y$3)</f>
        <v>1.2195652173913043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FGD-Medupi est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2023-03-01T16:21:14Z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