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220DCC12-58F5-497A-895B-B2FEC21DA26B}" xr6:coauthVersionLast="47" xr6:coauthVersionMax="47" xr10:uidLastSave="{00000000-0000-0000-0000-000000000000}"/>
  <bookViews>
    <workbookView xWindow="-23148" yWindow="1980" windowWidth="23256" windowHeight="12720" firstSheet="3" activeTab="8" xr2:uid="{34DA6E80-23FC-4416-A00B-77E86215713D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45" i="123" l="1"/>
  <c r="L145" i="123"/>
  <c r="K145" i="123"/>
  <c r="J145" i="123"/>
  <c r="I145" i="123"/>
  <c r="I163" i="123" s="1"/>
  <c r="H145" i="123"/>
  <c r="H163" i="123" s="1"/>
  <c r="M163" i="123"/>
  <c r="L163" i="123"/>
  <c r="K163" i="123"/>
  <c r="J163" i="123"/>
  <c r="D34" i="124" l="1"/>
  <c r="M39" i="125" s="1"/>
  <c r="D33" i="124"/>
  <c r="L39" i="125" s="1"/>
  <c r="D32" i="124"/>
  <c r="K39" i="125" s="1"/>
  <c r="T28" i="124"/>
  <c r="T34" i="124" s="1"/>
  <c r="S28" i="124"/>
  <c r="S34" i="124" s="1"/>
  <c r="R28" i="124"/>
  <c r="R34" i="124" s="1"/>
  <c r="D28" i="124"/>
  <c r="D24" i="124"/>
  <c r="F16" i="124" s="1"/>
  <c r="D14" i="124"/>
  <c r="D13" i="124"/>
  <c r="D15" i="124" s="1"/>
  <c r="T11" i="124"/>
  <c r="S11" i="124"/>
  <c r="R11" i="124"/>
  <c r="D8" i="124"/>
  <c r="J6" i="124"/>
  <c r="J8" i="124" s="1"/>
  <c r="J9" i="124" s="1"/>
  <c r="D5" i="124"/>
  <c r="D23" i="124" s="1"/>
  <c r="H23" i="125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28" i="124" l="1"/>
  <c r="K27" i="124"/>
  <c r="K29" i="124"/>
  <c r="T14" i="124"/>
  <c r="T23" i="124" s="1"/>
  <c r="T32" i="124" s="1"/>
  <c r="S14" i="124"/>
  <c r="S23" i="124" s="1"/>
  <c r="S32" i="124" s="1"/>
  <c r="R14" i="124"/>
  <c r="R23" i="124" s="1"/>
  <c r="R32" i="124" s="1"/>
  <c r="T13" i="124"/>
  <c r="T24" i="124" s="1"/>
  <c r="T33" i="124" s="1"/>
  <c r="S13" i="124"/>
  <c r="S24" i="124" s="1"/>
  <c r="S33" i="124" s="1"/>
  <c r="D17" i="124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S201" i="123" s="1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S143" i="123" s="1"/>
  <c r="T143" i="123" s="1"/>
  <c r="U143" i="123" s="1"/>
  <c r="V143" i="123" s="1"/>
  <c r="W143" i="123" s="1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R13" i="124" l="1"/>
  <c r="R24" i="124" s="1"/>
  <c r="R33" i="124" s="1"/>
  <c r="D20" i="124"/>
  <c r="F17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S18" i="123" s="1"/>
  <c r="Q174" i="123"/>
  <c r="H228" i="123"/>
  <c r="S204" i="123"/>
  <c r="T204" i="123" s="1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P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P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P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P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J29" i="125" l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P30" i="125" s="1"/>
  <c r="AD14" i="78"/>
  <c r="AH31" i="123"/>
  <c r="W22" i="78"/>
  <c r="AK27" i="123"/>
  <c r="Z18" i="78"/>
  <c r="AH30" i="123"/>
  <c r="W21" i="78"/>
  <c r="M29" i="125" l="1"/>
  <c r="K29" i="125"/>
  <c r="I13" i="125"/>
  <c r="H13" i="126" s="1"/>
  <c r="AB13" i="126" s="1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P31" i="125" s="1"/>
  <c r="AD15" i="78"/>
  <c r="J31" i="125" l="1"/>
  <c r="I15" i="125"/>
  <c r="H15" i="126" s="1"/>
  <c r="AD15" i="126" s="1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P32" i="125" l="1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P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H17" i="126" s="1"/>
  <c r="AF17" i="126" s="1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P34" i="125" l="1"/>
  <c r="J34" i="125" s="1"/>
  <c r="AS28" i="123"/>
  <c r="AT28" i="123" s="1"/>
  <c r="AU28" i="123" s="1"/>
  <c r="AV28" i="123" s="1"/>
  <c r="AW28" i="123" s="1"/>
  <c r="AE19" i="78" s="1"/>
  <c r="P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H18" i="126" s="1"/>
  <c r="AG18" i="126" s="1"/>
  <c r="M34" i="125"/>
  <c r="H18" i="125"/>
  <c r="L34" i="125"/>
  <c r="K34" i="125"/>
  <c r="J35" i="125"/>
  <c r="H19" i="125"/>
  <c r="I19" i="125"/>
  <c r="H19" i="126" s="1"/>
  <c r="AH19" i="126" s="1"/>
  <c r="K35" i="125"/>
  <c r="M35" i="125"/>
  <c r="L35" i="125"/>
  <c r="O35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O36" i="125" l="1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AD21" i="78"/>
  <c r="AS31" i="123"/>
  <c r="AT31" i="123" s="1"/>
  <c r="AU31" i="123" s="1"/>
  <c r="AV31" i="123" s="1"/>
  <c r="AW31" i="123" s="1"/>
  <c r="AE22" i="78" s="1"/>
  <c r="P38" i="125" s="1"/>
  <c r="AD22" i="78"/>
  <c r="L37" i="125" l="1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  <c r="A1" i="1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tc={257C1785-4088-424C-8C77-42576C9EBD7A}</author>
    <author>tc={081A5CF9-2741-48FD-9B06-DBEB1445DC14}</author>
    <author>tc={6ADD44AC-8E57-49E9-B457-8A6775E0F685}</author>
  </authors>
  <commentList>
    <comment ref="R11" authorId="0" shapeId="0" xr:uid="{257C1785-4088-424C-8C77-42576C9EBD7A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081A5CF9-2741-48FD-9B06-DBEB1445DC14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6ADD44AC-8E57-49E9-B457-8A6775E0F685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<sst xmlns="http://schemas.openxmlformats.org/spreadsheetml/2006/main" count="1332" uniqueCount="401">
  <si>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</si>
  <si>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</si>
  <si>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</si>
  <si>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</si>
  <si>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</si>
  <si>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</si>
  <si>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</si>
  <si>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</si>
  <si>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</si>
  <si>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</si>
  <si>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</si>
  <si>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</si>
  <si>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</si>
  <si>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</si>
  <si>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</si>
  <si>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</si>
  <si>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</si>
  <si>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</si>
  <si>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</si>
  <si>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</si>
  <si>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</si>
  <si>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</si>
  <si>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</si>
  <si>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</si>
  <si>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</si>
  <si>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</si>
  <si>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</si>
  <si>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</si>
  <si>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</si>
  <si>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</si>
  <si>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</si>
  <si>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</si>
  <si>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</si>
  <si>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</si>
  <si>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</si>
  <si>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</si>
  <si>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</si>
  <si>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</si>
  <si>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</si>
  <si>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</si>
  <si>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</si>
  <si>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</si>
  <si>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</si>
  <si>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</si>
  <si>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</si>
  <si>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</si>
  <si>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</si>
  <si>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</si>
  <si>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</si>
  <si>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</si>
  <si>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</si>
  <si>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</si>
  <si>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</si>
  <si>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</si>
  <si>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</si>
  <si>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</si>
  <si>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</si>
  <si>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</si>
  <si>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</si>
  <si>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</si>
  <si>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</si>
  <si>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</si>
  <si>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</si>
  <si>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</si>
  <si>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</si>
  <si>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</si>
  <si>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</si>
  <si>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</si>
  <si>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</si>
  <si>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</si>
  <si>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</si>
  <si>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</si>
  <si>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</si>
  <si>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</si>
  <si>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</si>
  <si>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</si>
  <si>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</si>
  <si>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</si>
  <si>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</si>
  <si>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</si>
  <si>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</si>
  <si>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</si>
  <si>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</si>
  <si>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</si>
  <si>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</si>
  <si>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</si>
  <si>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</si>
  <si>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</si>
  <si>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</si>
  <si>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</si>
  <si>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</si>
  <si>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</si>
  <si>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</si>
  <si>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</si>
  <si>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</si>
  <si>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</si>
  <si>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</si>
  <si>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</si>
  <si>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</si>
  <si>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</si>
  <si>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</si>
  <si>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</si>
  <si>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</si>
  <si>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</si>
  <si>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</si>
  <si>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</si>
  <si>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</si>
  <si>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</si>
  <si>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</si>
  <si>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</si>
  <si>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</si>
  <si>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</si>
  <si>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</si>
  <si>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</si>
  <si>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</si>
  <si>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</si>
  <si>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</si>
  <si>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</si>
  <si>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</si>
  <si>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</si>
  <si>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</si>
  <si>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</si>
  <si>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</si>
  <si>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</si>
  <si>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</si>
  <si>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</si>
  <si>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</si>
  <si>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</si>
  <si>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</si>
  <si>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</si>
  <si>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</si>
  <si>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</si>
  <si>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</si>
  <si>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</si>
  <si>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</si>
  <si>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</si>
  <si>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</si>
  <si>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</si>
  <si>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</si>
  <si>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</si>
  <si>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</si>
  <si>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</si>
  <si>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</si>
  <si>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</si>
  <si>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</si>
  <si>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</si>
  <si>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</si>
  <si>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</si>
  <si>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</si>
  <si>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</si>
  <si>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</si>
  <si>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</si>
  <si>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</si>
  <si>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</si>
  <si>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</si>
  <si>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</si>
  <si>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</si>
  <si>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</si>
  <si>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</si>
  <si>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</si>
  <si>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</si>
  <si>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</si>
  <si>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</si>
  <si>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</si>
  <si>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</si>
  <si>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</si>
  <si>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</si>
  <si>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</si>
  <si>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</si>
  <si>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</si>
  <si>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</si>
  <si>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</si>
  <si>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</si>
  <si>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</si>
  <si>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</si>
  <si>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</si>
  <si>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</si>
  <si>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</si>
  <si>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</si>
  <si>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</si>
  <si>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</si>
  <si>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</si>
  <si>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</si>
  <si>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</si>
  <si>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</si>
  <si>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</si>
  <si>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</si>
  <si>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</si>
  <si>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</si>
  <si>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</si>
  <si>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</si>
  <si>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</si>
  <si>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</si>
  <si>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</si>
  <si>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</si>
  <si>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</si>
  <si>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</si>
  <si>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</si>
  <si>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</si>
  <si>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</si>
  <si>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</si>
  <si>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</si>
  <si>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</si>
  <si>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</si>
  <si>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</si>
  <si>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</si>
  <si>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</si>
  <si>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</si>
  <si>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</si>
  <si>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</si>
  <si>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</si>
  <si>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</si>
  <si>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</si>
  <si>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</si>
  <si>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</si>
  <si>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</si>
  <si>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</si>
  <si>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</si>
  <si>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</si>
  <si>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</si>
  <si>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</si>
  <si>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</si>
  <si>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</si>
  <si>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</si>
  <si>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</si>
  <si>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</si>
  <si>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</si>
  <si>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</si>
  <si>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</si>
  <si>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</si>
  <si>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</si>
  <si>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</si>
  <si>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</si>
  <si>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</si>
  <si>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</si>
  <si>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</si>
  <si>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</si>
  <si>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</si>
  <si>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</si>
  <si>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</si>
  <si>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</si>
  <si>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</si>
  <si>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</si>
  <si>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</si>
  <si>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</si>
  <si>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</si>
  <si>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</si>
  <si>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</si>
  <si>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</si>
  <si>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</si>
  <si>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</si>
  <si>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</si>
  <si>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</si>
  <si>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</si>
  <si>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</si>
  <si>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</si>
  <si>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</si>
  <si>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</si>
  <si>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</si>
  <si>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</si>
  <si>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</si>
  <si>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</si>
  <si>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</si>
  <si>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</si>
  <si>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</si>
  <si>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</si>
  <si>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</si>
  <si>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</si>
  <si>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</si>
  <si>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</si>
  <si>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</si>
  <si>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</si>
  <si>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</si>
  <si>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</si>
  <si>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</si>
  <si>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</si>
  <si>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</si>
  <si>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</si>
  <si>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</si>
  <si>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</si>
  <si>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</si>
  <si>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</si>
  <si>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</si>
  <si>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</si>
  <si>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</si>
  <si>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</si>
  <si>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</si>
  <si>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</si>
  <si>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</si>
  <si>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</si>
  <si>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</si>
  <si>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</si>
  <si>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</si>
  <si>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</si>
  <si>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</si>
  <si>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</si>
  <si>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</si>
  <si>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</si>
  <si>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</si>
  <si>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</si>
  <si>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</si>
  <si>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</si>
  <si>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</si>
  <si>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</si>
  <si>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</si>
  <si>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</si>
  <si>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</si>
  <si>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</si>
  <si>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</si>
  <si>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</si>
  <si>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</si>
  <si>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</si>
  <si>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</si>
  <si>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</si>
  <si>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</si>
  <si>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</si>
  <si>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</si>
  <si>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</si>
  <si>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</si>
  <si>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</si>
  <si>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</si>
  <si>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</si>
  <si>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</si>
  <si>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</si>
  <si>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</si>
  <si>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</si>
  <si>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</si>
  <si>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</si>
  <si>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</si>
  <si>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</si>
  <si>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</si>
  <si>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</si>
  <si>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</si>
  <si>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</si>
  <si>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</si>
  <si>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</si>
  <si>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</si>
  <si>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</si>
  <si>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</si>
  <si>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</si>
  <si>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</si>
  <si>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</si>
  <si>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</si>
  <si>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</si>
  <si>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</si>
  <si>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</si>
  <si>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</si>
  <si>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</si>
  <si>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</si>
  <si>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</si>
  <si>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</si>
  <si>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</si>
  <si>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</si>
  <si>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</si>
  <si>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</si>
  <si>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</si>
  <si>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</si>
  <si>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</si>
  <si>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</si>
  <si>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</si>
  <si>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</si>
  <si>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</si>
  <si>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</si>
  <si>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</si>
  <si>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</si>
  <si>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</si>
  <si>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</si>
  <si>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</si>
  <si>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</si>
  <si>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</si>
  <si>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</si>
  <si>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</si>
  <si>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</si>
  <si>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Andre de Ruyter affidavit 2023</t>
  </si>
  <si>
    <t>PDF available from DailyMaverick</t>
  </si>
  <si>
    <t>Data from Eskom 2018 Feasibility study on Medupi FGD</t>
  </si>
  <si>
    <t>https://www.dailymaverick.co.za/article/2023-02-26-25-years-in-the-making-the-real-reasons-we-have-rolling-blackouts-according-to-de-ruyter/</t>
  </si>
  <si>
    <t>Eskom (2018) Medupi Flue Gas Desulphurisation: Technology Selection Study Report</t>
  </si>
  <si>
    <t>https://cer.org.za/wp-content/uploads/2021/12/App-B-474-10175-Medupi-FGD-Technology-Study-Report-Rev-2-0-FINAL.pdf</t>
  </si>
  <si>
    <t>Cost of compliance with MES (bR):</t>
  </si>
  <si>
    <t>Fleet capacity affected (GW):</t>
  </si>
  <si>
    <t>(Duvha, Lethabo, Matla, Tutuka, Kendal, Majuba, Matimba, Medupi, Kriel)</t>
  </si>
  <si>
    <t>Cost data assumed in 2017 Rands</t>
  </si>
  <si>
    <t>2023 ZAR</t>
  </si>
  <si>
    <t>2015 ZAR</t>
  </si>
  <si>
    <t>Adjusted for CPI</t>
  </si>
  <si>
    <t>Option1</t>
  </si>
  <si>
    <t>Option2</t>
  </si>
  <si>
    <t>Option3</t>
  </si>
  <si>
    <t>WetFGD</t>
  </si>
  <si>
    <t>WetFGDmod</t>
  </si>
  <si>
    <t>DryFGD</t>
  </si>
  <si>
    <t>CAPEX</t>
  </si>
  <si>
    <t>ZAR</t>
  </si>
  <si>
    <t>OPEX</t>
  </si>
  <si>
    <t>ZAR/yr</t>
  </si>
  <si>
    <t>F-OPEX</t>
  </si>
  <si>
    <t>V-OPEX</t>
  </si>
  <si>
    <t>v1-original</t>
  </si>
  <si>
    <t>v2-inflated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</si>
  <si>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Kendal, Majuba, Matimba, Lethabo, Medupi (assume we do FGD), Kusile  for these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</si>
</sst>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3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21" fillId="0" borderId="0" xfId="2" applyFont="1"/>
    <xf numFmtId="17" fontId="0" fillId="0" borderId="0" xfId="0" applyNumberFormat="1"/>
    <xf numFmtId="0" fontId="0" fillId="3" borderId="0" xfId="0" applyFill="1"/>
    <xf numFmtId="0" fontId="46" fillId="0" borderId="0" xfId="39"/>
    <xf numFmtId="1" fontId="0" fillId="0" borderId="0" xfId="0" applyNumberFormat="1"/>
    <xf numFmtId="166" fontId="0" fillId="0" borderId="0" xfId="0" applyNumberFormat="1"/>
    <xf numFmtId="3" fontId="0" fillId="0" borderId="0" xfId="0" applyNumberFormat="1"/>
    <xf numFmtId="0" fontId="0" fillId="17" borderId="0" xfId="0" applyFill="1"/>
    <xf numFmtId="170" fontId="0" fillId="0" borderId="0" xfId="0" applyNumberFormat="1"/>
    <xf numFmtId="165" fontId="0" fillId="0" borderId="0" xfId="0" applyNumberFormat="1"/>
    <xf numFmtId="166" fontId="0" fillId="18" borderId="0" xfId="0" applyNumberFormat="1" applyFill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7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64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10" Type="http://schemas.openxmlformats.org/officeDocument/2006/relationships/image" Target="../media/image7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4" Type="http://schemas.openxmlformats.org/officeDocument/2006/relationships/image" Target="../media/image91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10" Type="http://schemas.openxmlformats.org/officeDocument/2006/relationships/image" Target="../media/image9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10" Type="http://schemas.openxmlformats.org/officeDocument/2006/relationships/image" Target="../media/image106.emf"/><Relationship Id="rId4" Type="http://schemas.openxmlformats.org/officeDocument/2006/relationships/image" Target="../media/image110.emf"/><Relationship Id="rId9" Type="http://schemas.openxmlformats.org/officeDocument/2006/relationships/image" Target="../media/image11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18.emf"/><Relationship Id="rId7" Type="http://schemas.openxmlformats.org/officeDocument/2006/relationships/image" Target="../media/image122.emf"/><Relationship Id="rId2" Type="http://schemas.openxmlformats.org/officeDocument/2006/relationships/image" Target="../media/image117.emf"/><Relationship Id="rId1" Type="http://schemas.openxmlformats.org/officeDocument/2006/relationships/image" Target="../media/image116.emf"/><Relationship Id="rId6" Type="http://schemas.openxmlformats.org/officeDocument/2006/relationships/image" Target="../media/image121.emf"/><Relationship Id="rId5" Type="http://schemas.openxmlformats.org/officeDocument/2006/relationships/image" Target="../media/image120.emf"/><Relationship Id="rId4" Type="http://schemas.openxmlformats.org/officeDocument/2006/relationships/image" Target="../media/image119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2.emf"/><Relationship Id="rId3" Type="http://schemas.openxmlformats.org/officeDocument/2006/relationships/image" Target="../media/image127.emf"/><Relationship Id="rId7" Type="http://schemas.openxmlformats.org/officeDocument/2006/relationships/image" Target="../media/image131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6" Type="http://schemas.openxmlformats.org/officeDocument/2006/relationships/image" Target="../media/image130.emf"/><Relationship Id="rId5" Type="http://schemas.openxmlformats.org/officeDocument/2006/relationships/image" Target="../media/image129.emf"/><Relationship Id="rId10" Type="http://schemas.openxmlformats.org/officeDocument/2006/relationships/image" Target="../media/image124.emf"/><Relationship Id="rId4" Type="http://schemas.openxmlformats.org/officeDocument/2006/relationships/image" Target="../media/image128.emf"/><Relationship Id="rId9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66302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40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.xlsm" TargetMode="External"/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_FGD_CATA_Optimized-GC-CATA.xlsm" TargetMode="External"/><Relationship Id="rId1" Type="http://schemas.openxmlformats.org/officeDocument/2006/relationships/externalLinkPath" Target="TCH_PWR_FGD_CATA_Optimized-GC-C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Processes"/>
      <sheetName val="Commodities"/>
      <sheetName val="ProcDataRetirement"/>
      <sheetName val="ProcDataFGD"/>
      <sheetName val="ProcDataAux"/>
      <sheetName val="FGD"/>
      <sheetName val="ProcDataEndoRetireFX"/>
      <sheetName val="retirement scenarios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4">
          <cell r="W4">
            <v>0.89327615502872393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E2A908D6-B5FC-447A-A95D-1C578A75BEAD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E2A908D6-B5FC-447A-A95D-1C578A75BEAD}" id="{257C1785-4088-424C-8C77-42576C9EBD7A}">
    <text>Assumed units in Table 5 to the right are in 1000 ZAR not 1000000 ZAR (otherwise FGD would cost R17 trillion!)</text>
  </threadedComment>
  <threadedComment ref="P13" dT="2023-03-21T08:14:25.10" personId="{E2A908D6-B5FC-447A-A95D-1C578A75BEAD}" id="{081A5CF9-2741-48FD-9B06-DBEB1445DC14}">
    <text>Assume ratio as per cells D14/D15</text>
  </threadedComment>
  <threadedComment ref="P14" dT="2023-03-21T08:14:25.10" personId="{E2A908D6-B5FC-447A-A95D-1C578A75BEAD}" id="{6ADD44AC-8E57-49E9-B457-8A6775E0F685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123825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85725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85725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581025</xdr:colOff>
                <xdr:row>17</xdr:row>
                <xdr:rowOff>9525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152400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/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/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343</v>
      </c>
      <c r="D26" s="25"/>
      <c r="E26" s="25"/>
    </row>
    <row r="27" spans="1:10" x14ac:dyDescent="0.2">
      <c r="B27" s="39" t="s">
        <v>328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329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330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331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332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333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334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335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336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337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338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339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340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341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344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342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302</v>
      </c>
      <c r="C9" s="41" t="s">
        <v>315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304</v>
      </c>
      <c r="C10" s="41" t="s">
        <v>317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307</v>
      </c>
      <c r="C11" s="41" t="s">
        <v>320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301</v>
      </c>
      <c r="C12" s="41" t="s">
        <v>314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303</v>
      </c>
      <c r="C13" s="41" t="s">
        <v>316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305</v>
      </c>
      <c r="C14" s="41" t="s">
        <v>318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306</v>
      </c>
      <c r="C15" s="41" t="s">
        <v>319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308</v>
      </c>
      <c r="C16" s="41" t="s">
        <v>321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309</v>
      </c>
      <c r="C17" s="41" t="s">
        <v>322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346</v>
      </c>
      <c r="C18" s="41" t="s">
        <v>323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347</v>
      </c>
      <c r="C19" s="41" t="s">
        <v>348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310</v>
      </c>
      <c r="C20" s="41" t="s">
        <v>324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311</v>
      </c>
      <c r="C21" s="41" t="s">
        <v>325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312</v>
      </c>
      <c r="C22" s="41" t="s">
        <v>326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313</v>
      </c>
      <c r="C24" s="41" t="s">
        <v>327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topLeftCell="B1" workbookViewId="0">
      <selection activeCell="C26" sqref="C26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300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0.13666666666666666</v>
      </c>
      <c r="J11" s="55">
        <f>'retirement scenarios'!T20</f>
        <v>0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0</v>
      </c>
      <c r="U13" s="55">
        <f>'retirement scenarios'!AE22</f>
        <v>0</v>
      </c>
      <c r="V13" s="55">
        <f>'retirement scenarios'!AF22</f>
        <v>0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1.0774999999999999</v>
      </c>
      <c r="K14" s="55">
        <f>'retirement scenarios'!U23</f>
        <v>1.0774999999999999</v>
      </c>
      <c r="L14" s="55">
        <f>'retirement scenarios'!V23</f>
        <v>1.0774999999999999</v>
      </c>
      <c r="M14" s="55">
        <f>'retirement scenarios'!W23</f>
        <v>0.86199999999999988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3.84</v>
      </c>
      <c r="U15" s="55">
        <f>'retirement scenarios'!AE24</f>
        <v>3.84</v>
      </c>
      <c r="V15" s="55">
        <f>'retirement scenarios'!AF24</f>
        <v>3.84</v>
      </c>
      <c r="W15" s="55">
        <f>'retirement scenarios'!AG24</f>
        <v>3.84</v>
      </c>
      <c r="X15" s="55">
        <f>'retirement scenarios'!AH24</f>
        <v>3.84</v>
      </c>
      <c r="Y15" s="55">
        <f>'retirement scenarios'!AI24</f>
        <v>3.84</v>
      </c>
      <c r="Z15" s="55">
        <f>'retirement scenarios'!AJ24</f>
        <v>3.84</v>
      </c>
      <c r="AA15" s="55">
        <f>'retirement scenarios'!AK24</f>
        <v>3.84</v>
      </c>
      <c r="AB15" s="55">
        <f>'retirement scenarios'!AL24</f>
        <v>3.1999999999999997</v>
      </c>
      <c r="AC15" s="55">
        <f>'retirement scenarios'!AM24</f>
        <v>3.1999999999999997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3.5579999999999998</v>
      </c>
      <c r="U17" s="55">
        <f>'retirement scenarios'!AE26</f>
        <v>3.5579999999999998</v>
      </c>
      <c r="V17" s="55">
        <f>'retirement scenarios'!AF26</f>
        <v>3.5579999999999998</v>
      </c>
      <c r="W17" s="55">
        <f>'retirement scenarios'!AG26</f>
        <v>3.5579999999999998</v>
      </c>
      <c r="X17" s="55">
        <f>'retirement scenarios'!AH26</f>
        <v>3.5579999999999998</v>
      </c>
      <c r="Y17" s="55">
        <f>'retirement scenarios'!AI26</f>
        <v>2.9649999999999999</v>
      </c>
      <c r="Z17" s="55">
        <f>'retirement scenarios'!AJ26</f>
        <v>1.7789999999999999</v>
      </c>
      <c r="AA17" s="55">
        <f>'retirement scenarios'!AK26</f>
        <v>1.1859999999999999</v>
      </c>
      <c r="AB17" s="55">
        <f>'retirement scenarios'!AL26</f>
        <v>1.1859999999999999</v>
      </c>
      <c r="AC17" s="55">
        <f>'retirement scenarios'!AM26</f>
        <v>0.59299999999999997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1.8330000000000002</v>
      </c>
      <c r="U18" s="55">
        <f>'retirement scenarios'!AE27</f>
        <v>1.8330000000000002</v>
      </c>
      <c r="V18" s="55">
        <f>'retirement scenarios'!AF27</f>
        <v>1.8330000000000002</v>
      </c>
      <c r="W18" s="55">
        <f>'retirement scenarios'!AG27</f>
        <v>1.8330000000000002</v>
      </c>
      <c r="X18" s="55">
        <f>'retirement scenarios'!AH27</f>
        <v>1.8330000000000002</v>
      </c>
      <c r="Y18" s="55">
        <f>'retirement scenarios'!AI27</f>
        <v>1.8330000000000002</v>
      </c>
      <c r="Z18" s="55">
        <f>'retirement scenarios'!AJ27</f>
        <v>1.8330000000000002</v>
      </c>
      <c r="AA18" s="55">
        <f>'retirement scenarios'!AK27</f>
        <v>1.8330000000000002</v>
      </c>
      <c r="AB18" s="55">
        <f>'retirement scenarios'!AL27</f>
        <v>1.8330000000000002</v>
      </c>
      <c r="AC18" s="55">
        <f>'retirement scenarios'!AM27</f>
        <v>1.8330000000000002</v>
      </c>
      <c r="AD18" s="55">
        <f>'retirement scenarios'!AR27</f>
        <v>1.8330000000000002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2.0099999999999998</v>
      </c>
      <c r="U19" s="55">
        <f>'retirement scenarios'!AE28</f>
        <v>2.0099999999999998</v>
      </c>
      <c r="V19" s="55">
        <f>'retirement scenarios'!AF28</f>
        <v>2.0099999999999998</v>
      </c>
      <c r="W19" s="55">
        <f>'retirement scenarios'!AG28</f>
        <v>2.0099999999999998</v>
      </c>
      <c r="X19" s="55">
        <f>'retirement scenarios'!AH28</f>
        <v>2.0099999999999998</v>
      </c>
      <c r="Y19" s="55">
        <f>'retirement scenarios'!AI28</f>
        <v>2.0099999999999998</v>
      </c>
      <c r="Z19" s="55">
        <f>'retirement scenarios'!AJ28</f>
        <v>2.0099999999999998</v>
      </c>
      <c r="AA19" s="55">
        <f>'retirement scenarios'!AK28</f>
        <v>2.0099999999999998</v>
      </c>
      <c r="AB19" s="55">
        <f>'retirement scenarios'!AL28</f>
        <v>2.0099999999999998</v>
      </c>
      <c r="AC19" s="55">
        <f>'retirement scenarios'!AM28</f>
        <v>2.0099999999999998</v>
      </c>
      <c r="AD19" s="55">
        <f>'retirement scenarios'!AR28</f>
        <v>2.0099999999999998</v>
      </c>
      <c r="AE19" s="55">
        <f>'retirement scenarios'!AW28</f>
        <v>0.66999999999999993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3.69</v>
      </c>
      <c r="U20" s="55">
        <f>'retirement scenarios'!AE29</f>
        <v>3.69</v>
      </c>
      <c r="V20" s="55">
        <f>'retirement scenarios'!AF29</f>
        <v>3.69</v>
      </c>
      <c r="W20" s="55">
        <f>'retirement scenarios'!AG29</f>
        <v>3.69</v>
      </c>
      <c r="X20" s="55">
        <f>'retirement scenarios'!AH29</f>
        <v>3.69</v>
      </c>
      <c r="Y20" s="55">
        <f>'retirement scenarios'!AI29</f>
        <v>3.69</v>
      </c>
      <c r="Z20" s="55">
        <f>'retirement scenarios'!AJ29</f>
        <v>3.69</v>
      </c>
      <c r="AA20" s="55">
        <f>'retirement scenarios'!AK29</f>
        <v>2.46</v>
      </c>
      <c r="AB20" s="55">
        <f>'retirement scenarios'!AL29</f>
        <v>1.845</v>
      </c>
      <c r="AC20" s="55">
        <f>'retirement scenarios'!AM29</f>
        <v>1.23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3.45</v>
      </c>
      <c r="T21" s="55">
        <f>'retirement scenarios'!AD30</f>
        <v>0</v>
      </c>
      <c r="U21" s="55">
        <f>'retirement scenarios'!AE30</f>
        <v>0</v>
      </c>
      <c r="V21" s="55">
        <f>'retirement scenarios'!AF30</f>
        <v>0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3.51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topLeftCell="A7" workbookViewId="0">
      <selection activeCell="P31" sqref="P31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7" ht="11.25" customHeight="1" x14ac:dyDescent="0.2">
      <c r="A1" s="53" t="s">
        <v>300</v>
      </c>
      <c r="B1" s="18" t="s">
        <v>122</v>
      </c>
      <c r="P1" s="39" t="s">
        <v>92</v>
      </c>
    </row>
    <row r="2" spans="1:17" ht="11.25" customHeight="1" x14ac:dyDescent="0.2">
      <c r="A2" s="51" t="str">
        <f ca="1">MID(CELL("filename",A1),FIND("]",CELL("filename",A1))+1,255)</f>
        <v>ProcDataFGD</v>
      </c>
    </row>
    <row r="3" spans="1:17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349</v>
      </c>
      <c r="Q3" s="61" t="s">
        <v>127</v>
      </c>
    </row>
    <row r="4" spans="1:17" ht="21.75" customHeight="1" x14ac:dyDescent="0.2">
      <c r="E4" s="60"/>
      <c r="F4" s="60"/>
      <c r="G4" s="60"/>
      <c r="H4" s="59" t="s">
        <v>187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Q4" s="52" t="s">
        <v>117</v>
      </c>
    </row>
    <row r="5" spans="1:17" ht="16.5" customHeight="1" x14ac:dyDescent="0.2">
      <c r="H5" s="52" t="s">
        <v>186</v>
      </c>
      <c r="I5" s="52" t="s">
        <v>186</v>
      </c>
      <c r="Q5" s="58"/>
    </row>
    <row r="6" spans="1:17" ht="17.25" customHeight="1" x14ac:dyDescent="0.2">
      <c r="H6" s="52" t="s">
        <v>119</v>
      </c>
      <c r="I6" s="52" t="s">
        <v>119</v>
      </c>
      <c r="Q6" s="58"/>
    </row>
    <row r="7" spans="1:17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Q7" s="56" t="s">
        <v>44</v>
      </c>
    </row>
    <row r="8" spans="1:17" ht="11.25" customHeight="1" x14ac:dyDescent="0.2">
      <c r="A8" s="42" t="s">
        <v>232</v>
      </c>
      <c r="F8" s="44"/>
    </row>
    <row r="9" spans="1:17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IF(P25&gt;5,0.868,"")</f>
        <v/>
      </c>
      <c r="I9" s="55" t="str">
        <f>IF(P25&gt;5,0.06514,"")</f>
        <v/>
      </c>
    </row>
    <row r="10" spans="1:17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IF(P26&gt;5,0.868,"")</f>
        <v/>
      </c>
      <c r="I10" s="55" t="str">
        <f t="shared" ref="I10:I23" si="2">IF(P26&gt;5,0.06514,"")</f>
        <v/>
      </c>
    </row>
    <row r="11" spans="1:17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</row>
    <row r="12" spans="1:17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</row>
    <row r="13" spans="1:17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 t="shared" si="1"/>
        <v>0.86799999999999999</v>
      </c>
      <c r="I13" s="55">
        <f t="shared" si="2"/>
        <v>6.5140000000000003E-2</v>
      </c>
    </row>
    <row r="14" spans="1:17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</row>
    <row r="15" spans="1:17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 t="shared" si="1"/>
        <v>0.86799999999999999</v>
      </c>
      <c r="I15" s="55">
        <f t="shared" si="2"/>
        <v>6.5140000000000003E-2</v>
      </c>
    </row>
    <row r="16" spans="1:17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</row>
    <row r="17" spans="1:17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 t="shared" si="1"/>
        <v>0.86799999999999999</v>
      </c>
      <c r="I17" s="55">
        <f t="shared" si="2"/>
        <v>6.5140000000000003E-2</v>
      </c>
    </row>
    <row r="18" spans="1:17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 t="shared" si="1"/>
        <v>0.86799999999999999</v>
      </c>
      <c r="I18" s="55">
        <f t="shared" si="2"/>
        <v>6.5140000000000003E-2</v>
      </c>
    </row>
    <row r="19" spans="1:17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 t="shared" si="1"/>
        <v>0.86799999999999999</v>
      </c>
      <c r="I19" s="55">
        <f t="shared" si="2"/>
        <v>6.5140000000000003E-2</v>
      </c>
    </row>
    <row r="20" spans="1:17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 t="shared" si="1"/>
        <v>0.86799999999999999</v>
      </c>
      <c r="I20" s="55">
        <f t="shared" si="2"/>
        <v>6.5140000000000003E-2</v>
      </c>
    </row>
    <row r="21" spans="1:17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 t="shared" si="1"/>
        <v>0.86799999999999999</v>
      </c>
      <c r="I21" s="55">
        <f t="shared" si="2"/>
        <v>6.5140000000000003E-2</v>
      </c>
    </row>
    <row r="22" spans="1:17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</row>
    <row r="23" spans="1:17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IF(P39&gt;5,0.93,"")</f>
        <v>0.93</v>
      </c>
      <c r="I23" s="55">
        <f t="shared" si="2"/>
        <v>6.5140000000000003E-2</v>
      </c>
    </row>
    <row r="24" spans="1:17" ht="11.25" customHeight="1" x14ac:dyDescent="0.2">
      <c r="A24" s="42" t="s">
        <v>345</v>
      </c>
    </row>
    <row r="25" spans="1:17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IF(P25&gt;5,ProcDataRetirement!T9,"")</f>
        <v/>
      </c>
      <c r="K25" s="47" t="str">
        <f>IF(P25&gt;5,FGD!$D$32,"")</f>
        <v/>
      </c>
      <c r="L25" s="90" t="str">
        <f>IF(P25&gt;5,FGD!$D$33,"")</f>
        <v/>
      </c>
      <c r="M25" s="46" t="str">
        <f>IF(P25&gt;5,FGD!$D$34,"")</f>
        <v/>
      </c>
      <c r="N25" s="39">
        <v>-2</v>
      </c>
      <c r="O25" s="39" t="str">
        <f>IF(P25&gt;5,P25,"")</f>
        <v/>
      </c>
      <c r="P25" s="39">
        <f>COUNTIF(ProcDataRetirement!S9:AC9,"&gt;0")+5*IF(ProcDataRetirement!AD9&gt;1,1,0)+5*IF(ProcDataRetirement!AE9&gt;1,1,0)</f>
        <v>0</v>
      </c>
      <c r="Q25" s="39">
        <v>31.536000000000001</v>
      </c>
    </row>
    <row r="26" spans="1:17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IF(P26&gt;5,ProcDataRetirement!T10,"")</f>
        <v/>
      </c>
      <c r="K26" s="47" t="str">
        <f>IF(P26&gt;5,FGD!$D$32,"")</f>
        <v/>
      </c>
      <c r="L26" s="90" t="str">
        <f>IF(P26&gt;5,FGD!$D$33,"")</f>
        <v/>
      </c>
      <c r="M26" s="46" t="str">
        <f>IF(P26&gt;5,FGD!$D$34,"")</f>
        <v/>
      </c>
      <c r="N26" s="39">
        <v>-2</v>
      </c>
      <c r="O26" s="39" t="str">
        <f t="shared" ref="O26:O39" si="3">IF(P26&gt;5,P26,"")</f>
        <v/>
      </c>
      <c r="P26" s="39">
        <f>COUNTIF(ProcDataRetirement!S10:AC10,"&gt;0")+5*IF(ProcDataRetirement!AD10&gt;1,1,0)+5*IF(ProcDataRetirement!AE10&gt;1,1,0)</f>
        <v>0</v>
      </c>
      <c r="Q26" s="39">
        <v>31.536000000000001</v>
      </c>
    </row>
    <row r="27" spans="1:17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IF(P27&gt;5,ProcDataRetirement!T11,"")</f>
        <v/>
      </c>
      <c r="K27" s="47" t="str">
        <f>IF(P27&gt;5,FGD!$D$32,"")</f>
        <v/>
      </c>
      <c r="L27" s="90" t="str">
        <f>IF(P27&gt;5,FGD!$D$33,"")</f>
        <v/>
      </c>
      <c r="M27" s="46" t="str">
        <f>IF(P27&gt;5,FGD!$D$34,"")</f>
        <v/>
      </c>
      <c r="N27" s="39">
        <v>-2</v>
      </c>
      <c r="O27" s="39" t="str">
        <f t="shared" si="3"/>
        <v/>
      </c>
      <c r="P27" s="39">
        <f>COUNTIF(ProcDataRetirement!S11:AC11,"&gt;0")+5*IF(ProcDataRetirement!AD11&gt;1,1,0)+5*IF(ProcDataRetirement!AE11&gt;1,1,0)</f>
        <v>0</v>
      </c>
      <c r="Q27" s="39">
        <v>31.536000000000001</v>
      </c>
    </row>
    <row r="28" spans="1:17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IF(P28&gt;5,ProcDataRetirement!T12,"")</f>
        <v/>
      </c>
      <c r="K28" s="47" t="str">
        <f>IF(P28&gt;5,FGD!$D$32,"")</f>
        <v/>
      </c>
      <c r="L28" s="90" t="str">
        <f>IF(P28&gt;5,FGD!$D$33,"")</f>
        <v/>
      </c>
      <c r="M28" s="46" t="str">
        <f>IF(P28&gt;5,FGD!$D$34,"")</f>
        <v/>
      </c>
      <c r="N28" s="39">
        <v>-2</v>
      </c>
      <c r="O28" s="39" t="str">
        <f t="shared" si="3"/>
        <v/>
      </c>
      <c r="P28" s="39">
        <f>COUNTIF(ProcDataRetirement!S12:AC12,"&gt;0")+5*IF(ProcDataRetirement!AD12&gt;1,1,0)+5*IF(ProcDataRetirement!AE12&gt;1,1,0)</f>
        <v>0</v>
      </c>
      <c r="Q28" s="39">
        <v>31.536000000000001</v>
      </c>
    </row>
    <row r="29" spans="1:17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J29" s="39">
        <f>IF(P29&gt;5,ProcDataRetirement!T13,"")</f>
        <v>0</v>
      </c>
      <c r="K29" s="47">
        <f>IF(P29&gt;5,FGD!$D$32,"")</f>
        <v>3.6826838586802784</v>
      </c>
      <c r="L29" s="90">
        <f>IF(P29&gt;5,FGD!$D$33,"")</f>
        <v>239.07259148153946</v>
      </c>
      <c r="M29" s="46">
        <f>IF(P29&gt;5,FGD!$D$34,"")</f>
        <v>7138.4504880542208</v>
      </c>
      <c r="N29" s="39">
        <v>-2</v>
      </c>
      <c r="O29" s="39">
        <f t="shared" si="3"/>
        <v>6</v>
      </c>
      <c r="P29" s="112">
        <v>6</v>
      </c>
      <c r="Q29" s="39">
        <v>31.536000000000001</v>
      </c>
    </row>
    <row r="30" spans="1:17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IF(P30&gt;5,ProcDataRetirement!T14,"")</f>
        <v/>
      </c>
      <c r="K30" s="47" t="str">
        <f>IF(P30&gt;5,FGD!$D$32,"")</f>
        <v/>
      </c>
      <c r="L30" s="90" t="str">
        <f>IF(P30&gt;5,FGD!$D$33,"")</f>
        <v/>
      </c>
      <c r="M30" s="46" t="str">
        <f>IF(P30&gt;5,FGD!$D$34,"")</f>
        <v/>
      </c>
      <c r="N30" s="39">
        <v>-2</v>
      </c>
      <c r="O30" s="39" t="str">
        <f t="shared" si="3"/>
        <v/>
      </c>
      <c r="P30" s="39">
        <f>COUNTIF(ProcDataRetirement!S14:AC14,"&gt;0")+5*IF(ProcDataRetirement!AD14&gt;1,1,0)+5*IF(ProcDataRetirement!AE14&gt;1,1,0)</f>
        <v>0</v>
      </c>
      <c r="Q30" s="39">
        <v>31.536000000000001</v>
      </c>
    </row>
    <row r="31" spans="1:17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J31" s="39">
        <f>IF(P31&gt;5,ProcDataRetirement!T15,"")</f>
        <v>3.84</v>
      </c>
      <c r="K31" s="47">
        <f>IF(P31&gt;5,FGD!$D$32,"")</f>
        <v>3.6826838586802784</v>
      </c>
      <c r="L31" s="90">
        <f>IF(P31&gt;5,FGD!$D$33,"")</f>
        <v>239.07259148153946</v>
      </c>
      <c r="M31" s="46">
        <f>IF(P31&gt;5,FGD!$D$34,"")</f>
        <v>7138.4504880542208</v>
      </c>
      <c r="N31" s="39">
        <v>-2</v>
      </c>
      <c r="O31" s="39">
        <f t="shared" si="3"/>
        <v>11</v>
      </c>
      <c r="P31" s="39">
        <f>COUNTIF(ProcDataRetirement!S15:AC15,"&gt;0")+5*IF(ProcDataRetirement!AD15&gt;1,1,0)+5*IF(ProcDataRetirement!AE15&gt;1,1,0)</f>
        <v>11</v>
      </c>
      <c r="Q31" s="39">
        <v>31.536000000000001</v>
      </c>
    </row>
    <row r="32" spans="1:17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J32" s="39" t="str">
        <f>IF(P32&gt;5,ProcDataRetirement!T16,"")</f>
        <v/>
      </c>
      <c r="K32" s="47" t="str">
        <f>IF(P32&gt;5,FGD!$D$32,"")</f>
        <v/>
      </c>
      <c r="L32" s="90" t="str">
        <f>IF(P32&gt;5,FGD!$D$33,"")</f>
        <v/>
      </c>
      <c r="M32" s="46" t="str">
        <f>IF(P32&gt;5,FGD!$D$34,"")</f>
        <v/>
      </c>
      <c r="N32" s="39">
        <v>-2</v>
      </c>
      <c r="O32" s="39" t="str">
        <f t="shared" si="3"/>
        <v/>
      </c>
      <c r="P32" s="39">
        <f>COUNTIF(ProcDataRetirement!S16:AC16,"&gt;0")+5*IF(ProcDataRetirement!AD16&gt;1,1,0)+5*IF(ProcDataRetirement!AE16&gt;1,1,0)</f>
        <v>0</v>
      </c>
      <c r="Q32" s="39">
        <v>31.536000000000001</v>
      </c>
    </row>
    <row r="33" spans="2:17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J33" s="39">
        <f>IF(P33&gt;5,ProcDataRetirement!T17,"")</f>
        <v>3.5579999999999998</v>
      </c>
      <c r="K33" s="47">
        <f>IF(P33&gt;5,FGD!$D$32,"")</f>
        <v>3.6826838586802784</v>
      </c>
      <c r="L33" s="90">
        <f>IF(P33&gt;5,FGD!$D$33,"")</f>
        <v>239.07259148153946</v>
      </c>
      <c r="M33" s="46">
        <f>IF(P33&gt;5,FGD!$D$34,"")</f>
        <v>7138.4504880542208</v>
      </c>
      <c r="N33" s="39">
        <v>-2</v>
      </c>
      <c r="O33" s="39">
        <f t="shared" si="3"/>
        <v>11</v>
      </c>
      <c r="P33" s="39">
        <f>COUNTIF(ProcDataRetirement!S17:AC17,"&gt;0")+5*IF(ProcDataRetirement!AD17&gt;1,1,0)+5*IF(ProcDataRetirement!AE17&gt;1,1,0)</f>
        <v>11</v>
      </c>
      <c r="Q33" s="39">
        <v>31.536000000000001</v>
      </c>
    </row>
    <row r="34" spans="2:17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J34" s="39">
        <f>IF(P34&gt;5,ProcDataRetirement!T18,"")</f>
        <v>1.8330000000000002</v>
      </c>
      <c r="K34" s="47">
        <f>IF(P34&gt;5,FGD!$D$32,"")</f>
        <v>3.6826838586802784</v>
      </c>
      <c r="L34" s="90">
        <f>IF(P34&gt;5,FGD!$D$33,"")</f>
        <v>239.07259148153946</v>
      </c>
      <c r="M34" s="46">
        <f>IF(P34&gt;5,FGD!$D$34,"")</f>
        <v>7138.4504880542208</v>
      </c>
      <c r="N34" s="39">
        <v>-2</v>
      </c>
      <c r="O34" s="39">
        <f t="shared" si="3"/>
        <v>16</v>
      </c>
      <c r="P34" s="39">
        <f>COUNTIF(ProcDataRetirement!S18:AC18,"&gt;0")+5*IF(ProcDataRetirement!AD18&gt;1,1,0)+5*IF(ProcDataRetirement!AE18&gt;1,1,0)</f>
        <v>16</v>
      </c>
      <c r="Q34" s="39">
        <v>31.536000000000001</v>
      </c>
    </row>
    <row r="35" spans="2:17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J35" s="39">
        <f>IF(P35&gt;5,ProcDataRetirement!T19,"")</f>
        <v>2.0099999999999998</v>
      </c>
      <c r="K35" s="47">
        <f>IF(P35&gt;5,FGD!$D$32,"")</f>
        <v>3.6826838586802784</v>
      </c>
      <c r="L35" s="90">
        <f>IF(P35&gt;5,FGD!$D$33,"")</f>
        <v>239.07259148153946</v>
      </c>
      <c r="M35" s="46">
        <f>IF(P35&gt;5,FGD!$D$34,"")</f>
        <v>7138.4504880542208</v>
      </c>
      <c r="N35" s="39">
        <v>-2</v>
      </c>
      <c r="O35" s="39">
        <f t="shared" si="3"/>
        <v>16</v>
      </c>
      <c r="P35" s="39">
        <f>COUNTIF(ProcDataRetirement!S19:AC19,"&gt;0")+5*IF(ProcDataRetirement!AD19&gt;1,1,0)+5*IF(ProcDataRetirement!AE19&gt;1,1,0)</f>
        <v>16</v>
      </c>
      <c r="Q35" s="39">
        <v>31.536000000000001</v>
      </c>
    </row>
    <row r="36" spans="2:17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J36" s="39">
        <f>IF(P36&gt;5,ProcDataRetirement!T20,"")</f>
        <v>3.69</v>
      </c>
      <c r="K36" s="47">
        <f>IF(P36&gt;5,FGD!$D$32,"")</f>
        <v>3.6826838586802784</v>
      </c>
      <c r="L36" s="90">
        <f>IF(P36&gt;5,FGD!$D$33,"")</f>
        <v>239.07259148153946</v>
      </c>
      <c r="M36" s="46">
        <f>IF(P36&gt;5,FGD!$D$34,"")</f>
        <v>7138.4504880542208</v>
      </c>
      <c r="N36" s="39">
        <v>-2</v>
      </c>
      <c r="O36" s="39">
        <f t="shared" si="3"/>
        <v>11</v>
      </c>
      <c r="P36" s="39">
        <f>COUNTIF(ProcDataRetirement!S20:AC20,"&gt;0")+5*IF(ProcDataRetirement!AD20&gt;1,1,0)+5*IF(ProcDataRetirement!AE20&gt;1,1,0)</f>
        <v>11</v>
      </c>
      <c r="Q36" s="39">
        <v>31.536000000000001</v>
      </c>
    </row>
    <row r="37" spans="2:17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J37" s="39">
        <f>IF(P37&gt;5,ProcDataRetirement!T21,"")</f>
        <v>0</v>
      </c>
      <c r="K37" s="47">
        <f>IF(P37&gt;5,FGD!$D$32,"")</f>
        <v>3.6826838586802784</v>
      </c>
      <c r="L37" s="90">
        <f>IF(P37&gt;5,FGD!$D$33,"")</f>
        <v>239.07259148153946</v>
      </c>
      <c r="M37" s="46">
        <f>IF(P37&gt;5,FGD!$D$34,"")</f>
        <v>7138.4504880542208</v>
      </c>
      <c r="N37" s="39">
        <v>-2</v>
      </c>
      <c r="O37" s="39">
        <f t="shared" si="3"/>
        <v>6</v>
      </c>
      <c r="P37" s="112">
        <v>6</v>
      </c>
      <c r="Q37" s="39">
        <v>31.536000000000001</v>
      </c>
    </row>
    <row r="38" spans="2:17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J38" s="39" t="str">
        <f>IF(P38&gt;5,ProcDataRetirement!T22,"")</f>
        <v/>
      </c>
      <c r="K38" s="47" t="str">
        <f>IF(P38&gt;5,FGD!$D$32,"")</f>
        <v/>
      </c>
      <c r="L38" s="90" t="str">
        <f>IF(P38&gt;5,FGD!$D$33,"")</f>
        <v/>
      </c>
      <c r="M38" s="46" t="str">
        <f>IF(P38&gt;5,FGD!$D$34,"")</f>
        <v/>
      </c>
      <c r="N38" s="39">
        <v>-2</v>
      </c>
      <c r="O38" s="39" t="str">
        <f t="shared" si="3"/>
        <v/>
      </c>
      <c r="P38" s="39">
        <f>COUNTIF(ProcDataRetirement!S22:AC22,"&gt;0")+5*IF(ProcDataRetirement!AD22&gt;1,1,0)+5*IF(ProcDataRetirement!AE22&gt;1,1,0)</f>
        <v>1</v>
      </c>
      <c r="Q38" s="39">
        <v>31.536000000000001</v>
      </c>
    </row>
    <row r="39" spans="2:17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J39" s="39">
        <v>4.33</v>
      </c>
      <c r="K39" s="47">
        <f>IF(P39&gt;5,FGD!$D$32,"")</f>
        <v>3.6826838586802784</v>
      </c>
      <c r="L39" s="90">
        <f>IF(P39&gt;5,FGD!$D$33,"")</f>
        <v>239.07259148153946</v>
      </c>
      <c r="M39" s="46">
        <f>IF(P39&gt;5,FGD!$D$34,"")</f>
        <v>7138.4504880542208</v>
      </c>
      <c r="N39" s="39">
        <v>-2</v>
      </c>
      <c r="O39" s="39">
        <f t="shared" si="3"/>
        <v>30</v>
      </c>
      <c r="P39" s="39">
        <v>30</v>
      </c>
      <c r="Q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/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 t="str">
        <f ca="1">IF(INDEX([6]Index!$C$18:$C$48,MATCH(A2,[6]Index!B18:B48,0)),"ProcData","")</f>
        <v>ProcData</v>
      </c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371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302</v>
      </c>
      <c r="J5" s="39" t="s">
        <v>304</v>
      </c>
      <c r="K5" s="39" t="s">
        <v>307</v>
      </c>
      <c r="L5" s="39" t="s">
        <v>301</v>
      </c>
      <c r="M5" s="39" t="s">
        <v>303</v>
      </c>
      <c r="N5" s="39" t="s">
        <v>305</v>
      </c>
      <c r="O5" s="39" t="s">
        <v>306</v>
      </c>
      <c r="P5" s="39" t="s">
        <v>308</v>
      </c>
      <c r="Q5" s="39" t="s">
        <v>309</v>
      </c>
      <c r="R5" s="39" t="s">
        <v>346</v>
      </c>
      <c r="S5" s="39" t="s">
        <v>347</v>
      </c>
      <c r="T5" s="39" t="s">
        <v>310</v>
      </c>
      <c r="U5" s="39" t="s">
        <v>311</v>
      </c>
      <c r="V5" s="39" t="s">
        <v>312</v>
      </c>
      <c r="W5" s="39" t="s">
        <v>313</v>
      </c>
      <c r="X5" s="39" t="s">
        <v>302</v>
      </c>
      <c r="Y5" s="39" t="s">
        <v>304</v>
      </c>
      <c r="Z5" s="39" t="s">
        <v>307</v>
      </c>
      <c r="AA5" s="39" t="s">
        <v>301</v>
      </c>
      <c r="AB5" s="39" t="s">
        <v>303</v>
      </c>
      <c r="AC5" s="39" t="s">
        <v>305</v>
      </c>
      <c r="AD5" s="39" t="s">
        <v>306</v>
      </c>
      <c r="AE5" s="39" t="s">
        <v>308</v>
      </c>
      <c r="AF5" s="39" t="s">
        <v>309</v>
      </c>
      <c r="AG5" s="39" t="s">
        <v>346</v>
      </c>
      <c r="AH5" s="39" t="s">
        <v>347</v>
      </c>
      <c r="AI5" s="39" t="s">
        <v>310</v>
      </c>
      <c r="AJ5" s="39" t="s">
        <v>311</v>
      </c>
      <c r="AK5" s="39" t="s">
        <v>312</v>
      </c>
      <c r="AL5" s="39" t="s">
        <v>313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>
        <f>ProcDataFGD!I13</f>
        <v>6.5140000000000003E-2</v>
      </c>
      <c r="I13" s="90"/>
      <c r="J13" s="90"/>
      <c r="M13" s="39">
        <v>0</v>
      </c>
      <c r="X13" s="90"/>
      <c r="Y13" s="90"/>
      <c r="AB13" s="90">
        <f>IF($H13="","",1)</f>
        <v>1</v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>
        <f>ProcDataFGD!I15</f>
        <v>6.5140000000000003E-2</v>
      </c>
      <c r="I15" s="90"/>
      <c r="J15" s="90"/>
      <c r="O15" s="39">
        <v>0</v>
      </c>
      <c r="X15" s="90"/>
      <c r="Y15" s="90"/>
      <c r="AD15" s="90">
        <f>IF($H15="","",1)</f>
        <v>1</v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>
        <f>ProcDataFGD!I17</f>
        <v>6.5140000000000003E-2</v>
      </c>
      <c r="I17" s="90"/>
      <c r="J17" s="90"/>
      <c r="Q17" s="39">
        <v>0</v>
      </c>
      <c r="X17" s="90"/>
      <c r="Y17" s="90"/>
      <c r="AF17" s="90">
        <f>IF($H17="","",1)</f>
        <v>1</v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>
        <f>ProcDataFGD!I18</f>
        <v>6.5140000000000003E-2</v>
      </c>
      <c r="I18" s="90"/>
      <c r="J18" s="90"/>
      <c r="R18" s="39">
        <v>0</v>
      </c>
      <c r="X18" s="90"/>
      <c r="Y18" s="90"/>
      <c r="AG18" s="90">
        <f>IF($H18="","",1)</f>
        <v>1</v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>
        <f>ProcDataFGD!I19</f>
        <v>6.5140000000000003E-2</v>
      </c>
      <c r="I19" s="90"/>
      <c r="J19" s="90"/>
      <c r="S19" s="39">
        <v>0</v>
      </c>
      <c r="X19" s="90"/>
      <c r="Y19" s="90"/>
      <c r="AH19" s="90">
        <f>IF($H19="","",1)</f>
        <v>1</v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>
        <f>ProcDataFGD!I20</f>
        <v>6.5140000000000003E-2</v>
      </c>
      <c r="I20" s="90"/>
      <c r="J20" s="90"/>
      <c r="T20" s="39">
        <v>0</v>
      </c>
      <c r="X20" s="90"/>
      <c r="Y20" s="90"/>
      <c r="AI20" s="90">
        <f>IF($H20="","",1)</f>
        <v>1</v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>
        <f>ProcDataFGD!I21</f>
        <v>6.5140000000000003E-2</v>
      </c>
      <c r="I21" s="90"/>
      <c r="J21" s="90"/>
      <c r="U21" s="39">
        <v>0</v>
      </c>
      <c r="X21" s="90"/>
      <c r="Y21" s="90"/>
      <c r="AJ21" s="90">
        <f>IF($H21="","",1)</f>
        <v>1</v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/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 t="s">
        <v>300</v>
      </c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tabSelected="1" workbookViewId="0">
      <selection sqref="A1:XFD1048576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373</v>
      </c>
      <c r="J2" s="85" t="s">
        <v>374</v>
      </c>
      <c r="L2" s="113">
        <v>44958</v>
      </c>
      <c r="P2" s="1" t="s">
        <v>375</v>
      </c>
      <c r="Q2" s="1"/>
    </row>
    <row r="3" spans="2:20" x14ac:dyDescent="0.2">
      <c r="B3" s="85" t="s">
        <v>350</v>
      </c>
      <c r="C3" s="85" t="s">
        <v>244</v>
      </c>
      <c r="D3" s="114">
        <v>65.900000000000006</v>
      </c>
      <c r="H3" s="115" t="s">
        <v>376</v>
      </c>
      <c r="P3" t="s">
        <v>377</v>
      </c>
    </row>
    <row r="4" spans="2:20" x14ac:dyDescent="0.2">
      <c r="B4" s="85" t="s">
        <v>351</v>
      </c>
      <c r="C4" s="85" t="s">
        <v>244</v>
      </c>
      <c r="D4" s="114">
        <v>90.3</v>
      </c>
      <c r="P4" s="115" t="s">
        <v>378</v>
      </c>
      <c r="Q4" s="115"/>
    </row>
    <row r="5" spans="2:20" x14ac:dyDescent="0.2">
      <c r="B5" s="85" t="s">
        <v>354</v>
      </c>
      <c r="C5" s="85" t="s">
        <v>244</v>
      </c>
      <c r="D5">
        <f>D4-D3</f>
        <v>24.399999999999991</v>
      </c>
      <c r="H5" s="85" t="s">
        <v>379</v>
      </c>
      <c r="J5" s="116">
        <v>300</v>
      </c>
    </row>
    <row r="6" spans="2:20" x14ac:dyDescent="0.2">
      <c r="B6" s="85" t="s">
        <v>352</v>
      </c>
      <c r="C6" s="85" t="s">
        <v>358</v>
      </c>
      <c r="D6" s="114">
        <v>789</v>
      </c>
      <c r="H6" s="85" t="s">
        <v>380</v>
      </c>
      <c r="J6">
        <f>2.875+3.558+3.45+3.69+4.32+3.51+3.84+0.8+3.843</f>
        <v>29.885999999999999</v>
      </c>
    </row>
    <row r="7" spans="2:20" x14ac:dyDescent="0.2">
      <c r="B7" s="85" t="s">
        <v>353</v>
      </c>
      <c r="C7" s="85" t="s">
        <v>358</v>
      </c>
      <c r="D7" s="114">
        <v>1229</v>
      </c>
      <c r="H7" s="85" t="s">
        <v>381</v>
      </c>
      <c r="P7" s="85" t="s">
        <v>382</v>
      </c>
      <c r="Q7" s="85"/>
    </row>
    <row r="8" spans="2:20" x14ac:dyDescent="0.2">
      <c r="B8" s="85" t="s">
        <v>354</v>
      </c>
      <c r="C8" s="85" t="s">
        <v>358</v>
      </c>
      <c r="D8">
        <f>D7-D6</f>
        <v>440</v>
      </c>
      <c r="H8" s="85" t="s">
        <v>383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384</v>
      </c>
      <c r="I9" s="85" t="s">
        <v>241</v>
      </c>
      <c r="J9" s="117">
        <f>J8*74.1/104.2</f>
        <v>7138.4504880542208</v>
      </c>
      <c r="K9" s="85" t="s">
        <v>385</v>
      </c>
      <c r="R9" s="85" t="s">
        <v>386</v>
      </c>
      <c r="S9" s="85" t="s">
        <v>387</v>
      </c>
      <c r="T9" s="85" t="s">
        <v>388</v>
      </c>
    </row>
    <row r="10" spans="2:20" x14ac:dyDescent="0.2">
      <c r="B10" s="85" t="s">
        <v>355</v>
      </c>
      <c r="K10" t="s">
        <v>230</v>
      </c>
      <c r="R10" s="85" t="s">
        <v>389</v>
      </c>
      <c r="S10" s="85" t="s">
        <v>390</v>
      </c>
      <c r="T10" s="85" t="s">
        <v>391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392</v>
      </c>
      <c r="Q11" s="85" t="s">
        <v>393</v>
      </c>
      <c r="R11" s="118">
        <f>17677732*1000</f>
        <v>17677732000</v>
      </c>
      <c r="S11" s="118">
        <f>18122432*1000</f>
        <v>18122432000</v>
      </c>
      <c r="T11" s="118">
        <f>19277632*1000</f>
        <v>19277632000</v>
      </c>
    </row>
    <row r="12" spans="2:20" x14ac:dyDescent="0.2">
      <c r="B12" s="85" t="s">
        <v>356</v>
      </c>
      <c r="D12" s="91">
        <v>0.8</v>
      </c>
      <c r="F12" s="85" t="s">
        <v>372</v>
      </c>
      <c r="P12" s="85" t="s">
        <v>394</v>
      </c>
      <c r="Q12" s="85" t="s">
        <v>395</v>
      </c>
      <c r="R12" s="118">
        <v>1213335037</v>
      </c>
      <c r="S12" s="118">
        <v>1170979109</v>
      </c>
      <c r="T12" s="118">
        <v>1887352330</v>
      </c>
    </row>
    <row r="13" spans="2:20" x14ac:dyDescent="0.2">
      <c r="B13" s="85" t="s">
        <v>359</v>
      </c>
      <c r="C13" s="85" t="s">
        <v>123</v>
      </c>
      <c r="D13" s="92">
        <f>D12*D11*8.76</f>
        <v>30.344640000000002</v>
      </c>
      <c r="P13" s="85" t="s">
        <v>396</v>
      </c>
      <c r="Q13" s="85" t="s">
        <v>395</v>
      </c>
      <c r="R13" s="118">
        <f>R12*$D$14/$D$17</f>
        <v>873766956.4016217</v>
      </c>
      <c r="S13" s="118">
        <f t="shared" ref="S13:T13" si="0">S12*$D$14/$D$17</f>
        <v>843264902.83393407</v>
      </c>
      <c r="T13" s="118">
        <f t="shared" si="0"/>
        <v>1359151471.5663891</v>
      </c>
    </row>
    <row r="14" spans="2:20" x14ac:dyDescent="0.2">
      <c r="B14" s="85" t="s">
        <v>361</v>
      </c>
      <c r="C14" s="85" t="s">
        <v>360</v>
      </c>
      <c r="D14">
        <f>D11*D8/1000</f>
        <v>1.9052</v>
      </c>
      <c r="F14">
        <v>320.8965</v>
      </c>
      <c r="P14" s="85" t="s">
        <v>397</v>
      </c>
      <c r="Q14" s="85" t="s">
        <v>395</v>
      </c>
      <c r="R14" s="118">
        <f>R12*$D$15/$D$17</f>
        <v>339568080.59837848</v>
      </c>
      <c r="S14" s="118">
        <f t="shared" ref="S14:T14" si="1">S12*$D$15/$D$17</f>
        <v>327714206.16606605</v>
      </c>
      <c r="T14" s="118">
        <f t="shared" si="1"/>
        <v>528200858.43361121</v>
      </c>
    </row>
    <row r="15" spans="2:20" x14ac:dyDescent="0.2">
      <c r="B15" s="85" t="s">
        <v>362</v>
      </c>
      <c r="C15" s="85" t="s">
        <v>360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1078.3457292297217</v>
      </c>
    </row>
    <row r="17" spans="2:20" x14ac:dyDescent="0.2">
      <c r="B17" s="85" t="s">
        <v>357</v>
      </c>
      <c r="C17" s="85" t="s">
        <v>360</v>
      </c>
      <c r="D17">
        <f>SUM(D14:D15)</f>
        <v>2.6456092159999995</v>
      </c>
      <c r="F17" s="119">
        <f>+D17/2*1000</f>
        <v>1322.8046079999997</v>
      </c>
    </row>
    <row r="19" spans="2:20" x14ac:dyDescent="0.2">
      <c r="B19" s="85" t="s">
        <v>363</v>
      </c>
      <c r="C19" s="85" t="s">
        <v>360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364</v>
      </c>
      <c r="C22" s="85" t="s">
        <v>367</v>
      </c>
      <c r="P22" s="85" t="s">
        <v>364</v>
      </c>
      <c r="Q22" s="85" t="s">
        <v>367</v>
      </c>
    </row>
    <row r="23" spans="2:20" x14ac:dyDescent="0.2">
      <c r="B23" s="85" t="s">
        <v>365</v>
      </c>
      <c r="C23" s="85" t="s">
        <v>244</v>
      </c>
      <c r="D23">
        <f>D5/2</f>
        <v>12.199999999999996</v>
      </c>
      <c r="P23" s="85" t="s">
        <v>365</v>
      </c>
      <c r="Q23" s="85" t="s">
        <v>244</v>
      </c>
      <c r="R23" s="120">
        <f>R14/$D$13/1000000</f>
        <v>11.190380923892274</v>
      </c>
      <c r="S23" s="120">
        <f t="shared" ref="S23:T23" si="2">S14/$D$13/1000000</f>
        <v>10.79973946522569</v>
      </c>
      <c r="T23" s="120">
        <f t="shared" si="2"/>
        <v>17.406726803600609</v>
      </c>
    </row>
    <row r="24" spans="2:20" x14ac:dyDescent="0.2">
      <c r="B24" s="85" t="s">
        <v>366</v>
      </c>
      <c r="C24" s="85" t="s">
        <v>241</v>
      </c>
      <c r="D24">
        <f>D8/2</f>
        <v>220</v>
      </c>
      <c r="P24" s="85" t="s">
        <v>366</v>
      </c>
      <c r="Q24" s="85" t="s">
        <v>358</v>
      </c>
      <c r="R24" s="121">
        <f>R13/$D$11/1000000</f>
        <v>201.79375436527059</v>
      </c>
      <c r="S24" s="121">
        <f t="shared" ref="S24:T24" si="3">S13/$D$11/1000000</f>
        <v>194.74940019259446</v>
      </c>
      <c r="T24" s="121">
        <f t="shared" si="3"/>
        <v>313.8917948190275</v>
      </c>
    </row>
    <row r="26" spans="2:20" x14ac:dyDescent="0.2">
      <c r="B26" s="85" t="s">
        <v>248</v>
      </c>
      <c r="C26" s="85" t="s">
        <v>368</v>
      </c>
      <c r="H26" t="s">
        <v>364</v>
      </c>
      <c r="I26" t="s">
        <v>370</v>
      </c>
      <c r="J26" s="85" t="s">
        <v>398</v>
      </c>
      <c r="K26" s="85" t="s">
        <v>399</v>
      </c>
      <c r="P26" s="85" t="s">
        <v>248</v>
      </c>
      <c r="Q26" s="85" t="s">
        <v>367</v>
      </c>
    </row>
    <row r="27" spans="2:20" x14ac:dyDescent="0.2">
      <c r="B27" s="85" t="s">
        <v>357</v>
      </c>
      <c r="C27" s="85" t="s">
        <v>360</v>
      </c>
      <c r="D27" s="114">
        <v>32</v>
      </c>
      <c r="H27" t="s">
        <v>365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369</v>
      </c>
      <c r="C28" s="85" t="s">
        <v>241</v>
      </c>
      <c r="D28">
        <f>D27/D11*1000</f>
        <v>7390.300230946882</v>
      </c>
      <c r="H28" t="s">
        <v>366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369</v>
      </c>
      <c r="Q28" s="85" t="s">
        <v>241</v>
      </c>
      <c r="R28" s="121">
        <f>R11/$D$11/1000000</f>
        <v>4082.6170900692841</v>
      </c>
      <c r="S28" s="121">
        <f>S11/$D$11/1000000</f>
        <v>4185.3191685912234</v>
      </c>
      <c r="T28" s="121">
        <f>T11/$D$11/1000000</f>
        <v>4452.1090069284064</v>
      </c>
    </row>
    <row r="29" spans="2:20" x14ac:dyDescent="0.2">
      <c r="B29" s="85"/>
      <c r="C29" s="85"/>
      <c r="E29" s="85"/>
      <c r="H29" t="s">
        <v>369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364</v>
      </c>
      <c r="C31" s="85" t="s">
        <v>370</v>
      </c>
      <c r="D31" s="50" t="s">
        <v>399</v>
      </c>
      <c r="P31" s="85" t="s">
        <v>364</v>
      </c>
      <c r="Q31" s="85" t="s">
        <v>370</v>
      </c>
    </row>
    <row r="32" spans="2:20" x14ac:dyDescent="0.2">
      <c r="B32" s="85" t="s">
        <v>365</v>
      </c>
      <c r="C32" s="85" t="s">
        <v>120</v>
      </c>
      <c r="D32" s="119">
        <f>INDEX($J27:$K27,1,MATCH($D$31,$J$26:$K$26,0))</f>
        <v>3.6826838586802784</v>
      </c>
      <c r="P32" s="85" t="s">
        <v>365</v>
      </c>
      <c r="Q32" s="85" t="s">
        <v>120</v>
      </c>
      <c r="R32" s="122">
        <f>R23/3.6*[7]Deflator!$W$4</f>
        <v>2.7766945680559085</v>
      </c>
      <c r="S32" s="122">
        <f>S23/3.6*[7]Deflator!$W$4</f>
        <v>2.6797638180024363</v>
      </c>
      <c r="T32" s="122">
        <f>T23/3.6*[7]Deflator!$W$4</f>
        <v>4.3191705529877176</v>
      </c>
    </row>
    <row r="33" spans="2:20" x14ac:dyDescent="0.2">
      <c r="B33" s="85" t="s">
        <v>366</v>
      </c>
      <c r="C33" s="85" t="s">
        <v>241</v>
      </c>
      <c r="D33" s="119">
        <f t="shared" ref="D33:D34" si="5">INDEX($J28:$K28,1,MATCH($D$31,$J$26:$K$26,0))</f>
        <v>239.07259148153946</v>
      </c>
      <c r="P33" s="85" t="s">
        <v>366</v>
      </c>
      <c r="Q33" s="85" t="s">
        <v>241</v>
      </c>
      <c r="R33" s="122">
        <f>R24*[7]Deflator!$W$4</f>
        <v>180.25754900821968</v>
      </c>
      <c r="S33" s="122">
        <f>S24*[7]Deflator!$W$4</f>
        <v>173.96499539819101</v>
      </c>
      <c r="T33" s="122">
        <f>T24*[7]Deflator!$W$4</f>
        <v>280.39205557100598</v>
      </c>
    </row>
    <row r="34" spans="2:20" x14ac:dyDescent="0.2">
      <c r="B34" s="85" t="s">
        <v>369</v>
      </c>
      <c r="C34" s="85" t="s">
        <v>241</v>
      </c>
      <c r="D34" s="119">
        <f t="shared" si="5"/>
        <v>7138.4504880542208</v>
      </c>
      <c r="P34" s="85" t="s">
        <v>369</v>
      </c>
      <c r="Q34" s="85" t="s">
        <v>241</v>
      </c>
      <c r="R34" s="122">
        <f>R28*[7]Deflator!$W$4</f>
        <v>3646.9044966716474</v>
      </c>
      <c r="S34" s="122">
        <f>S28*[7]Deflator!$W$4</f>
        <v>3738.6458144871835</v>
      </c>
      <c r="T34" s="122">
        <f>T28*[7]Deflator!$W$4</f>
        <v>3976.9628154777574</v>
      </c>
    </row>
  </sheetData>
  <dataValidations count="1">
    <dataValidation type="list" allowBlank="1" showInputMessage="1" showErrorMessage="1" sqref="D31" xr:uid="{74FFE3ED-227B-4436-9D4A-D515DAF05E10}">
      <formula1>$J$26:$K$26</formula1>
    </dataValidation>
  </dataValidations>
  <hyperlinks>
    <hyperlink ref="P4" r:id="rId1" xr:uid="{ABEE7AD7-5C06-40EB-9A18-BDE651B53965}"/>
    <hyperlink ref="H3" r:id="rId2" xr:uid="{F5031C04-06F5-41BB-8DA4-96AB8A7412F7}"/>
  </hyperlinks>
  <pageMargins left="0.7" right="0.7" top="0.75" bottom="0.75" header="0.3" footer="0.3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opLeftCell="A112" workbookViewId="0">
      <selection activeCell="H118" sqref="H118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298</v>
      </c>
      <c r="G10" s="95" t="s">
        <v>262</v>
      </c>
      <c r="H10" s="95" t="s">
        <v>299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400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289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 t="s">
        <v>262</v>
      </c>
      <c r="C18" s="62" t="str">
        <f>D18&amp;E18</f>
        <v>Scenario B - 2030 CliffCAMDEN</v>
      </c>
      <c r="D18" s="62" t="str">
        <f>B19</f>
        <v>Scenario B - 2030 Cliff</v>
      </c>
      <c r="E18" s="105" t="s">
        <v>165</v>
      </c>
      <c r="F18" s="105">
        <f>MATCH(C18,$C$118:$C$241,0)</f>
        <v>40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t="str" cm="1">
        <f t="array" ref="O18">INDEX(O$118:O$241,$F18)</f>
        <v/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>Scenario B - 2030 Cliff</v>
      </c>
      <c r="C19" s="62" t="str">
        <f t="shared" ref="C19:C31" si="30">D19&amp;E19</f>
        <v>Scenario B - 2030 CliffGROOTVLEI</v>
      </c>
      <c r="D19" s="62" t="str">
        <f>D18</f>
        <v>Scenario B - 2030 Cliff</v>
      </c>
      <c r="E19" s="105" t="s">
        <v>163</v>
      </c>
      <c r="F19" s="105">
        <f t="shared" ref="F19:F31" si="31">MATCH(C19,$C$118:$C$241,0)</f>
        <v>41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t="str" cm="1">
        <f t="array" ref="K19">INDEX(K$118:K$241,$F19)</f>
        <v/>
      </c>
      <c r="L19" s="63" t="str" cm="1">
        <f t="array" ref="L19">INDEX(L$118:L$241,$F19)</f>
        <v/>
      </c>
      <c r="M19" s="63" t="str" cm="1">
        <f t="array" ref="M19">INDEX(M$118:M$241,$F19)</f>
        <v/>
      </c>
      <c r="N19" s="63" t="str" cm="1">
        <f t="array" ref="N19">INDEX(N$118:N$241,$F19)</f>
        <v/>
      </c>
      <c r="O19" s="63" t="str" cm="1">
        <f t="array" ref="O19">INDEX(O$118:O$241,$F19)</f>
        <v/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B - 2030 CliffKOMATI</v>
      </c>
      <c r="D20" s="62" t="str">
        <f t="shared" ref="D20:D31" si="34">D19</f>
        <v>Scenario B - 2030 Cliff</v>
      </c>
      <c r="E20" s="105" t="s">
        <v>161</v>
      </c>
      <c r="F20" s="105">
        <f t="shared" si="31"/>
        <v>42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t="str" cm="1">
        <f t="array" ref="K20">INDEX(K$118:K$241,$F20)</f>
        <v/>
      </c>
      <c r="L20" s="63" t="str" cm="1">
        <f t="array" ref="L20">INDEX(L$118:L$241,$F20)</f>
        <v/>
      </c>
      <c r="M20" s="63" t="str" cm="1">
        <f t="array" ref="M20">INDEX(M$118:M$241,$F20)</f>
        <v/>
      </c>
      <c r="N20" s="63" t="str" cm="1">
        <f t="array" ref="N20">INDEX(N$118:N$241,$F20)</f>
        <v/>
      </c>
      <c r="O20" s="63" t="str" cm="1">
        <f t="array" ref="O20">INDEX(O$118:O$241,$F20)</f>
        <v/>
      </c>
      <c r="P20" s="63" cm="1">
        <f t="array" ref="P20">INDEX(P$118:P$241,$F20)</f>
        <v>0</v>
      </c>
      <c r="Q20" s="101">
        <f t="shared" si="32"/>
        <v>3</v>
      </c>
      <c r="R20" s="101">
        <v>0.41</v>
      </c>
      <c r="S20" s="101">
        <f t="shared" si="33"/>
        <v>0.13666666666666666</v>
      </c>
      <c r="T20" s="101">
        <f t="shared" si="0"/>
        <v>0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B - 2030 CliffARNOT</v>
      </c>
      <c r="D21" s="62" t="str">
        <f t="shared" si="34"/>
        <v>Scenario B - 2030 Cliff</v>
      </c>
      <c r="E21" s="105" t="s">
        <v>159</v>
      </c>
      <c r="F21" s="105">
        <f t="shared" si="31"/>
        <v>43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t="str" cm="1">
        <f t="array" ref="N21">INDEX(N$118:N$241,$F21)</f>
        <v/>
      </c>
      <c r="O21" s="63" t="str" cm="1">
        <f t="array" ref="O21">INDEX(O$118:O$241,$F21)</f>
        <v/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B - 2030 CliffDUVHA</v>
      </c>
      <c r="D22" s="62" t="str">
        <f t="shared" si="34"/>
        <v>Scenario B - 2030 Cliff</v>
      </c>
      <c r="E22" s="105" t="s">
        <v>157</v>
      </c>
      <c r="F22" s="105">
        <f t="shared" si="31"/>
        <v>44</v>
      </c>
      <c r="G22" s="105" t="s">
        <v>207</v>
      </c>
      <c r="H22" s="63" cm="1">
        <f t="array" ref="H22">INDEX(H$118:H$241,$F22)</f>
        <v>2031</v>
      </c>
      <c r="I22" s="63" cm="1">
        <f t="array" ref="I22">INDEX(I$118:I$241,$F22)</f>
        <v>2031</v>
      </c>
      <c r="J22" s="63" cm="1">
        <f t="array" ref="J22">INDEX(J$118:J$241,$F22)</f>
        <v>2031</v>
      </c>
      <c r="K22" s="63" cm="1">
        <f t="array" ref="K22">INDEX(K$118:K$241,$F22)</f>
        <v>2031</v>
      </c>
      <c r="L22" s="63" cm="1">
        <f t="array" ref="L22">INDEX(L$118:L$241,$F22)</f>
        <v>2031</v>
      </c>
      <c r="M22" s="63" t="str" cm="1">
        <f t="array" ref="M22">INDEX(M$118:M$241,$F22)</f>
        <v/>
      </c>
      <c r="N22" s="63" t="str" cm="1">
        <f t="array" ref="N22">INDEX(N$118:N$241,$F22)</f>
        <v/>
      </c>
      <c r="O22" s="63" t="str" cm="1">
        <f t="array" ref="O22">INDEX(O$118:O$241,$F22)</f>
        <v/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0</v>
      </c>
      <c r="AE22" s="101">
        <f t="shared" si="11"/>
        <v>0</v>
      </c>
      <c r="AF22" s="101">
        <f t="shared" si="12"/>
        <v>0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B - 2030 CliffHENDRINA</v>
      </c>
      <c r="D23" s="62" t="str">
        <f t="shared" si="34"/>
        <v>Scenario B - 2030 Cliff</v>
      </c>
      <c r="E23" s="105" t="s">
        <v>155</v>
      </c>
      <c r="F23" s="105">
        <f t="shared" si="31"/>
        <v>45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t="str" cm="1">
        <f t="array" ref="J23">INDEX(J$118:J$241,$F23)</f>
        <v/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t="str" cm="1">
        <f t="array" ref="O23">INDEX(O$118:O$241,$F23)</f>
        <v/>
      </c>
      <c r="P23" s="63" cm="1">
        <f t="array" ref="P23">INDEX(P$118:P$241,$F23)</f>
        <v>0</v>
      </c>
      <c r="Q23" s="101">
        <f t="shared" si="32"/>
        <v>6</v>
      </c>
      <c r="R23" s="101">
        <v>1.2929999999999999</v>
      </c>
      <c r="S23" s="101">
        <f t="shared" si="33"/>
        <v>1.2929999999999999</v>
      </c>
      <c r="T23" s="101">
        <f t="shared" si="0"/>
        <v>1.0774999999999999</v>
      </c>
      <c r="U23" s="101">
        <f t="shared" si="1"/>
        <v>1.0774999999999999</v>
      </c>
      <c r="V23" s="101">
        <f t="shared" si="2"/>
        <v>1.0774999999999999</v>
      </c>
      <c r="W23" s="101">
        <f t="shared" si="3"/>
        <v>0.86199999999999988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B - 2030 CliffKENDAL</v>
      </c>
      <c r="D24" s="62" t="str">
        <f t="shared" si="34"/>
        <v>Scenario B - 2030 Cliff</v>
      </c>
      <c r="E24" s="105" t="s">
        <v>153</v>
      </c>
      <c r="F24" s="105">
        <f t="shared" si="31"/>
        <v>46</v>
      </c>
      <c r="G24" s="105" t="s">
        <v>206</v>
      </c>
      <c r="H24" s="63" cm="1">
        <f t="array" ref="H24">INDEX(H$118:H$241,$F24)</f>
        <v>2039</v>
      </c>
      <c r="I24" s="63" cm="1">
        <f t="array" ref="I24">INDEX(I$118:I$241,$F24)</f>
        <v>2041</v>
      </c>
      <c r="J24" s="63" cm="1">
        <f t="array" ref="J24">INDEX(J$118:J$241,$F24)</f>
        <v>2042</v>
      </c>
      <c r="K24" s="63" cm="1">
        <f t="array" ref="K24">INDEX(K$118:K$241,$F24)</f>
        <v>2042</v>
      </c>
      <c r="L24" s="63" cm="1">
        <f t="array" ref="L24">INDEX(L$118:L$241,$F24)</f>
        <v>2043</v>
      </c>
      <c r="M24" s="63" cm="1">
        <f t="array" ref="M24">INDEX(M$118:M$241,$F24)</f>
        <v>2044</v>
      </c>
      <c r="N24" s="63" t="str" cm="1">
        <f t="array" ref="N24">INDEX(N$118:N$241,$F24)</f>
        <v/>
      </c>
      <c r="O24" s="63" t="str" cm="1">
        <f t="array" ref="O24">INDEX(O$118:O$241,$F24)</f>
        <v/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3.84</v>
      </c>
      <c r="AE24" s="101">
        <f t="shared" si="11"/>
        <v>3.84</v>
      </c>
      <c r="AF24" s="101">
        <f t="shared" si="12"/>
        <v>3.84</v>
      </c>
      <c r="AG24" s="101">
        <f t="shared" si="13"/>
        <v>3.84</v>
      </c>
      <c r="AH24" s="101">
        <f t="shared" si="14"/>
        <v>3.84</v>
      </c>
      <c r="AI24" s="101">
        <f t="shared" si="15"/>
        <v>3.84</v>
      </c>
      <c r="AJ24" s="101">
        <f t="shared" si="16"/>
        <v>3.84</v>
      </c>
      <c r="AK24" s="101">
        <f t="shared" si="17"/>
        <v>3.84</v>
      </c>
      <c r="AL24" s="101">
        <f t="shared" si="18"/>
        <v>3.1999999999999997</v>
      </c>
      <c r="AM24" s="101">
        <f t="shared" si="19"/>
        <v>3.1999999999999997</v>
      </c>
      <c r="AN24" s="101">
        <f t="shared" si="20"/>
        <v>2.5599999999999996</v>
      </c>
      <c r="AO24" s="101">
        <f t="shared" si="21"/>
        <v>1.2799999999999996</v>
      </c>
      <c r="AP24" s="101">
        <f t="shared" si="22"/>
        <v>0.63999999999999957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B - 2030 CliffKRIEL</v>
      </c>
      <c r="D25" s="62" t="str">
        <f t="shared" si="34"/>
        <v>Scenario B - 2030 Cliff</v>
      </c>
      <c r="E25" s="105" t="s">
        <v>151</v>
      </c>
      <c r="F25" s="105">
        <f t="shared" si="31"/>
        <v>47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t="str" cm="1">
        <f t="array" ref="N25">INDEX(N$118:N$241,$F25)</f>
        <v/>
      </c>
      <c r="O25" s="63" t="str" cm="1">
        <f t="array" ref="O25">INDEX(O$118:O$241,$F25)</f>
        <v/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B - 2030 CliffLETHABO</v>
      </c>
      <c r="D26" s="62" t="str">
        <f t="shared" si="34"/>
        <v>Scenario B - 2030 Cliff</v>
      </c>
      <c r="E26" s="105" t="s">
        <v>149</v>
      </c>
      <c r="F26" s="105">
        <f t="shared" si="31"/>
        <v>48</v>
      </c>
      <c r="G26" s="105" t="s">
        <v>205</v>
      </c>
      <c r="H26" s="63" cm="1">
        <f t="array" ref="H26">INDEX(H$118:H$241,$F26)</f>
        <v>2036</v>
      </c>
      <c r="I26" s="63" cm="1">
        <f t="array" ref="I26">INDEX(I$118:I$241,$F26)</f>
        <v>2037</v>
      </c>
      <c r="J26" s="63" cm="1">
        <f t="array" ref="J26">INDEX(J$118:J$241,$F26)</f>
        <v>2037</v>
      </c>
      <c r="K26" s="63" cm="1">
        <f t="array" ref="K26">INDEX(K$118:K$241,$F26)</f>
        <v>2038</v>
      </c>
      <c r="L26" s="63" cm="1">
        <f t="array" ref="L26">INDEX(L$118:L$241,$F26)</f>
        <v>2040</v>
      </c>
      <c r="M26" s="63" cm="1">
        <f t="array" ref="M26">INDEX(M$118:M$241,$F26)</f>
        <v>2041</v>
      </c>
      <c r="N26" s="63" t="str" cm="1">
        <f t="array" ref="N26">INDEX(N$118:N$241,$F26)</f>
        <v/>
      </c>
      <c r="O26" s="63" t="str" cm="1">
        <f t="array" ref="O26">INDEX(O$118:O$241,$F26)</f>
        <v/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3.5579999999999998</v>
      </c>
      <c r="AE26" s="101">
        <f t="shared" si="11"/>
        <v>3.5579999999999998</v>
      </c>
      <c r="AF26" s="101">
        <f t="shared" si="12"/>
        <v>3.5579999999999998</v>
      </c>
      <c r="AG26" s="101">
        <f t="shared" si="13"/>
        <v>3.5579999999999998</v>
      </c>
      <c r="AH26" s="101">
        <f t="shared" si="14"/>
        <v>3.5579999999999998</v>
      </c>
      <c r="AI26" s="101">
        <f t="shared" si="15"/>
        <v>2.9649999999999999</v>
      </c>
      <c r="AJ26" s="101">
        <f t="shared" si="16"/>
        <v>1.7789999999999999</v>
      </c>
      <c r="AK26" s="101">
        <f t="shared" si="17"/>
        <v>1.1859999999999999</v>
      </c>
      <c r="AL26" s="101">
        <f t="shared" si="18"/>
        <v>1.1859999999999999</v>
      </c>
      <c r="AM26" s="101">
        <f t="shared" si="19"/>
        <v>0.59299999999999997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B - 2030 CliffMAJUBA DRY</v>
      </c>
      <c r="D27" s="62" t="str">
        <f t="shared" si="34"/>
        <v>Scenario B - 2030 Cliff</v>
      </c>
      <c r="E27" s="105" t="s">
        <v>147</v>
      </c>
      <c r="F27" s="105">
        <f t="shared" si="31"/>
        <v>49</v>
      </c>
      <c r="G27" s="105" t="s">
        <v>197</v>
      </c>
      <c r="H27" s="63" cm="1">
        <f t="array" ref="H27">INDEX(H$118:H$241,$F27)</f>
        <v>2046</v>
      </c>
      <c r="I27" s="63" cm="1">
        <f t="array" ref="I27">INDEX(I$118:I$241,$F27)</f>
        <v>2047</v>
      </c>
      <c r="J27" s="63" cm="1">
        <f t="array" ref="J27">INDEX(J$118:J$241,$F27)</f>
        <v>2048</v>
      </c>
      <c r="K27" s="63" t="str" cm="1">
        <f t="array" ref="K27">INDEX(K$118:K$241,$F27)</f>
        <v/>
      </c>
      <c r="L27" s="63" t="str" cm="1">
        <f t="array" ref="L27">INDEX(L$118:L$241,$F27)</f>
        <v/>
      </c>
      <c r="M27" s="63" t="str" cm="1">
        <f t="array" ref="M27">INDEX(M$118:M$241,$F27)</f>
        <v/>
      </c>
      <c r="N27" s="63" t="str" cm="1">
        <f t="array" ref="N27">INDEX(N$118:N$241,$F27)</f>
        <v/>
      </c>
      <c r="O27" s="63" t="str" cm="1">
        <f t="array" ref="O27">INDEX(O$118:O$241,$F27)</f>
        <v/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1.8330000000000002</v>
      </c>
      <c r="AE27" s="101">
        <f t="shared" si="11"/>
        <v>1.8330000000000002</v>
      </c>
      <c r="AF27" s="101">
        <f t="shared" si="12"/>
        <v>1.8330000000000002</v>
      </c>
      <c r="AG27" s="101">
        <f t="shared" si="13"/>
        <v>1.8330000000000002</v>
      </c>
      <c r="AH27" s="101">
        <f t="shared" si="14"/>
        <v>1.8330000000000002</v>
      </c>
      <c r="AI27" s="101">
        <f t="shared" si="15"/>
        <v>1.8330000000000002</v>
      </c>
      <c r="AJ27" s="101">
        <f t="shared" si="16"/>
        <v>1.8330000000000002</v>
      </c>
      <c r="AK27" s="101">
        <f t="shared" si="17"/>
        <v>1.8330000000000002</v>
      </c>
      <c r="AL27" s="101">
        <f t="shared" si="18"/>
        <v>1.8330000000000002</v>
      </c>
      <c r="AM27" s="101">
        <f t="shared" si="19"/>
        <v>1.8330000000000002</v>
      </c>
      <c r="AN27" s="101">
        <f t="shared" si="20"/>
        <v>1.8330000000000002</v>
      </c>
      <c r="AO27" s="101">
        <f t="shared" si="21"/>
        <v>1.8330000000000002</v>
      </c>
      <c r="AP27" s="101">
        <f t="shared" si="22"/>
        <v>1.8330000000000002</v>
      </c>
      <c r="AQ27" s="101">
        <f t="shared" si="23"/>
        <v>1.8330000000000002</v>
      </c>
      <c r="AR27" s="101">
        <f t="shared" si="24"/>
        <v>1.8330000000000002</v>
      </c>
      <c r="AS27" s="101">
        <f t="shared" si="25"/>
        <v>1.222</v>
      </c>
      <c r="AT27" s="101">
        <f t="shared" si="26"/>
        <v>0.61099999999999988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B - 2030 CliffMAJUBA WET</v>
      </c>
      <c r="D28" s="62" t="str">
        <f t="shared" si="34"/>
        <v>Scenario B - 2030 Cliff</v>
      </c>
      <c r="E28" s="105" t="s">
        <v>145</v>
      </c>
      <c r="F28" s="105">
        <f t="shared" si="31"/>
        <v>50</v>
      </c>
      <c r="G28" s="105"/>
      <c r="H28" s="63" t="str" cm="1">
        <f t="array" ref="H28">INDEX(H$118:H$241,$F28)</f>
        <v/>
      </c>
      <c r="I28" s="63" t="str" cm="1">
        <f t="array" ref="I28">INDEX(I$118:I$241,$F28)</f>
        <v/>
      </c>
      <c r="J28" s="63" t="str" cm="1">
        <f t="array" ref="J28">INDEX(J$118:J$241,$F28)</f>
        <v/>
      </c>
      <c r="K28" s="63" cm="1">
        <f t="array" ref="K28">INDEX(K$118:K$241,$F28)</f>
        <v>2049</v>
      </c>
      <c r="L28" s="63" cm="1">
        <f t="array" ref="L28">INDEX(L$118:L$241,$F28)</f>
        <v>2050</v>
      </c>
      <c r="M28" s="63" cm="1">
        <f t="array" ref="M28">INDEX(M$118:M$241,$F28)</f>
        <v>2051</v>
      </c>
      <c r="N28" s="63" t="str" cm="1">
        <f t="array" ref="N28">INDEX(N$118:N$241,$F28)</f>
        <v/>
      </c>
      <c r="O28" s="63" t="str" cm="1">
        <f t="array" ref="O28">INDEX(O$118:O$241,$F28)</f>
        <v/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2.0099999999999998</v>
      </c>
      <c r="AE28" s="101">
        <f t="shared" si="11"/>
        <v>2.0099999999999998</v>
      </c>
      <c r="AF28" s="101">
        <f t="shared" si="12"/>
        <v>2.0099999999999998</v>
      </c>
      <c r="AG28" s="101">
        <f t="shared" si="13"/>
        <v>2.0099999999999998</v>
      </c>
      <c r="AH28" s="101">
        <f t="shared" si="14"/>
        <v>2.0099999999999998</v>
      </c>
      <c r="AI28" s="101">
        <f t="shared" si="15"/>
        <v>2.0099999999999998</v>
      </c>
      <c r="AJ28" s="101">
        <f t="shared" si="16"/>
        <v>2.0099999999999998</v>
      </c>
      <c r="AK28" s="101">
        <f t="shared" si="17"/>
        <v>2.0099999999999998</v>
      </c>
      <c r="AL28" s="101">
        <f t="shared" si="18"/>
        <v>2.0099999999999998</v>
      </c>
      <c r="AM28" s="101">
        <f t="shared" si="19"/>
        <v>2.0099999999999998</v>
      </c>
      <c r="AN28" s="101">
        <f t="shared" si="20"/>
        <v>2.0099999999999998</v>
      </c>
      <c r="AO28" s="101">
        <f t="shared" si="21"/>
        <v>2.0099999999999998</v>
      </c>
      <c r="AP28" s="101">
        <f t="shared" si="22"/>
        <v>2.0099999999999998</v>
      </c>
      <c r="AQ28" s="101">
        <f t="shared" si="23"/>
        <v>2.0099999999999998</v>
      </c>
      <c r="AR28" s="101">
        <f t="shared" si="24"/>
        <v>2.0099999999999998</v>
      </c>
      <c r="AS28" s="101">
        <f t="shared" si="25"/>
        <v>2.0099999999999998</v>
      </c>
      <c r="AT28" s="101">
        <f t="shared" si="26"/>
        <v>2.0099999999999998</v>
      </c>
      <c r="AU28" s="101">
        <f t="shared" si="27"/>
        <v>2.0099999999999998</v>
      </c>
      <c r="AV28" s="101">
        <f t="shared" si="28"/>
        <v>1.3399999999999999</v>
      </c>
      <c r="AW28" s="101">
        <f t="shared" si="29"/>
        <v>0.66999999999999993</v>
      </c>
    </row>
    <row r="29" spans="1:49" x14ac:dyDescent="0.25">
      <c r="C29" s="62" t="str">
        <f t="shared" si="30"/>
        <v>Scenario B - 2030 CliffMATIMBA</v>
      </c>
      <c r="D29" s="62" t="str">
        <f t="shared" si="34"/>
        <v>Scenario B - 2030 Cliff</v>
      </c>
      <c r="E29" s="105" t="s">
        <v>143</v>
      </c>
      <c r="F29" s="105">
        <f t="shared" si="31"/>
        <v>51</v>
      </c>
      <c r="G29" s="105" t="s">
        <v>204</v>
      </c>
      <c r="H29" s="63" cm="1">
        <f t="array" ref="H29">INDEX(H$118:H$241,$F29)</f>
        <v>2038</v>
      </c>
      <c r="I29" s="63" cm="1">
        <f t="array" ref="I29">INDEX(I$118:I$241,$F29)</f>
        <v>2038</v>
      </c>
      <c r="J29" s="63" cm="1">
        <f t="array" ref="J29">INDEX(J$118:J$241,$F29)</f>
        <v>2039</v>
      </c>
      <c r="K29" s="63" cm="1">
        <f t="array" ref="K29">INDEX(K$118:K$241,$F29)</f>
        <v>2040</v>
      </c>
      <c r="L29" s="63" cm="1">
        <f t="array" ref="L29">INDEX(L$118:L$241,$F29)</f>
        <v>2041</v>
      </c>
      <c r="M29" s="63" cm="1">
        <f t="array" ref="M29">INDEX(M$118:M$241,$F29)</f>
        <v>2042</v>
      </c>
      <c r="N29" s="63" t="str" cm="1">
        <f t="array" ref="N29">INDEX(N$118:N$241,$F29)</f>
        <v/>
      </c>
      <c r="O29" s="63" t="str" cm="1">
        <f t="array" ref="O29">INDEX(O$118:O$241,$F29)</f>
        <v/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3.69</v>
      </c>
      <c r="AE29" s="101">
        <f t="shared" si="11"/>
        <v>3.69</v>
      </c>
      <c r="AF29" s="101">
        <f t="shared" si="12"/>
        <v>3.69</v>
      </c>
      <c r="AG29" s="101">
        <f t="shared" si="13"/>
        <v>3.69</v>
      </c>
      <c r="AH29" s="101">
        <f t="shared" si="14"/>
        <v>3.69</v>
      </c>
      <c r="AI29" s="101">
        <f t="shared" si="15"/>
        <v>3.69</v>
      </c>
      <c r="AJ29" s="101">
        <f t="shared" si="16"/>
        <v>3.69</v>
      </c>
      <c r="AK29" s="101">
        <f t="shared" si="17"/>
        <v>2.46</v>
      </c>
      <c r="AL29" s="101">
        <f t="shared" si="18"/>
        <v>1.845</v>
      </c>
      <c r="AM29" s="101">
        <f t="shared" si="19"/>
        <v>1.23</v>
      </c>
      <c r="AN29" s="101">
        <f t="shared" si="20"/>
        <v>0.61499999999999999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B - 2030 CliffMATLA</v>
      </c>
      <c r="D30" s="62" t="str">
        <f t="shared" si="34"/>
        <v>Scenario B - 2030 Cliff</v>
      </c>
      <c r="E30" s="105" t="s">
        <v>141</v>
      </c>
      <c r="F30" s="105">
        <f t="shared" si="31"/>
        <v>52</v>
      </c>
      <c r="G30" s="105" t="s">
        <v>200</v>
      </c>
      <c r="H30" s="63" cm="1">
        <f t="array" ref="H30">INDEX(H$118:H$241,$F30)</f>
        <v>2031</v>
      </c>
      <c r="I30" s="63" cm="1">
        <f t="array" ref="I30">INDEX(I$118:I$241,$F30)</f>
        <v>2031</v>
      </c>
      <c r="J30" s="63" cm="1">
        <f t="array" ref="J30">INDEX(J$118:J$241,$F30)</f>
        <v>2031</v>
      </c>
      <c r="K30" s="63" cm="1">
        <f t="array" ref="K30">INDEX(K$118:K$241,$F30)</f>
        <v>2031</v>
      </c>
      <c r="L30" s="63" cm="1">
        <f t="array" ref="L30">INDEX(L$118:L$241,$F30)</f>
        <v>2031</v>
      </c>
      <c r="M30" s="63" cm="1">
        <f t="array" ref="M30">INDEX(M$118:M$241,$F30)</f>
        <v>2031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3.45</v>
      </c>
      <c r="AD30" s="101">
        <f t="shared" si="10"/>
        <v>0</v>
      </c>
      <c r="AE30" s="101">
        <f t="shared" si="11"/>
        <v>0</v>
      </c>
      <c r="AF30" s="101">
        <f t="shared" si="12"/>
        <v>0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B - 2030 CliffTUTUKA</v>
      </c>
      <c r="D31" s="62" t="str">
        <f t="shared" si="34"/>
        <v>Scenario B - 2030 Cliff</v>
      </c>
      <c r="E31" s="105" t="s">
        <v>139</v>
      </c>
      <c r="F31" s="105">
        <f t="shared" si="31"/>
        <v>53</v>
      </c>
      <c r="G31" s="105" t="s">
        <v>202</v>
      </c>
      <c r="H31" s="63" cm="1">
        <f t="array" ref="H31">INDEX(H$118:H$241,$F31)</f>
        <v>2031</v>
      </c>
      <c r="I31" s="63" cm="1">
        <f t="array" ref="I31">INDEX(I$118:I$241,$F31)</f>
        <v>2031</v>
      </c>
      <c r="J31" s="63" cm="1">
        <f t="array" ref="J31">INDEX(J$118:J$241,$F31)</f>
        <v>2031</v>
      </c>
      <c r="K31" s="63" cm="1">
        <f t="array" ref="K31">INDEX(K$118:K$241,$F31)</f>
        <v>2031</v>
      </c>
      <c r="L31" s="63" cm="1">
        <f t="array" ref="L31">INDEX(L$118:L$241,$F31)</f>
        <v>2031</v>
      </c>
      <c r="M31" s="63" cm="1">
        <f t="array" ref="M31">INDEX(M$118:M$241,$F31)</f>
        <v>2031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3.51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'[8]new retirement plan'!G43</f>
        <v>2028</v>
      </c>
      <c r="I143" s="62">
        <f>'[8]new retirement plan'!H43</f>
        <v>2028</v>
      </c>
      <c r="J143" s="62">
        <f>'[8]new retirement plan'!I43</f>
        <v>2030</v>
      </c>
      <c r="K143" s="62">
        <f>'[8]new retirement plan'!J43</f>
        <v>2030</v>
      </c>
      <c r="L143" s="62">
        <f>'[8]new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5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IF(H124="","",H124)</f>
        <v>2039</v>
      </c>
      <c r="I145" s="62">
        <f t="shared" si="53"/>
        <v>2041</v>
      </c>
      <c r="J145" s="62">
        <f t="shared" si="53"/>
        <v>2042</v>
      </c>
      <c r="K145" s="62">
        <f t="shared" si="53"/>
        <v>2042</v>
      </c>
      <c r="L145" s="62">
        <f t="shared" si="53"/>
        <v>2043</v>
      </c>
      <c r="M145" s="62">
        <f t="shared" si="53"/>
        <v>2044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3.84</v>
      </c>
      <c r="Z145" s="101">
        <f t="shared" si="51"/>
        <v>3.84</v>
      </c>
      <c r="AA145" s="101">
        <f t="shared" si="51"/>
        <v>3.84</v>
      </c>
      <c r="AB145" s="101">
        <f t="shared" si="51"/>
        <v>3.84</v>
      </c>
      <c r="AC145" s="101">
        <f t="shared" si="51"/>
        <v>3.84</v>
      </c>
      <c r="AD145" s="101">
        <f t="shared" si="51"/>
        <v>3.84</v>
      </c>
      <c r="AE145" s="101">
        <f t="shared" si="51"/>
        <v>3.84</v>
      </c>
      <c r="AF145" s="101">
        <f t="shared" si="51"/>
        <v>3.84</v>
      </c>
      <c r="AG145" s="101">
        <f t="shared" si="51"/>
        <v>3.84</v>
      </c>
      <c r="AH145" s="101">
        <f t="shared" si="51"/>
        <v>3.84</v>
      </c>
      <c r="AI145" s="101">
        <f t="shared" si="48"/>
        <v>3.84</v>
      </c>
      <c r="AJ145" s="101">
        <f t="shared" si="48"/>
        <v>3.84</v>
      </c>
      <c r="AK145" s="101">
        <f t="shared" si="48"/>
        <v>3.84</v>
      </c>
      <c r="AL145" s="101">
        <f t="shared" si="48"/>
        <v>3.1999999999999997</v>
      </c>
      <c r="AM145" s="101">
        <f t="shared" si="48"/>
        <v>3.1999999999999997</v>
      </c>
      <c r="AN145" s="101">
        <f t="shared" si="48"/>
        <v>2.5599999999999996</v>
      </c>
      <c r="AO145" s="101">
        <f t="shared" si="48"/>
        <v>1.2799999999999996</v>
      </c>
      <c r="AP145" s="101">
        <f t="shared" si="48"/>
        <v>0.63999999999999957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'[8]new retirement plan'!G51</f>
        <v>2027</v>
      </c>
      <c r="I151" s="62">
        <f>'[8]new retirement plan'!H51</f>
        <v>2028</v>
      </c>
      <c r="J151" s="62">
        <f>'[8]new retirement plan'!I51</f>
        <v>2028</v>
      </c>
      <c r="K151" s="62">
        <f>'[8]new retirement plan'!J51</f>
        <v>2029</v>
      </c>
      <c r="L151" s="62">
        <f>'[8]new retirement plan'!K51</f>
        <v>2030</v>
      </c>
      <c r="M151" s="62">
        <f>'[8]new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'[8]new retirement plan'!G52</f>
        <v>2025</v>
      </c>
      <c r="I152" s="62">
        <f>'[8]new retirement plan'!H52</f>
        <v>2026</v>
      </c>
      <c r="J152" s="62">
        <f>'[8]new retirement plan'!I52</f>
        <v>2027</v>
      </c>
      <c r="K152" s="62">
        <f>'[8]new retirement plan'!J52</f>
        <v>2027</v>
      </c>
      <c r="L152" s="62">
        <f>'[8]new retirement plan'!K52</f>
        <v>2029</v>
      </c>
      <c r="M152" s="62">
        <f>'[8]new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3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4" t="s">
        <v>153</v>
      </c>
      <c r="F163" s="101"/>
      <c r="G163" s="101" t="s">
        <v>206</v>
      </c>
      <c r="H163" s="62">
        <f>H145</f>
        <v>2039</v>
      </c>
      <c r="I163" s="62">
        <f t="shared" si="64"/>
        <v>2041</v>
      </c>
      <c r="J163" s="62">
        <f t="shared" si="64"/>
        <v>2042</v>
      </c>
      <c r="K163" s="62">
        <f t="shared" si="64"/>
        <v>2042</v>
      </c>
      <c r="L163" s="62">
        <f t="shared" si="64"/>
        <v>2043</v>
      </c>
      <c r="M163" s="62">
        <f t="shared" si="64"/>
        <v>2044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3.84</v>
      </c>
      <c r="AE163" s="101">
        <f t="shared" si="62"/>
        <v>3.84</v>
      </c>
      <c r="AF163" s="101">
        <f t="shared" si="62"/>
        <v>3.84</v>
      </c>
      <c r="AG163" s="101">
        <f t="shared" si="62"/>
        <v>3.84</v>
      </c>
      <c r="AH163" s="101">
        <f t="shared" si="62"/>
        <v>3.84</v>
      </c>
      <c r="AI163" s="101">
        <f t="shared" si="59"/>
        <v>3.84</v>
      </c>
      <c r="AJ163" s="101">
        <f t="shared" si="59"/>
        <v>3.84</v>
      </c>
      <c r="AK163" s="101">
        <f t="shared" si="59"/>
        <v>3.84</v>
      </c>
      <c r="AL163" s="101">
        <f t="shared" si="59"/>
        <v>3.1999999999999997</v>
      </c>
      <c r="AM163" s="101">
        <f t="shared" si="59"/>
        <v>3.1999999999999997</v>
      </c>
      <c r="AN163" s="101">
        <f t="shared" si="59"/>
        <v>2.5599999999999996</v>
      </c>
      <c r="AO163" s="101">
        <f t="shared" si="59"/>
        <v>1.2799999999999996</v>
      </c>
      <c r="AP163" s="101">
        <f t="shared" si="59"/>
        <v>0.63999999999999957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'[8]new retirement plan'!G61</f>
        <v>2028</v>
      </c>
      <c r="I197" s="62">
        <f>'[8]new retirement plan'!H61</f>
        <v>2028</v>
      </c>
      <c r="J197" s="62">
        <f>'[8]new retirement plan'!I61</f>
        <v>2030</v>
      </c>
      <c r="K197" s="62">
        <f>'[8]new retirement plan'!J61</f>
        <v>2030</v>
      </c>
      <c r="L197" s="62">
        <f>'[8]new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'[8]new retirement plan'!G63</f>
        <v>2026</v>
      </c>
      <c r="I199" s="62">
        <f>'[8]new retirement plan'!H63</f>
        <v>2028</v>
      </c>
      <c r="J199" s="62">
        <f>'[8]new retirement plan'!I63</f>
        <v>2029</v>
      </c>
      <c r="K199" s="62">
        <f>'[8]new retirement plan'!J63</f>
        <v>2029</v>
      </c>
      <c r="L199" s="62">
        <f>'[8]new retirement plan'!K63</f>
        <v>2030</v>
      </c>
      <c r="M199" s="62">
        <f>'[8]new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'[8]new retirement plan'!G65</f>
        <v>2026</v>
      </c>
      <c r="I201" s="62">
        <f>'[8]new retirement plan'!H65</f>
        <v>2027</v>
      </c>
      <c r="J201" s="62">
        <f>'[8]new retirement plan'!I65</f>
        <v>2027</v>
      </c>
      <c r="K201" s="62">
        <f>'[8]new retirement plan'!J65</f>
        <v>2028</v>
      </c>
      <c r="L201" s="62">
        <f>'[8]new retirement plan'!K65</f>
        <v>2030</v>
      </c>
      <c r="M201" s="62">
        <f>'[8]new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'[8]new retirement plan'!G66</f>
        <v>2026</v>
      </c>
      <c r="I202" s="62">
        <f>'[8]new retirement plan'!H66</f>
        <v>2027</v>
      </c>
      <c r="J202" s="62">
        <f>'[8]new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'[8]new retirement plan'!J67</f>
        <v>2029</v>
      </c>
      <c r="L203" s="62">
        <f>'[8]new retirement plan'!K67</f>
        <v>2030</v>
      </c>
      <c r="M203" s="62">
        <f>'[8]new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'[8]new retirement plan'!G68</f>
        <v>2027</v>
      </c>
      <c r="I204" s="62">
        <f>'[8]new retirement plan'!H68</f>
        <v>2027</v>
      </c>
      <c r="J204" s="62">
        <f>'[8]new retirement plan'!I68</f>
        <v>2028</v>
      </c>
      <c r="K204" s="62">
        <f>'[8]new retirement plan'!J68</f>
        <v>2029</v>
      </c>
      <c r="L204" s="62">
        <f>'[8]new retirement plan'!K68</f>
        <v>2030</v>
      </c>
      <c r="M204" s="62">
        <f>'[8]new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'[8]new retirement plan'!G69</f>
        <v>2027</v>
      </c>
      <c r="I205" s="62">
        <f>'[8]new retirement plan'!H69</f>
        <v>2028</v>
      </c>
      <c r="J205" s="62">
        <f>'[8]new retirement plan'!I69</f>
        <v>2028</v>
      </c>
      <c r="K205" s="62">
        <f>'[8]new retirement plan'!J69</f>
        <v>2029</v>
      </c>
      <c r="L205" s="62">
        <f>'[8]new retirement plan'!K69</f>
        <v>2030</v>
      </c>
      <c r="M205" s="62">
        <f>'[8]new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'[8]new retirement plan'!G70</f>
        <v>2025</v>
      </c>
      <c r="I206" s="62">
        <f>'[8]new retirement plan'!H70</f>
        <v>2026</v>
      </c>
      <c r="J206" s="62">
        <f>'[8]new retirement plan'!I70</f>
        <v>2027</v>
      </c>
      <c r="K206" s="62">
        <f>'[8]new retirement plan'!J70</f>
        <v>2027</v>
      </c>
      <c r="L206" s="62">
        <f>'[8]new retirement plan'!K70</f>
        <v>2029</v>
      </c>
      <c r="M206" s="62">
        <f>'[8]new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296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297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workbookViewId="0"/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51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19050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19050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857250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2023-03-21T14:22:28Z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