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comments3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4.xml" ContentType="application/vnd.openxmlformats-officedocument.spreadsheetml.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\SATIM\DataSpreadsheets\TCH_IND\"/>
    </mc:Choice>
  </mc:AlternateContent>
  <xr:revisionPtr revIDLastSave="0" documentId="13_ncr:1_{365546A4-0089-4E78-8E78-BB95B38A653E}" xr6:coauthVersionLast="47" xr6:coauthVersionMax="47" xr10:uidLastSave="{00000000-0000-0000-0000-000000000000}"/>
  <bookViews>
    <workbookView xWindow="-120" yWindow="-120" windowWidth="29040" windowHeight="15840" tabRatio="780" activeTab="15" xr2:uid="{00000000-000D-0000-FFFF-FFFF00000000}"/>
  </bookViews>
  <sheets>
    <sheet name="ANSv2-692-Home" sheetId="9" r:id="rId1"/>
    <sheet name="Index" sheetId="60" r:id="rId2"/>
    <sheet name="RES" sheetId="52" r:id="rId3"/>
    <sheet name="EB_Exist" sheetId="27" r:id="rId4"/>
    <sheet name="ANSv2-692-REGIONS" sheetId="18" state="veryHidden" r:id="rId5"/>
    <sheet name="ANSv2-692-Commodities" sheetId="19" state="veryHidden" r:id="rId6"/>
    <sheet name="Commodities_BASE" sheetId="29" r:id="rId7"/>
    <sheet name="ANSv2-692-Processes" sheetId="20" state="veryHidden" r:id="rId8"/>
    <sheet name="ANSv2-692-Constraints" sheetId="23" state="veryHidden" r:id="rId9"/>
    <sheet name="ANSv2-692-CommData" sheetId="21" state="veryHidden" r:id="rId10"/>
    <sheet name="CommData_BASE" sheetId="30" r:id="rId11"/>
    <sheet name="Processes_BASE" sheetId="31" r:id="rId12"/>
    <sheet name="ANSv2-692-ProcData" sheetId="25" state="veryHidden" r:id="rId13"/>
    <sheet name="ProcData_FCR" sheetId="56" r:id="rId14"/>
    <sheet name="ProcData_FCR - PAMS" sheetId="61" r:id="rId15"/>
    <sheet name="NetZero work" sheetId="62" r:id="rId16"/>
    <sheet name="Production and Capacity" sheetId="63" r:id="rId17"/>
    <sheet name="ANSv2-692-ConstrData" sheetId="24" state="veryHidden" r:id="rId18"/>
    <sheet name="ANSv2-692-ITEMS" sheetId="10" state="veryHidden" r:id="rId19"/>
    <sheet name="ANSv2-692-TS DATA" sheetId="12" state="veryHidden" r:id="rId20"/>
    <sheet name="ANSv2-692-TID DATA" sheetId="13" state="veryHidden" r:id="rId21"/>
    <sheet name="ANSv2-692-TS&amp;TID DATA" sheetId="14" state="veryHidden" r:id="rId22"/>
    <sheet name="ANSv2-692-TS TRADE" sheetId="15" state="veryHidden" r:id="rId23"/>
    <sheet name="ANSv2-692-TID TRADE" sheetId="16" state="veryHidden" r:id="rId24"/>
    <sheet name="ANSv2-692-TS&amp;TID TRADE" sheetId="17" state="veryHidden" r:id="rId25"/>
  </sheets>
  <externalReferences>
    <externalReference r:id="rId26"/>
  </externalReferences>
  <definedNames>
    <definedName name="FA_PAMS_index">Index!$J$5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2" i="62" l="1"/>
  <c r="D39" i="63"/>
  <c r="D40" i="63" s="1"/>
  <c r="D38" i="63"/>
  <c r="F38" i="63" s="1"/>
  <c r="D37" i="63"/>
  <c r="F37" i="63" s="1"/>
  <c r="H19" i="63"/>
  <c r="G19" i="63"/>
  <c r="F19" i="63"/>
  <c r="J18" i="63"/>
  <c r="I18" i="63"/>
  <c r="H18" i="63"/>
  <c r="G18" i="63"/>
  <c r="F18" i="63"/>
  <c r="E18" i="63"/>
  <c r="J17" i="63"/>
  <c r="I17" i="63"/>
  <c r="H17" i="63"/>
  <c r="G17" i="63"/>
  <c r="F17" i="63"/>
  <c r="E17" i="63"/>
  <c r="E19" i="63" s="1"/>
  <c r="J16" i="63"/>
  <c r="J19" i="63" s="1"/>
  <c r="I16" i="63"/>
  <c r="I19" i="63" s="1"/>
  <c r="H16" i="63"/>
  <c r="G16" i="63"/>
  <c r="F16" i="63"/>
  <c r="E16" i="63"/>
  <c r="E171" i="62"/>
  <c r="E173" i="62" s="1"/>
  <c r="E174" i="62" s="1"/>
  <c r="P155" i="62"/>
  <c r="P156" i="62" s="1"/>
  <c r="R148" i="62"/>
  <c r="P145" i="62" s="1"/>
  <c r="G145" i="62" s="1"/>
  <c r="P144" i="62"/>
  <c r="P143" i="62"/>
  <c r="M140" i="62"/>
  <c r="M139" i="62"/>
  <c r="I103" i="62"/>
  <c r="G90" i="62"/>
  <c r="G94" i="62" s="1"/>
  <c r="E87" i="62"/>
  <c r="D87" i="62"/>
  <c r="E86" i="62"/>
  <c r="E85" i="62"/>
  <c r="D82" i="62"/>
  <c r="G78" i="62"/>
  <c r="E77" i="62"/>
  <c r="D77" i="62"/>
  <c r="D88" i="62" s="1"/>
  <c r="D76" i="62"/>
  <c r="H75" i="62"/>
  <c r="D75" i="62"/>
  <c r="D86" i="62" s="1"/>
  <c r="D74" i="62"/>
  <c r="D85" i="62" s="1"/>
  <c r="D73" i="62"/>
  <c r="D84" i="62" s="1"/>
  <c r="F72" i="62"/>
  <c r="E72" i="62"/>
  <c r="D72" i="62"/>
  <c r="D83" i="62" s="1"/>
  <c r="G71" i="62"/>
  <c r="D71" i="62"/>
  <c r="E68" i="62"/>
  <c r="F67" i="62"/>
  <c r="G67" i="62" s="1"/>
  <c r="F66" i="62"/>
  <c r="G66" i="62" s="1"/>
  <c r="F64" i="62"/>
  <c r="F54" i="62"/>
  <c r="E33" i="62" s="1"/>
  <c r="E34" i="62" s="1"/>
  <c r="K52" i="62"/>
  <c r="F69" i="62" s="1"/>
  <c r="J52" i="62"/>
  <c r="F68" i="62" s="1"/>
  <c r="G68" i="62" s="1"/>
  <c r="I52" i="62"/>
  <c r="H52" i="62"/>
  <c r="G52" i="62"/>
  <c r="F52" i="62"/>
  <c r="J50" i="62"/>
  <c r="I50" i="62"/>
  <c r="E67" i="62" s="1"/>
  <c r="H50" i="62"/>
  <c r="E66" i="62" s="1"/>
  <c r="G50" i="62"/>
  <c r="K50" i="62" s="1"/>
  <c r="E69" i="62" s="1"/>
  <c r="F50" i="62"/>
  <c r="E64" i="62" s="1"/>
  <c r="G35" i="62"/>
  <c r="D35" i="62" s="1"/>
  <c r="G33" i="62"/>
  <c r="F33" i="62"/>
  <c r="E32" i="62"/>
  <c r="G30" i="62"/>
  <c r="H29" i="62"/>
  <c r="E76" i="62" s="1"/>
  <c r="G27" i="62"/>
  <c r="E75" i="62" s="1"/>
  <c r="O25" i="62"/>
  <c r="G137" i="62" s="1"/>
  <c r="J137" i="62" s="1"/>
  <c r="G24" i="62"/>
  <c r="E74" i="62" s="1"/>
  <c r="G23" i="62"/>
  <c r="G32" i="62" s="1"/>
  <c r="G21" i="62"/>
  <c r="F21" i="62"/>
  <c r="F20" i="62"/>
  <c r="F71" i="62" s="1"/>
  <c r="J5" i="60" a="1"/>
  <c r="J5" i="60" s="1"/>
  <c r="F39" i="63" l="1"/>
  <c r="F78" i="62"/>
  <c r="F90" i="62"/>
  <c r="E70" i="62"/>
  <c r="E90" i="62"/>
  <c r="M137" i="62"/>
  <c r="G69" i="62"/>
  <c r="G113" i="62" s="1"/>
  <c r="G144" i="62"/>
  <c r="G34" i="62"/>
  <c r="G95" i="62"/>
  <c r="G114" i="62"/>
  <c r="E73" i="62"/>
  <c r="E78" i="62" s="1"/>
  <c r="E79" i="62" s="1"/>
  <c r="D136" i="62" s="1"/>
  <c r="G93" i="62"/>
  <c r="H33" i="62"/>
  <c r="H34" i="62" s="1"/>
  <c r="D138" i="62"/>
  <c r="F70" i="62"/>
  <c r="F32" i="62"/>
  <c r="D32" i="62" s="1"/>
  <c r="G64" i="62"/>
  <c r="H32" i="62"/>
  <c r="F9" i="61"/>
  <c r="M11" i="60"/>
  <c r="E10" i="60"/>
  <c r="J5" i="61"/>
  <c r="J4" i="61"/>
  <c r="I4" i="61"/>
  <c r="H9" i="61"/>
  <c r="I9" i="61" s="1"/>
  <c r="E9" i="61"/>
  <c r="H5" i="61" s="1"/>
  <c r="I5" i="61" s="1"/>
  <c r="D9" i="61"/>
  <c r="C9" i="61"/>
  <c r="B9" i="61"/>
  <c r="A8" i="61"/>
  <c r="A2" i="61"/>
  <c r="D10" i="60" s="1"/>
  <c r="B1" i="61"/>
  <c r="G9" i="30"/>
  <c r="H9" i="30" s="1"/>
  <c r="I9" i="30" s="1"/>
  <c r="J9" i="30" s="1"/>
  <c r="F9" i="30"/>
  <c r="E138" i="62" l="1"/>
  <c r="F114" i="62"/>
  <c r="F92" i="62"/>
  <c r="F94" i="62"/>
  <c r="F113" i="62"/>
  <c r="F96" i="62"/>
  <c r="F93" i="62"/>
  <c r="F95" i="62"/>
  <c r="G96" i="62"/>
  <c r="F34" i="62"/>
  <c r="D34" i="62" s="1"/>
  <c r="D39" i="62"/>
  <c r="E95" i="62"/>
  <c r="I95" i="62" s="1"/>
  <c r="E93" i="62"/>
  <c r="I93" i="62" s="1"/>
  <c r="E114" i="62"/>
  <c r="I114" i="62" s="1"/>
  <c r="E92" i="62"/>
  <c r="E96" i="62"/>
  <c r="E94" i="62"/>
  <c r="I94" i="62" s="1"/>
  <c r="I90" i="62"/>
  <c r="E113" i="62"/>
  <c r="I113" i="62" s="1"/>
  <c r="G143" i="62"/>
  <c r="G146" i="62" s="1"/>
  <c r="G142" i="62"/>
  <c r="I142" i="62" s="1"/>
  <c r="G92" i="62"/>
  <c r="G70" i="62"/>
  <c r="J9" i="61"/>
  <c r="G8" i="30"/>
  <c r="H8" i="30" s="1"/>
  <c r="I8" i="30" s="1"/>
  <c r="J8" i="30" s="1"/>
  <c r="AB12" i="56"/>
  <c r="AA11" i="56"/>
  <c r="K8" i="27"/>
  <c r="K7" i="27"/>
  <c r="K6" i="27"/>
  <c r="Z10" i="56" s="1"/>
  <c r="I145" i="62" l="1"/>
  <c r="I144" i="62"/>
  <c r="I143" i="62"/>
  <c r="I146" i="62" s="1"/>
  <c r="E100" i="62"/>
  <c r="G148" i="62"/>
  <c r="D36" i="62"/>
  <c r="D38" i="62"/>
  <c r="D109" i="62"/>
  <c r="K90" i="62"/>
  <c r="E99" i="62"/>
  <c r="D110" i="62"/>
  <c r="D111" i="62" s="1"/>
  <c r="I101" i="62"/>
  <c r="E101" i="62" s="1"/>
  <c r="I96" i="62"/>
  <c r="K5" i="27"/>
  <c r="F5" i="27"/>
  <c r="D144" i="62" l="1"/>
  <c r="E106" i="62"/>
  <c r="E105" i="62"/>
  <c r="D143" i="62"/>
  <c r="D146" i="62" s="1"/>
  <c r="I148" i="62"/>
  <c r="D142" i="62"/>
  <c r="E104" i="62"/>
  <c r="E8" i="30"/>
  <c r="F8" i="30" s="1"/>
  <c r="I13" i="56"/>
  <c r="S13" i="56" l="1"/>
  <c r="R13" i="56"/>
  <c r="K4" i="27"/>
  <c r="C14" i="56"/>
  <c r="C19" i="56"/>
  <c r="N13" i="56" l="1"/>
  <c r="B19" i="56"/>
  <c r="P23" i="56"/>
  <c r="P18" i="56"/>
  <c r="F8" i="56"/>
  <c r="C8" i="56"/>
  <c r="B8" i="56"/>
  <c r="E15" i="56"/>
  <c r="E20" i="56" s="1"/>
  <c r="E14" i="56"/>
  <c r="E19" i="56" s="1"/>
  <c r="S18" i="56"/>
  <c r="S23" i="56" s="1"/>
  <c r="E10" i="56"/>
  <c r="E11" i="56"/>
  <c r="E12" i="56"/>
  <c r="C12" i="31"/>
  <c r="B12" i="31"/>
  <c r="C8" i="30"/>
  <c r="B8" i="30"/>
  <c r="C9" i="29"/>
  <c r="B9" i="29"/>
  <c r="B6" i="27"/>
  <c r="A6" i="27"/>
  <c r="A7" i="27"/>
  <c r="B8" i="27"/>
  <c r="A8" i="27"/>
  <c r="AD11" i="27" l="1"/>
  <c r="AD12" i="27" s="1"/>
  <c r="AD8" i="27"/>
  <c r="AD16" i="27"/>
  <c r="AD17" i="27" s="1"/>
  <c r="AD18" i="27" s="1"/>
  <c r="AD19" i="27" s="1"/>
  <c r="S5" i="56"/>
  <c r="R5" i="56"/>
  <c r="B10" i="27"/>
  <c r="B9" i="27"/>
  <c r="AD9" i="27"/>
  <c r="AD10" i="27" l="1"/>
  <c r="E17" i="56"/>
  <c r="E16" i="56"/>
  <c r="E21" i="56" s="1"/>
  <c r="D14" i="56"/>
  <c r="D19" i="56" s="1"/>
  <c r="B14" i="56"/>
  <c r="AB5" i="56"/>
  <c r="AA5" i="56"/>
  <c r="Z5" i="56"/>
  <c r="AC5" i="56" l="1"/>
  <c r="E22" i="56"/>
  <c r="C11" i="31"/>
  <c r="B11" i="31"/>
  <c r="B7" i="27"/>
  <c r="I4" i="27"/>
  <c r="H4" i="27"/>
  <c r="AB5" i="27"/>
  <c r="C13" i="29" l="1"/>
  <c r="C12" i="29"/>
  <c r="C11" i="29"/>
  <c r="C10" i="29"/>
  <c r="B13" i="29"/>
  <c r="B12" i="29"/>
  <c r="B11" i="29"/>
  <c r="B10" i="29"/>
  <c r="J13" i="56" l="1"/>
  <c r="K13" i="56" s="1"/>
  <c r="E8" i="60"/>
  <c r="E9" i="60"/>
  <c r="E11" i="60"/>
  <c r="A2" i="56"/>
  <c r="D11" i="60" s="1"/>
  <c r="A2" i="31"/>
  <c r="D9" i="60" s="1"/>
  <c r="A2" i="30"/>
  <c r="D8" i="60" s="1"/>
  <c r="A2" i="29"/>
  <c r="E7" i="60"/>
  <c r="M13" i="56" l="1"/>
  <c r="D7" i="60"/>
  <c r="A1" i="61" s="1"/>
  <c r="A1" i="29" l="1"/>
  <c r="A1" i="56"/>
  <c r="A1" i="30"/>
  <c r="A1" i="31"/>
  <c r="F18" i="56" l="1"/>
  <c r="F23" i="56" s="1"/>
  <c r="F13" i="56"/>
  <c r="D10" i="56"/>
  <c r="A9" i="56"/>
  <c r="B1" i="56"/>
  <c r="I7" i="27"/>
  <c r="H7" i="27"/>
  <c r="B4" i="27"/>
  <c r="A4" i="27"/>
  <c r="C4" i="27"/>
  <c r="C9" i="27" s="1"/>
  <c r="C10" i="27" s="1"/>
  <c r="Y5" i="56" l="1"/>
  <c r="B10" i="31"/>
  <c r="B10" i="56" s="1"/>
  <c r="H6" i="27"/>
  <c r="H8" i="27" s="1"/>
  <c r="D4" i="27"/>
  <c r="D9" i="27" s="1"/>
  <c r="D10" i="27" s="1"/>
  <c r="C10" i="31" l="1"/>
  <c r="C10" i="56" s="1"/>
  <c r="I6" i="27"/>
  <c r="I8" i="27" s="1"/>
  <c r="B1" i="31" l="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CEA09C23-CFA5-4A41-8AF2-C078A6DD1DB4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<sst xmlns="http://schemas.openxmlformats.org/spreadsheetml/2006/main" count="777" uniqueCount="491">
  <si>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</si>
  <si>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</si>
  <si>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</si>
  <si>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</si>
  <si>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</si>
  <si>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</si>
  <si>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</si>
  <si>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</si>
  <si>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</si>
  <si>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</si>
  <si>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</si>
  <si>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</si>
  <si>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</si>
  <si>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</si>
  <si>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</si>
  <si>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</si>
  <si>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</si>
  <si>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</si>
  <si>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</si>
  <si>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</si>
  <si>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</si>
  <si>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</si>
  <si>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</si>
  <si>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</si>
  <si>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</si>
  <si>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</si>
  <si>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</si>
  <si>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</si>
  <si>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</si>
  <si>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</si>
  <si>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</si>
  <si>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</si>
  <si>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</si>
  <si>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</si>
  <si>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</si>
  <si>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</si>
  <si>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</si>
  <si>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</si>
  <si>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</si>
  <si>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</si>
  <si>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</si>
  <si>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</si>
  <si>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</si>
  <si>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</si>
  <si>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</si>
  <si>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</si>
  <si>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</si>
  <si>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</si>
  <si>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</si>
  <si>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</si>
  <si>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</si>
  <si>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</si>
  <si>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</si>
  <si>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</si>
  <si>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</si>
  <si>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</si>
  <si>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</si>
  <si>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</si>
  <si>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</si>
  <si>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</si>
  <si>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</si>
  <si>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</si>
  <si>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</si>
  <si>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</si>
  <si>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</si>
  <si>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</si>
  <si>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</si>
  <si>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</si>
  <si>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</si>
  <si>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</si>
  <si>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</si>
  <si>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</si>
  <si>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</si>
  <si>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</si>
  <si>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</si>
  <si>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</si>
  <si>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</si>
  <si>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</si>
  <si>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</si>
  <si>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</si>
  <si>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</si>
  <si>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</si>
  <si>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</si>
  <si>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</si>
  <si>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</si>
  <si>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</si>
  <si>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</si>
  <si>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</si>
  <si>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</si>
  <si>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</si>
  <si>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</si>
  <si>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</si>
  <si>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</si>
  <si>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</si>
  <si>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</si>
  <si>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</si>
  <si>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</si>
  <si>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</si>
  <si>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</si>
  <si>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</si>
  <si>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</si>
  <si>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</si>
  <si>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</si>
  <si>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</si>
  <si>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</si>
  <si>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</si>
  <si>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</si>
  <si>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</si>
  <si>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</si>
  <si>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</si>
  <si>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</si>
  <si>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</si>
  <si>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</si>
  <si>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</si>
  <si>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ANSv2-692-Home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</si>
  <si>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</si>
  <si>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</si>
  <si>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</si>
  <si>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</si>
  <si>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</si>
  <si>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</si>
  <si>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</si>
  <si>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</si>
  <si>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</si>
  <si>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PRC_CAPACT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</si>
  <si>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</si>
  <si>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</si>
  <si>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</si>
  <si>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</si>
  <si>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</si>
  <si>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</si>
  <si>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</si>
  <si>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</si>
  <si>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PRC_ACTUNT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</si>
  <si>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</si>
  <si>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</si>
  <si>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</si>
  <si>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</si>
  <si>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</si>
  <si>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</si>
  <si>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</si>
  <si>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</si>
  <si>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</si>
  <si>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</si>
  <si>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</si>
  <si>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</si>
  <si>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</si>
  <si>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</si>
  <si>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ACT_BND-UP</t>
  </si>
  <si>
    <t>PRC_ACTFLO</t>
  </si>
  <si>
    <t>ACT_BND-LO</t>
  </si>
  <si>
    <t>Existing Capacity</t>
  </si>
  <si>
    <t>Main activity flow</t>
  </si>
  <si>
    <t>Relationship between main activity flow and other flows</t>
  </si>
  <si>
    <t>Activity Limits</t>
  </si>
  <si>
    <t>Capacity to Activity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</si>
  <si>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</si>
  <si>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</si>
  <si>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</si>
  <si>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</si>
  <si>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</si>
  <si>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</si>
  <si>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</si>
  <si>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</si>
  <si>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</si>
  <si>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</si>
  <si>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</si>
  <si>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Lower bound act (interp.rule)</t>
  </si>
  <si>
    <t>Lower bound act</t>
  </si>
  <si>
    <t>Capacity Limit</t>
  </si>
  <si>
    <t>CAP_BND-UP</t>
  </si>
  <si>
    <t>CV (MJ/kg)</t>
  </si>
  <si>
    <t>LHV</t>
  </si>
  <si>
    <t>Options for Sectoral Naming</t>
  </si>
  <si>
    <t>INH</t>
  </si>
  <si>
    <t>UNH</t>
  </si>
  <si>
    <t>IAM</t>
  </si>
  <si>
    <t>UAM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</si>
  <si>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</si>
  <si>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</si>
  <si>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</si>
  <si>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</si>
  <si>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</si>
  <si>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</si>
  <si>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</si>
  <si>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</si>
  <si>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</si>
  <si>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</si>
  <si>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</si>
  <si>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</si>
  <si>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</si>
  <si>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</si>
  <si>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</si>
  <si>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</si>
  <si>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</si>
  <si>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</si>
  <si>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</si>
  <si>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</si>
  <si>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</si>
  <si>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</si>
  <si>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</si>
  <si>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</si>
  <si>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</si>
  <si>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</si>
  <si>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</si>
  <si>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Retirement Profile needs to be fine tuned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</si>
  <si>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</si>
  <si>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</si>
  <si>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</si>
  <si>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</si>
  <si>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</si>
  <si>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</si>
  <si>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</si>
  <si>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</si>
  <si>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</si>
  <si>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</si>
  <si>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</si>
  <si>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</si>
  <si>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</si>
  <si>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</si>
  <si>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</si>
  <si>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</si>
  <si>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</si>
  <si>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</si>
  <si>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</si>
  <si>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</si>
  <si>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INDBIO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</si>
  <si>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</si>
  <si>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</si>
  <si>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</si>
  <si>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</si>
  <si>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</si>
  <si>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</si>
  <si>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</si>
  <si>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</si>
  <si>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</si>
  <si>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</si>
  <si>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</si>
  <si>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</si>
  <si>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</si>
  <si>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</si>
  <si>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</si>
  <si>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</si>
  <si>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</si>
  <si>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</si>
  <si>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</si>
  <si>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</si>
  <si>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</si>
  <si>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</si>
  <si>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</si>
  <si>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</si>
  <si>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</si>
  <si>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</si>
  <si>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</si>
  <si>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</si>
  <si>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</si>
  <si>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</si>
  <si>
    <t>Reubens thesis</t>
  </si>
  <si>
    <t>Furnace route</t>
  </si>
  <si>
    <t>Characteristics</t>
  </si>
  <si>
    <r>
      <t>Open or semi-</t>
    </r>
    <r>
      <rPr>
        <b/>
        <sz val="11"/>
        <color rgb="FF000000"/>
        <rFont val="Times New Roman"/>
        <family val="1"/>
      </rPr>
      <t xml:space="preserve"> open submerged AC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</si>
  <si>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&lt;30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</si>
  <si>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70-75%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</si>
  <si>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4300 kWh/t</t>
    </r>
  </si>
  <si>
    <t>low cost</t>
  </si>
  <si>
    <t>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</si>
  <si>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&gt;135 MVA</t>
    </r>
  </si>
  <si>
    <t>CO recovery option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</si>
  <si>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83-87%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</si>
  <si>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3200 kWh/t</t>
    </r>
  </si>
  <si>
    <t>Prereduction preceding 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</si>
  <si>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60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</si>
  <si>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88-92% Cr recovery</t>
    </r>
  </si>
  <si>
    <t>High capital cost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</si>
  <si>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2400 kWh/t (Electrical energy only)</t>
    </r>
  </si>
  <si>
    <t>low coke consumption</t>
  </si>
  <si>
    <t>Open DC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</si>
  <si>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4300 kWh/t</t>
    </r>
  </si>
  <si>
    <t>Reuben's thesis</t>
  </si>
  <si>
    <t>Lion project:</t>
  </si>
  <si>
    <t>Company</t>
  </si>
  <si>
    <t>Production capacity (kt/year)</t>
  </si>
  <si>
    <t>Premus (lion)</t>
  </si>
  <si>
    <t>Outukumpu</t>
  </si>
  <si>
    <t>Conv. Closed</t>
  </si>
  <si>
    <t>Semi-closed</t>
  </si>
  <si>
    <t>Cogen?</t>
  </si>
  <si>
    <t>Prereduce</t>
  </si>
  <si>
    <t>https://www.engineeringnews.co.za/print-version/lion-ferrochrome-smelter-eastern-chrome-mines-restart-merafe-2020-05-08</t>
  </si>
  <si>
    <r>
      <t xml:space="preserve">Glencore Merafe </t>
    </r>
    <r>
      <rPr>
        <sz val="11"/>
        <color rgb="FF000000"/>
        <rFont val="Times New Roman"/>
        <family val="1"/>
      </rPr>
      <t>(Xstrata)</t>
    </r>
  </si>
  <si>
    <t>assume rest os Outukumpu</t>
  </si>
  <si>
    <t>no</t>
  </si>
  <si>
    <t>Samancor Chrome Limited</t>
  </si>
  <si>
    <t>Assume all closed + outukumpu. Henric assumed to be conventional</t>
  </si>
  <si>
    <t>(Samancor)</t>
  </si>
  <si>
    <t>billion ZAR for lion II</t>
  </si>
  <si>
    <t>Tata KZN</t>
  </si>
  <si>
    <t>assume</t>
  </si>
  <si>
    <t>Appear to be offline</t>
  </si>
  <si>
    <t>Mt Capacity of lion II</t>
  </si>
  <si>
    <t>Afarak</t>
  </si>
  <si>
    <t>Mt of lion I</t>
  </si>
  <si>
    <t>Includes Mogale alloys processing plant</t>
  </si>
  <si>
    <t>bn ZAR/Mt</t>
  </si>
  <si>
    <t>Hernic Ferrochrome</t>
  </si>
  <si>
    <t>Now owned by Samancor</t>
  </si>
  <si>
    <t>International Ferro Metals</t>
  </si>
  <si>
    <t>MW</t>
  </si>
  <si>
    <t>http://www.ifml.com/operations/project-development.html</t>
  </si>
  <si>
    <t>.</t>
  </si>
  <si>
    <t>(IFML)</t>
  </si>
  <si>
    <t>ASA Metals (Newco)</t>
  </si>
  <si>
    <t>https://www.miningweekly.com/print-version/asa-metals-builds-on-quality-2005-03-25</t>
  </si>
  <si>
    <t>Assmang Chrome</t>
  </si>
  <si>
    <t>https://www.miningweekly.com/article/technology-slashes-power-use-at-glencores-huge-s-african-chrome-smelter-2014-11-05/rep_id:3650</t>
  </si>
  <si>
    <t>Total South African capacity</t>
  </si>
  <si>
    <t>total capacity</t>
  </si>
  <si>
    <t>Mt</t>
  </si>
  <si>
    <t>Lion is preheat, prereduce and CO recovery (for drying and preheating)</t>
  </si>
  <si>
    <t>technology intensity</t>
  </si>
  <si>
    <t xml:space="preserve">MWh/tonne </t>
  </si>
  <si>
    <t>total elec:</t>
  </si>
  <si>
    <t>total gen:</t>
  </si>
  <si>
    <t>furnces total for company Glencore</t>
  </si>
  <si>
    <t>total net</t>
  </si>
  <si>
    <t>a mix of Semi-open furnaces some with Otukumpu pelletiser tech</t>
  </si>
  <si>
    <t>kWh/t avg - SA</t>
  </si>
  <si>
    <t>Close furnaces at Boshoek, uses outukumpu</t>
  </si>
  <si>
    <t>kWh/t avg - Glencore</t>
  </si>
  <si>
    <t>Lion furnaces (not clear if Lion II included) - using premus</t>
  </si>
  <si>
    <t>https://docplayer.net/86507326-Production-technologies-of-crm-from-primary.html</t>
  </si>
  <si>
    <t xml:space="preserve">Chapter 7 </t>
  </si>
  <si>
    <t>Conventional (AF)</t>
  </si>
  <si>
    <t>Energy and reductants characterisitics</t>
  </si>
  <si>
    <t>Reductants (source: Gegiba and Russ) - tonnes</t>
  </si>
  <si>
    <t>DC</t>
  </si>
  <si>
    <t>total</t>
  </si>
  <si>
    <t>Coke</t>
  </si>
  <si>
    <t>Char</t>
  </si>
  <si>
    <t>Anthracite</t>
  </si>
  <si>
    <t>no coke</t>
  </si>
  <si>
    <t>Conventional</t>
  </si>
  <si>
    <t>Pelletise, sinter, preheat</t>
  </si>
  <si>
    <t>Premus</t>
  </si>
  <si>
    <t>Recover CO gas for preheating</t>
  </si>
  <si>
    <t>"Premus was to reduce use of coke (high cost)" - Naiker 2006 Xstrata alloys profile</t>
  </si>
  <si>
    <t>"overall cant reduce reductants, just the type" - reuben thesis</t>
  </si>
  <si>
    <t>Sinter, pre-reduce, smelt</t>
  </si>
  <si>
    <t>CO gas + Coal for pre-reduce</t>
  </si>
  <si>
    <t>to report</t>
  </si>
  <si>
    <t>Conventional closed</t>
  </si>
  <si>
    <t>Onsite Elec gen. (MW)</t>
  </si>
  <si>
    <t>Notes</t>
  </si>
  <si>
    <t>Energy</t>
  </si>
  <si>
    <t>Electricity kWh/t FeCr</t>
  </si>
  <si>
    <t>references:</t>
  </si>
  <si>
    <t xml:space="preserve">Gediga and Russ, and </t>
  </si>
  <si>
    <t>Others</t>
  </si>
  <si>
    <t>Reductants (tonnes per t FeCr)</t>
  </si>
  <si>
    <t>Premus tech: asume half coke, increased anthracite</t>
  </si>
  <si>
    <t>coke</t>
  </si>
  <si>
    <t>Gediga and russ</t>
  </si>
  <si>
    <t>Gediga and Russ: Life Cycle Inventory (LCI) update of primary Ferrochrome production, 2007</t>
  </si>
  <si>
    <t>char</t>
  </si>
  <si>
    <t>anthracite</t>
  </si>
  <si>
    <t>Closed furnace without preheating</t>
  </si>
  <si>
    <t>subtotal</t>
  </si>
  <si>
    <t>kWh/kg</t>
  </si>
  <si>
    <t>Company capacity (Mt)</t>
  </si>
  <si>
    <t>kg reductants</t>
  </si>
  <si>
    <t>Includes Henric smelter (now owned by Samancor)</t>
  </si>
  <si>
    <t>of which:</t>
  </si>
  <si>
    <t>coal</t>
  </si>
  <si>
    <t>assume converted to conventional</t>
  </si>
  <si>
    <t>Total capacity</t>
  </si>
  <si>
    <t>assumptions on production levels</t>
  </si>
  <si>
    <t>Calibration check</t>
  </si>
  <si>
    <t>total here</t>
  </si>
  <si>
    <t>Total production</t>
  </si>
  <si>
    <t>diff to SAMI2018</t>
  </si>
  <si>
    <t>Consumption:</t>
  </si>
  <si>
    <t>Closed with preheating</t>
  </si>
  <si>
    <t>CV MJ/kg</t>
  </si>
  <si>
    <t>eskom incl. Manganese + silicon</t>
  </si>
  <si>
    <t>kWh</t>
  </si>
  <si>
    <t>reductants</t>
  </si>
  <si>
    <t>of which</t>
  </si>
  <si>
    <t>Aggregate intensity:</t>
  </si>
  <si>
    <t>kWh/tonne</t>
  </si>
  <si>
    <t>PJ/Mt</t>
  </si>
  <si>
    <t>Calibration fix</t>
  </si>
  <si>
    <t>FIX</t>
  </si>
  <si>
    <t>Mt - XMP coal for 2017 "mettalurgical" which is metals without steel sector</t>
  </si>
  <si>
    <t>Aggregate consumption</t>
  </si>
  <si>
    <t xml:space="preserve">Mt for Manganese </t>
  </si>
  <si>
    <t>PJ for Mn</t>
  </si>
  <si>
    <t>For report:</t>
  </si>
  <si>
    <t>Production</t>
  </si>
  <si>
    <t>Electricity consumption</t>
  </si>
  <si>
    <t>Net intensity</t>
  </si>
  <si>
    <t>Coal + Anthracite</t>
  </si>
  <si>
    <t>Bio-reductants</t>
  </si>
  <si>
    <t>CHAR:</t>
  </si>
  <si>
    <r>
      <t xml:space="preserve">Surup, G. R., Trubetskaya, A. and Tangstad, M. (2020) ‘Charcoal as an alternative reductant in ferroalloy production: A review’, </t>
    </r>
    <r>
      <rPr>
        <i/>
        <sz val="12"/>
        <color theme="1"/>
        <rFont val="Calibri"/>
        <family val="2"/>
        <scheme val="minor"/>
      </rPr>
      <t>Processes</t>
    </r>
    <r>
      <rPr>
        <sz val="10"/>
        <rFont val="Arial"/>
      </rPr>
      <t>, 8(11), pp. 1–41. doi: 10.3390/pr8111432.</t>
    </r>
  </si>
  <si>
    <t>Exarro opens char plant (2009)</t>
  </si>
  <si>
    <t>Charcoal kilns</t>
  </si>
  <si>
    <t>https://www.miningreview.com/top-stories/exxaro-opens-char-plant/</t>
  </si>
  <si>
    <t>efficiency</t>
  </si>
  <si>
    <t>Classic charcol kiln</t>
  </si>
  <si>
    <t>"officially opened its char plant alongside the Grootegeluk coal mine"</t>
  </si>
  <si>
    <t>Industrial retorts (kiln)</t>
  </si>
  <si>
    <t>"Char is a product that contains more than 80% fixed carbon and less than 5% volatile content. It is produced from metallurgical coal that contains more than 20% volatiles."</t>
  </si>
  <si>
    <t>kt.pa</t>
  </si>
  <si>
    <t>MODEL tech assumptions for phase 1 of NZ:</t>
  </si>
  <si>
    <t>Chrome existing</t>
  </si>
  <si>
    <t>assume mixture of current tech</t>
  </si>
  <si>
    <t xml:space="preserve">Chrome new </t>
  </si>
  <si>
    <t>assume all new furnace capacities would be most efficient but with biochar composition as today</t>
  </si>
  <si>
    <t>Chrome bio new</t>
  </si>
  <si>
    <t>assume new is most efficient route as above, but with biomass/char at 75% total reductant rest is coal+coke</t>
  </si>
  <si>
    <t>Chrome existing:</t>
  </si>
  <si>
    <t>Chrome new</t>
  </si>
  <si>
    <t>Chrome new biomass</t>
  </si>
  <si>
    <t>Biomass charring plant:</t>
  </si>
  <si>
    <t>Capacity Mt FeCr:</t>
  </si>
  <si>
    <t>Costs for biomass based plant:</t>
  </si>
  <si>
    <t>Capital cost</t>
  </si>
  <si>
    <t>assume extra for furnace operations, handling, other equipment</t>
  </si>
  <si>
    <t>Production in 2017</t>
  </si>
  <si>
    <t>Lifespan</t>
  </si>
  <si>
    <t>Costs for second stage pyrolysis:</t>
  </si>
  <si>
    <t>assume in addition</t>
  </si>
  <si>
    <t>Inputs:</t>
  </si>
  <si>
    <t>carbon content:</t>
  </si>
  <si>
    <t>assump</t>
  </si>
  <si>
    <t>MUST UPDATE THIS</t>
  </si>
  <si>
    <t>IndBiochar</t>
  </si>
  <si>
    <t xml:space="preserve">NOTE:This might actually be coal derived, not biomass. Char is 'activated carbon' basically. But the source of the carbon is not always clear in literature. </t>
  </si>
  <si>
    <t>It's coal char not bio</t>
  </si>
  <si>
    <t>http://www.fao.org/3/s4550e/s4550e09.htm#:~:text=Dried%20wood%20can%20give%204500,little%20around%207500%20Kcal%2Fkg.</t>
  </si>
  <si>
    <t>kcal/kg</t>
  </si>
  <si>
    <t>CO2SP</t>
  </si>
  <si>
    <t>KJ/kg</t>
  </si>
  <si>
    <t>charcoal</t>
  </si>
  <si>
    <t>twin retort kiln:</t>
  </si>
  <si>
    <t>FAO - BIOENERGY AND FOOD SECURITY RAPID APPRAISAL (BEFS RA) charcoal</t>
  </si>
  <si>
    <t>life"</t>
  </si>
  <si>
    <t>years</t>
  </si>
  <si>
    <t>http://www.fao.org/3/bp846e/bp846e.pdf</t>
  </si>
  <si>
    <t>USD $ /t</t>
  </si>
  <si>
    <t>In 2008</t>
  </si>
  <si>
    <t>in 2019</t>
  </si>
  <si>
    <t>2015 ZAR</t>
  </si>
  <si>
    <t>2019USD to 2015ZAR</t>
  </si>
  <si>
    <t>2008 to 2019</t>
  </si>
  <si>
    <t>GW</t>
  </si>
  <si>
    <t>W/m2</t>
  </si>
  <si>
    <t>m^2</t>
  </si>
  <si>
    <t>m</t>
  </si>
  <si>
    <t>Emissions factor</t>
  </si>
  <si>
    <t>from GHGinv</t>
  </si>
  <si>
    <t>need to update this factor</t>
  </si>
  <si>
    <t>SAMI 2018 report</t>
  </si>
  <si>
    <t>From NIR 2017 (presumably SAMI is the source)</t>
  </si>
  <si>
    <t>Activity tonnes per year</t>
  </si>
  <si>
    <t>Unit</t>
  </si>
  <si>
    <t>Ferrochromium</t>
  </si>
  <si>
    <t>tonnes</t>
  </si>
  <si>
    <t>Ferromanganeses (7% C)</t>
  </si>
  <si>
    <t>Ferromanganeses (1% C)</t>
  </si>
  <si>
    <t>Ferrosilicon 65% Si</t>
  </si>
  <si>
    <t>Silicon metal</t>
  </si>
  <si>
    <t>Summarised tonnes per year</t>
  </si>
  <si>
    <t>FerroChrome</t>
  </si>
  <si>
    <t>FerroManganese</t>
  </si>
  <si>
    <t>FerroSilicon</t>
  </si>
  <si>
    <t>Total</t>
  </si>
  <si>
    <t>Max value 2005 - 2017 from NIR 2017</t>
  </si>
  <si>
    <t xml:space="preserve">Summarised tonnes  per year </t>
  </si>
  <si>
    <t>total:</t>
  </si>
  <si>
    <t>From SAMI report 2018:</t>
  </si>
  <si>
    <t>YEAR</t>
  </si>
  <si>
    <t>PRODUCTION</t>
  </si>
  <si>
    <t>LOCAL SALES</t>
  </si>
  <si>
    <t>EXPORT SALES</t>
  </si>
  <si>
    <t>Mass</t>
  </si>
  <si>
    <t>Unit Value</t>
  </si>
  <si>
    <t>Mass       Value</t>
  </si>
  <si>
    <t>kt</t>
  </si>
  <si>
    <t>R' 000</t>
  </si>
  <si>
    <t>R/t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</si>
</sst>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  <numFmt numFmtId="169" formatCode="_ * #,##0.00_ ;_ * \-#,##0.00_ ;_ * &quot;-&quot;??_ ;_ @_ "/>
    <numFmt numFmtId="170" formatCode="_ * #,##0_ ;_ * \-#,##0_ ;_ * &quot;-&quot;??_ ;_ @_ "/>
    <numFmt numFmtId="171" formatCode="_-* #,##0_-;\-* #,##0_-;_-* &quot;-&quot;??_-;_-@_-"/>
    <numFmt numFmtId="172" formatCode="0.0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BE8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thin">
        <color indexed="64"/>
      </left>
      <right style="medium">
        <color rgb="FF9CC2E4"/>
      </right>
      <top/>
      <bottom/>
      <diagonal/>
    </border>
    <border>
      <left/>
      <right style="medium">
        <color rgb="FF9CC2E4"/>
      </right>
      <top/>
      <bottom/>
      <diagonal/>
    </border>
    <border>
      <left style="thin">
        <color indexed="64"/>
      </left>
      <right style="medium">
        <color rgb="FF9CC2E4"/>
      </right>
      <top/>
      <bottom style="medium">
        <color rgb="FF9CC2E4"/>
      </bottom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 style="thin">
        <color indexed="64"/>
      </left>
      <right style="medium">
        <color rgb="FF9CC2E4"/>
      </right>
      <top style="medium">
        <color rgb="FF9CC2E4"/>
      </top>
      <bottom/>
      <diagonal/>
    </border>
    <border>
      <left style="thin">
        <color indexed="64"/>
      </left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/>
      <diagonal/>
    </border>
    <border>
      <left style="medium">
        <color rgb="FFA8D08D"/>
      </left>
      <right/>
      <top style="medium">
        <color rgb="FFA8D08D"/>
      </top>
      <bottom/>
      <diagonal/>
    </border>
    <border>
      <left style="medium">
        <color rgb="FFA8D08D"/>
      </left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7">
    <xf numFmtId="0" fontId="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1" fillId="4" borderId="0" applyNumberFormat="0" applyBorder="0" applyAlignment="0" applyProtection="0"/>
    <xf numFmtId="0" fontId="42" fillId="5" borderId="16" applyNumberFormat="0" applyAlignment="0" applyProtection="0"/>
    <xf numFmtId="0" fontId="47" fillId="0" borderId="0"/>
    <xf numFmtId="0" fontId="56" fillId="0" borderId="0" applyNumberFormat="0" applyFill="0" applyBorder="0" applyAlignment="0" applyProtection="0"/>
    <xf numFmtId="169" fontId="47" fillId="0" borderId="0" applyFont="0" applyFill="0" applyBorder="0" applyAlignment="0" applyProtection="0"/>
    <xf numFmtId="9" fontId="47" fillId="0" borderId="0" applyFont="0" applyFill="0" applyBorder="0" applyAlignment="0" applyProtection="0"/>
  </cellStyleXfs>
  <cellXfs count="270">
    <xf numFmtId="0" fontId="0" fillId="0" borderId="0" xfId="0"/>
    <xf numFmtId="0" fontId="1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0" fontId="11" fillId="0" borderId="0" xfId="1" applyFont="1"/>
    <xf numFmtId="0" fontId="17" fillId="0" borderId="0" xfId="1"/>
    <xf numFmtId="0" fontId="14" fillId="0" borderId="0" xfId="1" applyFont="1"/>
    <xf numFmtId="0" fontId="20" fillId="0" borderId="0" xfId="1" applyFont="1"/>
    <xf numFmtId="0" fontId="13" fillId="0" borderId="0" xfId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5" fillId="0" borderId="0" xfId="1" applyFont="1"/>
    <xf numFmtId="0" fontId="22" fillId="0" borderId="0" xfId="1" applyFont="1"/>
    <xf numFmtId="0" fontId="23" fillId="0" borderId="0" xfId="1" applyFont="1"/>
    <xf numFmtId="49" fontId="22" fillId="0" borderId="0" xfId="0" applyNumberFormat="1" applyFont="1" applyAlignment="1">
      <alignment horizontal="left"/>
    </xf>
    <xf numFmtId="0" fontId="24" fillId="0" borderId="0" xfId="1" applyFont="1"/>
    <xf numFmtId="0" fontId="18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wrapText="1"/>
    </xf>
    <xf numFmtId="0" fontId="20" fillId="0" borderId="0" xfId="0" applyFont="1"/>
    <xf numFmtId="0" fontId="23" fillId="3" borderId="0" xfId="0" applyFont="1" applyFill="1"/>
    <xf numFmtId="0" fontId="23" fillId="3" borderId="0" xfId="1" applyFont="1" applyFill="1"/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7" fillId="0" borderId="0" xfId="3" applyFont="1"/>
    <xf numFmtId="0" fontId="14" fillId="0" borderId="0" xfId="3" applyFont="1"/>
    <xf numFmtId="0" fontId="14" fillId="0" borderId="0" xfId="2" applyFont="1" applyAlignment="1">
      <alignment horizontal="center"/>
    </xf>
    <xf numFmtId="0" fontId="14" fillId="0" borderId="0" xfId="2" applyFont="1"/>
    <xf numFmtId="0" fontId="17" fillId="0" borderId="0" xfId="3"/>
    <xf numFmtId="0" fontId="29" fillId="0" borderId="0" xfId="1" applyFont="1"/>
    <xf numFmtId="0" fontId="30" fillId="0" borderId="0" xfId="2" applyFont="1"/>
    <xf numFmtId="0" fontId="24" fillId="0" borderId="0" xfId="2" applyFont="1"/>
    <xf numFmtId="0" fontId="30" fillId="0" borderId="0" xfId="3" applyFont="1"/>
    <xf numFmtId="0" fontId="30" fillId="0" borderId="0" xfId="1" applyFont="1"/>
    <xf numFmtId="0" fontId="28" fillId="0" borderId="0" xfId="1" applyFont="1"/>
    <xf numFmtId="0" fontId="23" fillId="0" borderId="0" xfId="2" applyFont="1" applyAlignment="1">
      <alignment horizontal="center"/>
    </xf>
    <xf numFmtId="0" fontId="14" fillId="0" borderId="0" xfId="2" applyFont="1" applyAlignment="1">
      <alignment horizontal="right"/>
    </xf>
    <xf numFmtId="0" fontId="23" fillId="0" borderId="0" xfId="2" applyFont="1"/>
    <xf numFmtId="0" fontId="24" fillId="0" borderId="0" xfId="0" applyFont="1"/>
    <xf numFmtId="0" fontId="9" fillId="0" borderId="0" xfId="12"/>
    <xf numFmtId="0" fontId="26" fillId="0" borderId="0" xfId="12" applyFont="1"/>
    <xf numFmtId="0" fontId="9" fillId="0" borderId="5" xfId="12" applyBorder="1" applyAlignment="1">
      <alignment horizontal="center"/>
    </xf>
    <xf numFmtId="0" fontId="9" fillId="0" borderId="0" xfId="12" applyAlignment="1">
      <alignment horizontal="center"/>
    </xf>
    <xf numFmtId="0" fontId="9" fillId="0" borderId="14" xfId="12" applyBorder="1" applyAlignment="1">
      <alignment horizontal="center"/>
    </xf>
    <xf numFmtId="0" fontId="9" fillId="0" borderId="4" xfId="12" applyBorder="1" applyAlignment="1">
      <alignment horizontal="center"/>
    </xf>
    <xf numFmtId="0" fontId="9" fillId="0" borderId="9" xfId="12" applyBorder="1" applyAlignment="1">
      <alignment horizontal="center"/>
    </xf>
    <xf numFmtId="0" fontId="9" fillId="0" borderId="4" xfId="12" applyBorder="1"/>
    <xf numFmtId="0" fontId="9" fillId="0" borderId="14" xfId="12" applyBorder="1"/>
    <xf numFmtId="0" fontId="9" fillId="0" borderId="8" xfId="12" applyBorder="1" applyAlignment="1">
      <alignment horizontal="center"/>
    </xf>
    <xf numFmtId="0" fontId="9" fillId="0" borderId="10" xfId="12" applyBorder="1" applyAlignment="1">
      <alignment horizontal="center"/>
    </xf>
    <xf numFmtId="0" fontId="9" fillId="0" borderId="3" xfId="12" applyBorder="1" applyAlignment="1">
      <alignment horizontal="center"/>
    </xf>
    <xf numFmtId="0" fontId="9" fillId="0" borderId="1" xfId="12" applyBorder="1" applyAlignment="1">
      <alignment horizontal="center"/>
    </xf>
    <xf numFmtId="0" fontId="9" fillId="0" borderId="6" xfId="12" applyBorder="1" applyAlignment="1">
      <alignment horizontal="center"/>
    </xf>
    <xf numFmtId="0" fontId="35" fillId="0" borderId="15" xfId="12" applyFont="1" applyBorder="1" applyAlignment="1">
      <alignment horizontal="center"/>
    </xf>
    <xf numFmtId="0" fontId="9" fillId="0" borderId="5" xfId="12" applyBorder="1"/>
    <xf numFmtId="0" fontId="9" fillId="0" borderId="15" xfId="12" applyBorder="1" applyAlignment="1">
      <alignment horizontal="center"/>
    </xf>
    <xf numFmtId="0" fontId="9" fillId="0" borderId="12" xfId="12" applyBorder="1" applyAlignment="1">
      <alignment horizontal="center"/>
    </xf>
    <xf numFmtId="0" fontId="33" fillId="0" borderId="0" xfId="12" applyFont="1"/>
    <xf numFmtId="0" fontId="35" fillId="0" borderId="0" xfId="12" applyFont="1"/>
    <xf numFmtId="0" fontId="32" fillId="0" borderId="0" xfId="12" applyFont="1"/>
    <xf numFmtId="0" fontId="34" fillId="0" borderId="0" xfId="12" applyFont="1"/>
    <xf numFmtId="0" fontId="32" fillId="0" borderId="14" xfId="12" applyFont="1" applyBorder="1" applyAlignment="1">
      <alignment horizontal="center"/>
    </xf>
    <xf numFmtId="0" fontId="36" fillId="0" borderId="0" xfId="12" applyFont="1"/>
    <xf numFmtId="0" fontId="9" fillId="0" borderId="5" xfId="12" applyBorder="1" applyAlignment="1">
      <alignment horizontal="center" textRotation="90"/>
    </xf>
    <xf numFmtId="0" fontId="9" fillId="0" borderId="4" xfId="12" applyBorder="1" applyAlignment="1">
      <alignment horizontal="center" textRotation="90"/>
    </xf>
    <xf numFmtId="0" fontId="9" fillId="0" borderId="0" xfId="12" applyAlignment="1">
      <alignment horizontal="center" textRotation="90"/>
    </xf>
    <xf numFmtId="0" fontId="17" fillId="0" borderId="0" xfId="0" applyFont="1"/>
    <xf numFmtId="0" fontId="8" fillId="0" borderId="5" xfId="12" applyFont="1" applyBorder="1" applyAlignment="1">
      <alignment horizontal="center" textRotation="90"/>
    </xf>
    <xf numFmtId="167" fontId="14" fillId="0" borderId="0" xfId="2" applyNumberFormat="1" applyFont="1"/>
    <xf numFmtId="0" fontId="39" fillId="0" borderId="17" xfId="19"/>
    <xf numFmtId="0" fontId="0" fillId="0" borderId="4" xfId="0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9" fillId="0" borderId="0" xfId="19" applyBorder="1"/>
    <xf numFmtId="0" fontId="0" fillId="0" borderId="1" xfId="0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7" fillId="0" borderId="7" xfId="0" applyFont="1" applyBorder="1"/>
    <xf numFmtId="2" fontId="0" fillId="0" borderId="2" xfId="0" applyNumberFormat="1" applyBorder="1"/>
    <xf numFmtId="0" fontId="17" fillId="0" borderId="2" xfId="0" applyFont="1" applyBorder="1"/>
    <xf numFmtId="0" fontId="0" fillId="0" borderId="13" xfId="0" applyBorder="1"/>
    <xf numFmtId="0" fontId="0" fillId="0" borderId="11" xfId="0" applyBorder="1"/>
    <xf numFmtId="0" fontId="17" fillId="0" borderId="11" xfId="0" applyFont="1" applyBorder="1"/>
    <xf numFmtId="0" fontId="0" fillId="0" borderId="12" xfId="0" applyBorder="1"/>
    <xf numFmtId="2" fontId="14" fillId="0" borderId="0" xfId="0" applyNumberFormat="1" applyFont="1"/>
    <xf numFmtId="0" fontId="23" fillId="0" borderId="0" xfId="2" applyFont="1" applyAlignment="1">
      <alignment wrapText="1"/>
    </xf>
    <xf numFmtId="168" fontId="0" fillId="0" borderId="3" xfId="18" applyNumberFormat="1" applyFont="1" applyBorder="1"/>
    <xf numFmtId="0" fontId="14" fillId="0" borderId="0" xfId="2" applyFont="1" applyAlignment="1">
      <alignment wrapText="1"/>
    </xf>
    <xf numFmtId="165" fontId="14" fillId="0" borderId="0" xfId="0" applyNumberFormat="1" applyFont="1"/>
    <xf numFmtId="165" fontId="14" fillId="0" borderId="0" xfId="0" applyNumberFormat="1" applyFont="1" applyAlignment="1">
      <alignment horizontal="center"/>
    </xf>
    <xf numFmtId="0" fontId="42" fillId="5" borderId="16" xfId="22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2" applyFont="1" applyAlignment="1">
      <alignment horizontal="left"/>
    </xf>
    <xf numFmtId="0" fontId="14" fillId="0" borderId="0" xfId="0" applyFont="1" applyAlignment="1">
      <alignment horizontal="left"/>
    </xf>
    <xf numFmtId="166" fontId="14" fillId="0" borderId="0" xfId="0" applyNumberFormat="1" applyFont="1" applyAlignment="1">
      <alignment horizontal="center"/>
    </xf>
    <xf numFmtId="0" fontId="7" fillId="0" borderId="5" xfId="12" applyFont="1" applyBorder="1" applyAlignment="1">
      <alignment horizontal="center" textRotation="90"/>
    </xf>
    <xf numFmtId="0" fontId="40" fillId="0" borderId="19" xfId="20" applyBorder="1" applyAlignment="1">
      <alignment horizontal="center"/>
    </xf>
    <xf numFmtId="0" fontId="6" fillId="0" borderId="5" xfId="12" applyFont="1" applyBorder="1" applyAlignment="1">
      <alignment horizontal="center" textRotation="90"/>
    </xf>
    <xf numFmtId="0" fontId="9" fillId="0" borderId="13" xfId="12" applyBorder="1" applyAlignment="1">
      <alignment horizontal="center"/>
    </xf>
    <xf numFmtId="165" fontId="17" fillId="0" borderId="5" xfId="0" applyNumberFormat="1" applyFont="1" applyBorder="1"/>
    <xf numFmtId="165" fontId="17" fillId="0" borderId="2" xfId="0" applyNumberFormat="1" applyFont="1" applyBorder="1"/>
    <xf numFmtId="2" fontId="17" fillId="0" borderId="11" xfId="0" applyNumberFormat="1" applyFont="1" applyBorder="1"/>
    <xf numFmtId="0" fontId="17" fillId="0" borderId="3" xfId="0" applyFont="1" applyBorder="1"/>
    <xf numFmtId="0" fontId="5" fillId="0" borderId="5" xfId="12" applyFont="1" applyBorder="1" applyAlignment="1">
      <alignment horizontal="center" textRotation="90"/>
    </xf>
    <xf numFmtId="2" fontId="17" fillId="0" borderId="2" xfId="0" applyNumberFormat="1" applyFont="1" applyBorder="1"/>
    <xf numFmtId="0" fontId="4" fillId="0" borderId="0" xfId="12" applyFont="1"/>
    <xf numFmtId="0" fontId="4" fillId="0" borderId="5" xfId="12" applyFont="1" applyBorder="1" applyAlignment="1">
      <alignment horizontal="center" textRotation="90"/>
    </xf>
    <xf numFmtId="0" fontId="44" fillId="6" borderId="20" xfId="0" applyFont="1" applyFill="1" applyBorder="1" applyAlignment="1">
      <alignment horizontal="center" vertical="center"/>
    </xf>
    <xf numFmtId="0" fontId="44" fillId="6" borderId="21" xfId="0" applyFont="1" applyFill="1" applyBorder="1" applyAlignment="1">
      <alignment horizontal="center" vertical="center"/>
    </xf>
    <xf numFmtId="0" fontId="43" fillId="0" borderId="22" xfId="0" applyFont="1" applyBorder="1" applyAlignment="1">
      <alignment vertical="center"/>
    </xf>
    <xf numFmtId="0" fontId="43" fillId="0" borderId="23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3" fillId="0" borderId="24" xfId="0" applyFont="1" applyBorder="1" applyAlignment="1">
      <alignment vertical="center"/>
    </xf>
    <xf numFmtId="0" fontId="17" fillId="0" borderId="13" xfId="0" applyFont="1" applyBorder="1"/>
    <xf numFmtId="2" fontId="41" fillId="4" borderId="11" xfId="21" applyNumberFormat="1" applyBorder="1"/>
    <xf numFmtId="0" fontId="3" fillId="0" borderId="5" xfId="12" applyFont="1" applyBorder="1" applyAlignment="1">
      <alignment horizontal="center" textRotation="90"/>
    </xf>
    <xf numFmtId="0" fontId="2" fillId="0" borderId="5" xfId="12" applyFont="1" applyBorder="1" applyAlignment="1">
      <alignment horizontal="center" textRotation="90"/>
    </xf>
    <xf numFmtId="0" fontId="2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4" fillId="0" borderId="0" xfId="0" applyNumberFormat="1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wrapText="1"/>
    </xf>
    <xf numFmtId="0" fontId="41" fillId="4" borderId="0" xfId="21" applyAlignment="1">
      <alignment horizontal="center"/>
    </xf>
    <xf numFmtId="0" fontId="41" fillId="4" borderId="0" xfId="21"/>
    <xf numFmtId="0" fontId="1" fillId="0" borderId="9" xfId="12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1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  <xf numFmtId="0" fontId="48" fillId="0" borderId="0" xfId="23" applyFont="1"/>
    <xf numFmtId="0" fontId="47" fillId="0" borderId="0" xfId="23"/>
    <xf numFmtId="0" fontId="47" fillId="0" borderId="1" xfId="23" applyBorder="1"/>
    <xf numFmtId="0" fontId="47" fillId="0" borderId="2" xfId="23" applyBorder="1"/>
    <xf numFmtId="0" fontId="47" fillId="0" borderId="3" xfId="23" applyBorder="1"/>
    <xf numFmtId="0" fontId="49" fillId="7" borderId="25" xfId="23" applyFont="1" applyFill="1" applyBorder="1" applyAlignment="1">
      <alignment horizontal="center" vertical="center" wrapText="1"/>
    </xf>
    <xf numFmtId="0" fontId="51" fillId="7" borderId="26" xfId="23" applyFont="1" applyFill="1" applyBorder="1" applyAlignment="1">
      <alignment horizontal="left" vertical="center" wrapText="1" indent="2"/>
    </xf>
    <xf numFmtId="0" fontId="47" fillId="0" borderId="5" xfId="23" applyBorder="1"/>
    <xf numFmtId="0" fontId="49" fillId="7" borderId="27" xfId="23" applyFont="1" applyFill="1" applyBorder="1" applyAlignment="1">
      <alignment horizontal="center" vertical="center" wrapText="1"/>
    </xf>
    <xf numFmtId="0" fontId="51" fillId="7" borderId="28" xfId="23" applyFont="1" applyFill="1" applyBorder="1" applyAlignment="1">
      <alignment horizontal="left" vertical="center" wrapText="1" indent="2"/>
    </xf>
    <xf numFmtId="0" fontId="49" fillId="0" borderId="29" xfId="23" applyFont="1" applyBorder="1" applyAlignment="1">
      <alignment horizontal="center" vertical="center" wrapText="1"/>
    </xf>
    <xf numFmtId="0" fontId="51" fillId="0" borderId="26" xfId="23" applyFont="1" applyBorder="1" applyAlignment="1">
      <alignment horizontal="left" vertical="center" wrapText="1" indent="2"/>
    </xf>
    <xf numFmtId="0" fontId="49" fillId="0" borderId="25" xfId="23" applyFont="1" applyBorder="1" applyAlignment="1">
      <alignment horizontal="center" vertical="center" wrapText="1"/>
    </xf>
    <xf numFmtId="0" fontId="49" fillId="0" borderId="27" xfId="23" applyFont="1" applyBorder="1" applyAlignment="1">
      <alignment horizontal="center" vertical="center" wrapText="1"/>
    </xf>
    <xf numFmtId="0" fontId="51" fillId="0" borderId="28" xfId="23" applyFont="1" applyBorder="1" applyAlignment="1">
      <alignment horizontal="left" vertical="center" wrapText="1" indent="2"/>
    </xf>
    <xf numFmtId="0" fontId="47" fillId="0" borderId="4" xfId="23" applyBorder="1"/>
    <xf numFmtId="0" fontId="55" fillId="8" borderId="4" xfId="23" applyFont="1" applyFill="1" applyBorder="1" applyAlignment="1">
      <alignment horizontal="center" vertical="center" wrapText="1"/>
    </xf>
    <xf numFmtId="0" fontId="55" fillId="8" borderId="0" xfId="23" applyFont="1" applyFill="1" applyAlignment="1">
      <alignment horizontal="left" vertical="center" wrapText="1" indent="4"/>
    </xf>
    <xf numFmtId="0" fontId="56" fillId="0" borderId="1" xfId="24" applyBorder="1"/>
    <xf numFmtId="0" fontId="50" fillId="9" borderId="30" xfId="23" applyFont="1" applyFill="1" applyBorder="1" applyAlignment="1">
      <alignment horizontal="center" vertical="center" wrapText="1"/>
    </xf>
    <xf numFmtId="0" fontId="53" fillId="9" borderId="31" xfId="23" applyFont="1" applyFill="1" applyBorder="1" applyAlignment="1">
      <alignment horizontal="center" vertical="center" wrapText="1"/>
    </xf>
    <xf numFmtId="0" fontId="49" fillId="0" borderId="32" xfId="23" applyFont="1" applyBorder="1" applyAlignment="1">
      <alignment horizontal="center" vertical="center" wrapText="1"/>
    </xf>
    <xf numFmtId="0" fontId="54" fillId="0" borderId="33" xfId="23" applyFont="1" applyBorder="1" applyAlignment="1">
      <alignment horizontal="center" vertical="center" wrapText="1"/>
    </xf>
    <xf numFmtId="0" fontId="47" fillId="3" borderId="0" xfId="23" applyFill="1"/>
    <xf numFmtId="0" fontId="54" fillId="0" borderId="30" xfId="23" applyFont="1" applyBorder="1" applyAlignment="1">
      <alignment horizontal="center" vertical="center" wrapText="1"/>
    </xf>
    <xf numFmtId="0" fontId="54" fillId="0" borderId="34" xfId="23" applyFont="1" applyBorder="1" applyAlignment="1">
      <alignment horizontal="center" vertical="center" wrapText="1"/>
    </xf>
    <xf numFmtId="9" fontId="47" fillId="0" borderId="0" xfId="23" applyNumberFormat="1"/>
    <xf numFmtId="0" fontId="56" fillId="0" borderId="0" xfId="24"/>
    <xf numFmtId="0" fontId="47" fillId="0" borderId="6" xfId="23" applyBorder="1"/>
    <xf numFmtId="0" fontId="47" fillId="0" borderId="7" xfId="23" applyBorder="1"/>
    <xf numFmtId="0" fontId="47" fillId="0" borderId="8" xfId="23" applyBorder="1"/>
    <xf numFmtId="0" fontId="49" fillId="0" borderId="30" xfId="23" applyFont="1" applyBorder="1" applyAlignment="1">
      <alignment horizontal="center" vertical="center" wrapText="1"/>
    </xf>
    <xf numFmtId="0" fontId="54" fillId="0" borderId="31" xfId="23" applyFont="1" applyBorder="1" applyAlignment="1">
      <alignment horizontal="center" vertical="center" wrapText="1"/>
    </xf>
    <xf numFmtId="0" fontId="56" fillId="0" borderId="4" xfId="24" applyBorder="1"/>
    <xf numFmtId="0" fontId="50" fillId="9" borderId="35" xfId="23" applyFont="1" applyFill="1" applyBorder="1" applyAlignment="1">
      <alignment horizontal="center" vertical="center" wrapText="1"/>
    </xf>
    <xf numFmtId="0" fontId="53" fillId="9" borderId="7" xfId="23" applyFont="1" applyFill="1" applyBorder="1" applyAlignment="1">
      <alignment horizontal="center" vertical="center" wrapText="1"/>
    </xf>
    <xf numFmtId="169" fontId="57" fillId="0" borderId="0" xfId="25" applyFont="1"/>
    <xf numFmtId="170" fontId="57" fillId="0" borderId="0" xfId="25" applyNumberFormat="1" applyFont="1"/>
    <xf numFmtId="0" fontId="57" fillId="0" borderId="0" xfId="23" applyFont="1"/>
    <xf numFmtId="170" fontId="47" fillId="0" borderId="0" xfId="23" applyNumberFormat="1"/>
    <xf numFmtId="171" fontId="47" fillId="0" borderId="0" xfId="23" applyNumberFormat="1"/>
    <xf numFmtId="1" fontId="47" fillId="0" borderId="0" xfId="23" applyNumberFormat="1"/>
    <xf numFmtId="0" fontId="57" fillId="0" borderId="4" xfId="23" applyFont="1" applyBorder="1"/>
    <xf numFmtId="0" fontId="57" fillId="3" borderId="0" xfId="23" applyFont="1" applyFill="1"/>
    <xf numFmtId="0" fontId="47" fillId="0" borderId="10" xfId="23" applyBorder="1"/>
    <xf numFmtId="0" fontId="57" fillId="0" borderId="10" xfId="23" applyFont="1" applyBorder="1"/>
    <xf numFmtId="0" fontId="58" fillId="0" borderId="10" xfId="23" applyFont="1" applyBorder="1"/>
    <xf numFmtId="2" fontId="58" fillId="0" borderId="10" xfId="23" applyNumberFormat="1" applyFont="1" applyBorder="1"/>
    <xf numFmtId="2" fontId="57" fillId="0" borderId="10" xfId="23" applyNumberFormat="1" applyFont="1" applyBorder="1"/>
    <xf numFmtId="2" fontId="47" fillId="0" borderId="10" xfId="23" applyNumberFormat="1" applyBorder="1"/>
    <xf numFmtId="9" fontId="47" fillId="0" borderId="10" xfId="23" applyNumberFormat="1" applyBorder="1"/>
    <xf numFmtId="9" fontId="47" fillId="3" borderId="10" xfId="23" applyNumberFormat="1" applyFill="1" applyBorder="1"/>
    <xf numFmtId="9" fontId="47" fillId="3" borderId="0" xfId="23" applyNumberFormat="1" applyFill="1"/>
    <xf numFmtId="0" fontId="57" fillId="0" borderId="0" xfId="23" applyFont="1" applyAlignment="1">
      <alignment horizontal="right"/>
    </xf>
    <xf numFmtId="0" fontId="47" fillId="0" borderId="0" xfId="23" applyAlignment="1">
      <alignment horizontal="right"/>
    </xf>
    <xf numFmtId="171" fontId="47" fillId="0" borderId="4" xfId="23" applyNumberFormat="1" applyBorder="1"/>
    <xf numFmtId="2" fontId="47" fillId="0" borderId="0" xfId="23" applyNumberFormat="1"/>
    <xf numFmtId="2" fontId="47" fillId="0" borderId="4" xfId="23" applyNumberFormat="1" applyBorder="1"/>
    <xf numFmtId="2" fontId="47" fillId="0" borderId="6" xfId="23" applyNumberFormat="1" applyBorder="1"/>
    <xf numFmtId="0" fontId="57" fillId="0" borderId="0" xfId="23" applyFont="1" applyAlignment="1">
      <alignment horizontal="left"/>
    </xf>
    <xf numFmtId="43" fontId="47" fillId="0" borderId="0" xfId="23" applyNumberFormat="1"/>
    <xf numFmtId="2" fontId="59" fillId="0" borderId="0" xfId="23" applyNumberFormat="1" applyFont="1"/>
    <xf numFmtId="0" fontId="59" fillId="0" borderId="0" xfId="23" applyFont="1"/>
    <xf numFmtId="0" fontId="47" fillId="10" borderId="0" xfId="23" applyFill="1"/>
    <xf numFmtId="165" fontId="47" fillId="0" borderId="10" xfId="23" applyNumberFormat="1" applyBorder="1"/>
    <xf numFmtId="171" fontId="47" fillId="0" borderId="10" xfId="23" applyNumberFormat="1" applyBorder="1"/>
    <xf numFmtId="0" fontId="59" fillId="0" borderId="4" xfId="23" applyFont="1" applyBorder="1"/>
    <xf numFmtId="0" fontId="60" fillId="0" borderId="0" xfId="23" applyFont="1"/>
    <xf numFmtId="9" fontId="0" fillId="0" borderId="0" xfId="26" applyFont="1"/>
    <xf numFmtId="172" fontId="47" fillId="0" borderId="0" xfId="23" applyNumberFormat="1"/>
    <xf numFmtId="9" fontId="47" fillId="0" borderId="1" xfId="23" applyNumberFormat="1" applyBorder="1"/>
    <xf numFmtId="9" fontId="47" fillId="0" borderId="4" xfId="23" applyNumberFormat="1" applyBorder="1"/>
    <xf numFmtId="9" fontId="47" fillId="0" borderId="6" xfId="23" applyNumberFormat="1" applyBorder="1"/>
    <xf numFmtId="2" fontId="57" fillId="0" borderId="0" xfId="23" applyNumberFormat="1" applyFont="1"/>
    <xf numFmtId="172" fontId="57" fillId="0" borderId="0" xfId="23" applyNumberFormat="1" applyFont="1"/>
    <xf numFmtId="165" fontId="47" fillId="0" borderId="0" xfId="23" applyNumberFormat="1"/>
    <xf numFmtId="170" fontId="0" fillId="0" borderId="0" xfId="25" applyNumberFormat="1" applyFont="1"/>
    <xf numFmtId="0" fontId="61" fillId="0" borderId="0" xfId="23" applyFont="1"/>
    <xf numFmtId="0" fontId="57" fillId="0" borderId="1" xfId="23" applyFont="1" applyBorder="1"/>
    <xf numFmtId="0" fontId="57" fillId="0" borderId="2" xfId="23" applyFont="1" applyBorder="1"/>
    <xf numFmtId="170" fontId="0" fillId="0" borderId="0" xfId="25" applyNumberFormat="1" applyFont="1" applyBorder="1"/>
    <xf numFmtId="0" fontId="47" fillId="0" borderId="2" xfId="23" applyBorder="1" applyAlignment="1">
      <alignment wrapText="1"/>
    </xf>
    <xf numFmtId="0" fontId="62" fillId="11" borderId="36" xfId="23" applyFont="1" applyFill="1" applyBorder="1" applyAlignment="1">
      <alignment horizontal="left" vertical="top" wrapText="1" indent="1"/>
    </xf>
    <xf numFmtId="0" fontId="62" fillId="11" borderId="37" xfId="23" applyFont="1" applyFill="1" applyBorder="1" applyAlignment="1">
      <alignment horizontal="center" vertical="top" wrapText="1"/>
    </xf>
    <xf numFmtId="0" fontId="63" fillId="11" borderId="1" xfId="23" applyFont="1" applyFill="1" applyBorder="1" applyAlignment="1">
      <alignment horizontal="left" wrapText="1"/>
    </xf>
    <xf numFmtId="0" fontId="62" fillId="11" borderId="2" xfId="23" applyFont="1" applyFill="1" applyBorder="1" applyAlignment="1">
      <alignment horizontal="left" vertical="top" wrapText="1"/>
    </xf>
    <xf numFmtId="0" fontId="62" fillId="11" borderId="3" xfId="23" applyFont="1" applyFill="1" applyBorder="1" applyAlignment="1">
      <alignment horizontal="left" vertical="top" wrapText="1"/>
    </xf>
    <xf numFmtId="0" fontId="62" fillId="11" borderId="37" xfId="23" applyFont="1" applyFill="1" applyBorder="1" applyAlignment="1">
      <alignment horizontal="left" vertical="top" wrapText="1" indent="5"/>
    </xf>
    <xf numFmtId="0" fontId="63" fillId="12" borderId="4" xfId="23" applyFont="1" applyFill="1" applyBorder="1" applyAlignment="1">
      <alignment horizontal="left" vertical="center" wrapText="1"/>
    </xf>
    <xf numFmtId="0" fontId="63" fillId="12" borderId="0" xfId="23" applyFont="1" applyFill="1" applyAlignment="1">
      <alignment horizontal="left" vertical="center" wrapText="1"/>
    </xf>
    <xf numFmtId="0" fontId="62" fillId="12" borderId="4" xfId="23" applyFont="1" applyFill="1" applyBorder="1" applyAlignment="1">
      <alignment horizontal="center" vertical="top" wrapText="1"/>
    </xf>
    <xf numFmtId="0" fontId="62" fillId="12" borderId="0" xfId="23" applyFont="1" applyFill="1" applyAlignment="1">
      <alignment horizontal="center" vertical="top" wrapText="1"/>
    </xf>
    <xf numFmtId="0" fontId="62" fillId="12" borderId="5" xfId="23" applyFont="1" applyFill="1" applyBorder="1" applyAlignment="1">
      <alignment horizontal="center" vertical="top" wrapText="1"/>
    </xf>
    <xf numFmtId="0" fontId="62" fillId="12" borderId="0" xfId="23" applyFont="1" applyFill="1" applyAlignment="1">
      <alignment horizontal="left" vertical="top" wrapText="1"/>
    </xf>
    <xf numFmtId="0" fontId="62" fillId="12" borderId="0" xfId="23" applyFont="1" applyFill="1" applyAlignment="1">
      <alignment horizontal="left" vertical="top" wrapText="1" indent="1"/>
    </xf>
    <xf numFmtId="0" fontId="63" fillId="12" borderId="38" xfId="23" applyFont="1" applyFill="1" applyBorder="1" applyAlignment="1">
      <alignment horizontal="left" wrapText="1"/>
    </xf>
    <xf numFmtId="0" fontId="62" fillId="12" borderId="39" xfId="23" applyFont="1" applyFill="1" applyBorder="1" applyAlignment="1">
      <alignment horizontal="center" vertical="top" wrapText="1"/>
    </xf>
    <xf numFmtId="0" fontId="62" fillId="12" borderId="38" xfId="23" applyFont="1" applyFill="1" applyBorder="1" applyAlignment="1">
      <alignment horizontal="center" vertical="top" wrapText="1"/>
    </xf>
    <xf numFmtId="0" fontId="62" fillId="12" borderId="40" xfId="23" applyFont="1" applyFill="1" applyBorder="1" applyAlignment="1">
      <alignment horizontal="center" vertical="top" wrapText="1"/>
    </xf>
    <xf numFmtId="0" fontId="62" fillId="12" borderId="39" xfId="23" applyFont="1" applyFill="1" applyBorder="1" applyAlignment="1">
      <alignment horizontal="left" vertical="top" wrapText="1" indent="2"/>
    </xf>
    <xf numFmtId="1" fontId="62" fillId="0" borderId="36" xfId="23" applyNumberFormat="1" applyFont="1" applyBorder="1" applyAlignment="1">
      <alignment horizontal="left" vertical="top" indent="1" shrinkToFit="1"/>
    </xf>
    <xf numFmtId="0" fontId="62" fillId="0" borderId="37" xfId="23" applyFont="1" applyBorder="1" applyAlignment="1">
      <alignment horizontal="center" vertical="top" wrapText="1"/>
    </xf>
    <xf numFmtId="1" fontId="62" fillId="0" borderId="36" xfId="23" applyNumberFormat="1" applyFont="1" applyBorder="1" applyAlignment="1">
      <alignment horizontal="center" vertical="top" shrinkToFit="1"/>
    </xf>
    <xf numFmtId="0" fontId="62" fillId="0" borderId="41" xfId="23" applyFont="1" applyBorder="1" applyAlignment="1">
      <alignment horizontal="center" vertical="top" wrapText="1"/>
    </xf>
    <xf numFmtId="0" fontId="62" fillId="0" borderId="37" xfId="23" applyFont="1" applyBorder="1" applyAlignment="1">
      <alignment horizontal="left" vertical="top" wrapText="1" indent="1"/>
    </xf>
    <xf numFmtId="0" fontId="62" fillId="0" borderId="37" xfId="23" applyFont="1" applyBorder="1" applyAlignment="1">
      <alignment horizontal="right" vertical="top" wrapText="1" indent="1"/>
    </xf>
    <xf numFmtId="0" fontId="62" fillId="0" borderId="37" xfId="23" applyFont="1" applyBorder="1" applyAlignment="1">
      <alignment horizontal="left" vertical="top" wrapText="1" indent="2"/>
    </xf>
    <xf numFmtId="1" fontId="62" fillId="0" borderId="4" xfId="23" applyNumberFormat="1" applyFont="1" applyBorder="1" applyAlignment="1">
      <alignment horizontal="left" vertical="top" indent="1" shrinkToFit="1"/>
    </xf>
    <xf numFmtId="0" fontId="62" fillId="0" borderId="0" xfId="23" applyFont="1" applyAlignment="1">
      <alignment horizontal="center" vertical="top" wrapText="1"/>
    </xf>
    <xf numFmtId="1" fontId="62" fillId="0" borderId="4" xfId="23" applyNumberFormat="1" applyFont="1" applyBorder="1" applyAlignment="1">
      <alignment horizontal="center" vertical="top" shrinkToFit="1"/>
    </xf>
    <xf numFmtId="0" fontId="62" fillId="0" borderId="5" xfId="23" applyFont="1" applyBorder="1" applyAlignment="1">
      <alignment horizontal="center" vertical="top" wrapText="1"/>
    </xf>
    <xf numFmtId="0" fontId="62" fillId="0" borderId="0" xfId="23" applyFont="1" applyAlignment="1">
      <alignment horizontal="left" vertical="top" wrapText="1" indent="1"/>
    </xf>
    <xf numFmtId="0" fontId="62" fillId="0" borderId="0" xfId="23" applyFont="1" applyAlignment="1">
      <alignment horizontal="right" vertical="top" wrapText="1" indent="1"/>
    </xf>
    <xf numFmtId="0" fontId="62" fillId="0" borderId="0" xfId="23" applyFont="1" applyAlignment="1">
      <alignment horizontal="left" vertical="top" wrapText="1" indent="2"/>
    </xf>
    <xf numFmtId="1" fontId="62" fillId="0" borderId="38" xfId="23" applyNumberFormat="1" applyFont="1" applyBorder="1" applyAlignment="1">
      <alignment horizontal="left" vertical="top" indent="1" shrinkToFit="1"/>
    </xf>
    <xf numFmtId="0" fontId="62" fillId="0" borderId="39" xfId="23" applyFont="1" applyBorder="1" applyAlignment="1">
      <alignment horizontal="center" vertical="top" wrapText="1"/>
    </xf>
    <xf numFmtId="1" fontId="62" fillId="0" borderId="6" xfId="23" applyNumberFormat="1" applyFont="1" applyBorder="1" applyAlignment="1">
      <alignment horizontal="center" vertical="top" shrinkToFit="1"/>
    </xf>
    <xf numFmtId="0" fontId="62" fillId="0" borderId="7" xfId="23" applyFont="1" applyBorder="1" applyAlignment="1">
      <alignment horizontal="center" vertical="top" wrapText="1"/>
    </xf>
    <xf numFmtId="0" fontId="62" fillId="0" borderId="8" xfId="23" applyFont="1" applyBorder="1" applyAlignment="1">
      <alignment horizontal="center" vertical="top" wrapText="1"/>
    </xf>
    <xf numFmtId="0" fontId="62" fillId="0" borderId="39" xfId="23" applyFont="1" applyBorder="1" applyAlignment="1">
      <alignment horizontal="left" vertical="top" wrapText="1" indent="1"/>
    </xf>
    <xf numFmtId="0" fontId="62" fillId="0" borderId="39" xfId="23" applyFont="1" applyBorder="1" applyAlignment="1">
      <alignment horizontal="right" vertical="top" wrapText="1" indent="1"/>
    </xf>
  </cellXfs>
  <cellStyles count="27">
    <cellStyle name="Bad" xfId="21" builtinId="27"/>
    <cellStyle name="Comma 2" xfId="7" xr:uid="{00000000-0005-0000-0000-000000000000}"/>
    <cellStyle name="Comma 2 2" xfId="15" xr:uid="{2D29F2AE-A72A-4F35-A2CA-2C4A01C4F113}"/>
    <cellStyle name="Comma 2 3" xfId="6" xr:uid="{00000000-0005-0000-0000-000001000000}"/>
    <cellStyle name="Comma 3" xfId="16" xr:uid="{C170A3C1-B68E-4AAE-92F6-CE979AB71698}"/>
    <cellStyle name="Comma 4" xfId="25" xr:uid="{D1FA687A-5F8A-4679-9E4B-2C7C071EDA03}"/>
    <cellStyle name="Heading 2" xfId="19" builtinId="17"/>
    <cellStyle name="Heading 3" xfId="20" builtinId="18"/>
    <cellStyle name="Hyperlink 2" xfId="11" xr:uid="{00000000-0005-0000-0000-000003000000}"/>
    <cellStyle name="Hyperlink 3" xfId="24" xr:uid="{9B1B0654-5311-4CDE-8D43-C62E5399FAF2}"/>
    <cellStyle name="Input" xfId="22" builtinId="20"/>
    <cellStyle name="Normal" xfId="0" builtinId="0"/>
    <cellStyle name="Normal 10 4" xfId="10" xr:uid="{00000000-0005-0000-0000-000005000000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3" xfId="14" xr:uid="{4AB230A0-E2D6-4984-83A4-4F34927A69CA}"/>
    <cellStyle name="Normal 3" xfId="5" xr:uid="{00000000-0005-0000-0000-00000B000000}"/>
    <cellStyle name="Normal 4" xfId="12" xr:uid="{0BAD2C5B-36F5-4320-A9B9-F030A7823A07}"/>
    <cellStyle name="Normal 5" xfId="23" xr:uid="{4E7D1ADD-8FD9-49C2-88AA-2E3776C577CC}"/>
    <cellStyle name="Percent" xfId="18" builtinId="5"/>
    <cellStyle name="Percent 2" xfId="13" xr:uid="{6FC4F8D8-ECD7-4A9E-B183-CAC9CE80278F}"/>
    <cellStyle name="Percent 2 2" xfId="17" xr:uid="{FFCF24A5-FA7A-4E91-8E3F-2BDE50B65C19}"/>
    <cellStyle name="Percent 3" xfId="8" xr:uid="{00000000-0005-0000-0000-000010000000}"/>
    <cellStyle name="Percent 4" xfId="26" xr:uid="{5D598AA8-28F2-44B6-AA1E-F52C90C682F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5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7" Type="http://schemas.openxmlformats.org/officeDocument/2006/relationships/image" Target="../media/image40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9.emf"/><Relationship Id="rId5" Type="http://schemas.openxmlformats.org/officeDocument/2006/relationships/image" Target="../media/image38.emf"/><Relationship Id="rId4" Type="http://schemas.openxmlformats.org/officeDocument/2006/relationships/image" Target="../media/image37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emf"/><Relationship Id="rId2" Type="http://schemas.openxmlformats.org/officeDocument/2006/relationships/image" Target="../media/image49.emf"/><Relationship Id="rId1" Type="http://schemas.openxmlformats.org/officeDocument/2006/relationships/image" Target="../media/image48.jpeg"/><Relationship Id="rId4" Type="http://schemas.openxmlformats.org/officeDocument/2006/relationships/image" Target="../media/image51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9.emf"/><Relationship Id="rId3" Type="http://schemas.openxmlformats.org/officeDocument/2006/relationships/image" Target="../media/image54.emf"/><Relationship Id="rId7" Type="http://schemas.openxmlformats.org/officeDocument/2006/relationships/image" Target="../media/image58.emf"/><Relationship Id="rId2" Type="http://schemas.openxmlformats.org/officeDocument/2006/relationships/image" Target="../media/image53.emf"/><Relationship Id="rId1" Type="http://schemas.openxmlformats.org/officeDocument/2006/relationships/image" Target="../media/image52.emf"/><Relationship Id="rId6" Type="http://schemas.openxmlformats.org/officeDocument/2006/relationships/image" Target="../media/image57.emf"/><Relationship Id="rId5" Type="http://schemas.openxmlformats.org/officeDocument/2006/relationships/image" Target="../media/image56.emf"/><Relationship Id="rId4" Type="http://schemas.openxmlformats.org/officeDocument/2006/relationships/image" Target="../media/image55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2.emf"/><Relationship Id="rId2" Type="http://schemas.openxmlformats.org/officeDocument/2006/relationships/image" Target="../media/image61.emf"/><Relationship Id="rId1" Type="http://schemas.openxmlformats.org/officeDocument/2006/relationships/image" Target="../media/image60.emf"/><Relationship Id="rId4" Type="http://schemas.openxmlformats.org/officeDocument/2006/relationships/image" Target="../media/image63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1.emf"/><Relationship Id="rId3" Type="http://schemas.openxmlformats.org/officeDocument/2006/relationships/image" Target="../media/image66.emf"/><Relationship Id="rId7" Type="http://schemas.openxmlformats.org/officeDocument/2006/relationships/image" Target="../media/image70.emf"/><Relationship Id="rId2" Type="http://schemas.openxmlformats.org/officeDocument/2006/relationships/image" Target="../media/image65.emf"/><Relationship Id="rId1" Type="http://schemas.openxmlformats.org/officeDocument/2006/relationships/image" Target="../media/image64.emf"/><Relationship Id="rId6" Type="http://schemas.openxmlformats.org/officeDocument/2006/relationships/image" Target="../media/image69.emf"/><Relationship Id="rId5" Type="http://schemas.openxmlformats.org/officeDocument/2006/relationships/image" Target="../media/image68.emf"/><Relationship Id="rId10" Type="http://schemas.openxmlformats.org/officeDocument/2006/relationships/image" Target="../media/image73.emf"/><Relationship Id="rId4" Type="http://schemas.openxmlformats.org/officeDocument/2006/relationships/image" Target="../media/image67.emf"/><Relationship Id="rId9" Type="http://schemas.openxmlformats.org/officeDocument/2006/relationships/image" Target="../media/image72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1.emf"/><Relationship Id="rId3" Type="http://schemas.openxmlformats.org/officeDocument/2006/relationships/image" Target="../media/image76.emf"/><Relationship Id="rId7" Type="http://schemas.openxmlformats.org/officeDocument/2006/relationships/image" Target="../media/image80.emf"/><Relationship Id="rId2" Type="http://schemas.openxmlformats.org/officeDocument/2006/relationships/image" Target="../media/image75.emf"/><Relationship Id="rId1" Type="http://schemas.openxmlformats.org/officeDocument/2006/relationships/image" Target="../media/image74.emf"/><Relationship Id="rId6" Type="http://schemas.openxmlformats.org/officeDocument/2006/relationships/image" Target="../media/image79.emf"/><Relationship Id="rId5" Type="http://schemas.openxmlformats.org/officeDocument/2006/relationships/image" Target="../media/image78.emf"/><Relationship Id="rId4" Type="http://schemas.openxmlformats.org/officeDocument/2006/relationships/image" Target="../media/image77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9.emf"/><Relationship Id="rId3" Type="http://schemas.openxmlformats.org/officeDocument/2006/relationships/image" Target="../media/image84.emf"/><Relationship Id="rId7" Type="http://schemas.openxmlformats.org/officeDocument/2006/relationships/image" Target="../media/image88.emf"/><Relationship Id="rId2" Type="http://schemas.openxmlformats.org/officeDocument/2006/relationships/image" Target="../media/image83.emf"/><Relationship Id="rId1" Type="http://schemas.openxmlformats.org/officeDocument/2006/relationships/image" Target="../media/image82.emf"/><Relationship Id="rId6" Type="http://schemas.openxmlformats.org/officeDocument/2006/relationships/image" Target="../media/image87.emf"/><Relationship Id="rId5" Type="http://schemas.openxmlformats.org/officeDocument/2006/relationships/image" Target="../media/image86.emf"/><Relationship Id="rId10" Type="http://schemas.openxmlformats.org/officeDocument/2006/relationships/image" Target="../media/image91.emf"/><Relationship Id="rId4" Type="http://schemas.openxmlformats.org/officeDocument/2006/relationships/image" Target="../media/image85.emf"/><Relationship Id="rId9" Type="http://schemas.openxmlformats.org/officeDocument/2006/relationships/image" Target="../media/image90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9.emf"/><Relationship Id="rId3" Type="http://schemas.openxmlformats.org/officeDocument/2006/relationships/image" Target="../media/image94.emf"/><Relationship Id="rId7" Type="http://schemas.openxmlformats.org/officeDocument/2006/relationships/image" Target="../media/image98.emf"/><Relationship Id="rId2" Type="http://schemas.openxmlformats.org/officeDocument/2006/relationships/image" Target="../media/image93.emf"/><Relationship Id="rId1" Type="http://schemas.openxmlformats.org/officeDocument/2006/relationships/image" Target="../media/image92.emf"/><Relationship Id="rId6" Type="http://schemas.openxmlformats.org/officeDocument/2006/relationships/image" Target="../media/image97.emf"/><Relationship Id="rId5" Type="http://schemas.openxmlformats.org/officeDocument/2006/relationships/image" Target="../media/image96.emf"/><Relationship Id="rId10" Type="http://schemas.openxmlformats.org/officeDocument/2006/relationships/image" Target="../media/image101.emf"/><Relationship Id="rId4" Type="http://schemas.openxmlformats.org/officeDocument/2006/relationships/image" Target="../media/image95.emf"/><Relationship Id="rId9" Type="http://schemas.openxmlformats.org/officeDocument/2006/relationships/image" Target="../media/image100.emf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9.emf"/><Relationship Id="rId3" Type="http://schemas.openxmlformats.org/officeDocument/2006/relationships/image" Target="../media/image104.emf"/><Relationship Id="rId7" Type="http://schemas.openxmlformats.org/officeDocument/2006/relationships/image" Target="../media/image108.emf"/><Relationship Id="rId2" Type="http://schemas.openxmlformats.org/officeDocument/2006/relationships/image" Target="../media/image103.emf"/><Relationship Id="rId1" Type="http://schemas.openxmlformats.org/officeDocument/2006/relationships/image" Target="../media/image102.emf"/><Relationship Id="rId6" Type="http://schemas.openxmlformats.org/officeDocument/2006/relationships/image" Target="../media/image107.emf"/><Relationship Id="rId5" Type="http://schemas.openxmlformats.org/officeDocument/2006/relationships/image" Target="../media/image106.emf"/><Relationship Id="rId4" Type="http://schemas.openxmlformats.org/officeDocument/2006/relationships/image" Target="../media/image105.emf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7.emf"/><Relationship Id="rId3" Type="http://schemas.openxmlformats.org/officeDocument/2006/relationships/image" Target="../media/image112.emf"/><Relationship Id="rId7" Type="http://schemas.openxmlformats.org/officeDocument/2006/relationships/image" Target="../media/image116.emf"/><Relationship Id="rId2" Type="http://schemas.openxmlformats.org/officeDocument/2006/relationships/image" Target="../media/image111.emf"/><Relationship Id="rId1" Type="http://schemas.openxmlformats.org/officeDocument/2006/relationships/image" Target="../media/image110.emf"/><Relationship Id="rId6" Type="http://schemas.openxmlformats.org/officeDocument/2006/relationships/image" Target="../media/image115.emf"/><Relationship Id="rId5" Type="http://schemas.openxmlformats.org/officeDocument/2006/relationships/image" Target="../media/image114.emf"/><Relationship Id="rId10" Type="http://schemas.openxmlformats.org/officeDocument/2006/relationships/image" Target="../media/image119.emf"/><Relationship Id="rId4" Type="http://schemas.openxmlformats.org/officeDocument/2006/relationships/image" Target="../media/image113.emf"/><Relationship Id="rId9" Type="http://schemas.openxmlformats.org/officeDocument/2006/relationships/image" Target="../media/image1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sp macro="" textlink="">
      <xdr:nvSpPr>
        <xdr:cNvPr id="12289" name="cmdUpdate" hidden="1">
          <a:extLst>
            <a:ext uri="{63B3BB69-23CF-44E3-9099-C40C66FF867C}">
              <a14:compatExt xmlns:a14="http://schemas.microsoft.com/office/drawing/2010/main" spid="_x0000_s12289"/>
            </a:ex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sp macro="" textlink="">
      <xdr:nvSpPr>
        <xdr:cNvPr id="12291" name="cmdAddNewAnswerSheet" hidden="1">
          <a:extLst>
            <a:ext uri="{63B3BB69-23CF-44E3-9099-C40C66FF867C}">
              <a14:compatExt xmlns:a14="http://schemas.microsoft.com/office/drawing/2010/main" spid="_x0000_s12291"/>
            </a:ex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sp macro="" textlink="">
      <xdr:nvSpPr>
        <xdr:cNvPr id="12293" name="cmdCreateNewXLS" hidden="1">
          <a:extLst>
            <a:ext uri="{63B3BB69-23CF-44E3-9099-C40C66FF867C}">
              <a14:compatExt xmlns:a14="http://schemas.microsoft.com/office/drawing/2010/main" spid="_x0000_s12293"/>
            </a:ex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sp macro="" textlink="">
      <xdr:nvSpPr>
        <xdr:cNvPr id="12299" name="optMultiRegionNotCommon" hidden="1">
          <a:extLst>
            <a:ext uri="{63B3BB69-23CF-44E3-9099-C40C66FF867C}">
              <a14:compatExt xmlns:a14="http://schemas.microsoft.com/office/drawing/2010/main" spid="_x0000_s12299"/>
            </a:ex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sp macro="" textlink="">
      <xdr:nvSpPr>
        <xdr:cNvPr id="12300" name="optMultiRegionCommon" hidden="1">
          <a:extLst>
            <a:ext uri="{63B3BB69-23CF-44E3-9099-C40C66FF867C}">
              <a14:compatExt xmlns:a14="http://schemas.microsoft.com/office/drawing/2010/main" spid="_x0000_s12300"/>
            </a:ex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pic>
      <xdr:nvPicPr>
        <xdr:cNvPr id="2" name="cmdUpdate">
          <a:extLst>
            <a:ext uri="{FF2B5EF4-FFF2-40B4-BE49-F238E27FC236}">
              <a16:creationId xmlns:a16="http://schemas.microsoft.com/office/drawing/2014/main" id="{039B4FF6-EB3A-4020-BF5D-8DB8B3D7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228725"/>
          <a:ext cx="14478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pic>
      <xdr:nvPicPr>
        <xdr:cNvPr id="3" name="cmdAddNewAnswerSheet">
          <a:extLst>
            <a:ext uri="{FF2B5EF4-FFF2-40B4-BE49-F238E27FC236}">
              <a16:creationId xmlns:a16="http://schemas.microsoft.com/office/drawing/2014/main" id="{D2AC54F1-04BD-4FF4-B1B6-3F8D4492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9572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pic>
      <xdr:nvPicPr>
        <xdr:cNvPr id="4" name="cmdCreateNewXLS">
          <a:extLst>
            <a:ext uri="{FF2B5EF4-FFF2-40B4-BE49-F238E27FC236}">
              <a16:creationId xmlns:a16="http://schemas.microsoft.com/office/drawing/2014/main" id="{0881FA80-E43A-4F76-BC53-F74E12F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33337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pic>
      <xdr:nvPicPr>
        <xdr:cNvPr id="5" name="optMultiRegionNotCommon">
          <a:extLst>
            <a:ext uri="{FF2B5EF4-FFF2-40B4-BE49-F238E27FC236}">
              <a16:creationId xmlns:a16="http://schemas.microsoft.com/office/drawing/2014/main" id="{056F3BBA-3B4A-4FB1-A257-DB10E9A5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1250"/>
          <a:ext cx="17335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pic>
      <xdr:nvPicPr>
        <xdr:cNvPr id="6" name="optMultiRegionCommon">
          <a:extLst>
            <a:ext uri="{FF2B5EF4-FFF2-40B4-BE49-F238E27FC236}">
              <a16:creationId xmlns:a16="http://schemas.microsoft.com/office/drawing/2014/main" id="{6CBA9A06-FF29-4005-A7C7-9D146D9D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781300"/>
          <a:ext cx="1724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295275</xdr:colOff>
      <xdr:row>11</xdr:row>
      <xdr:rowOff>117835</xdr:rowOff>
    </xdr:from>
    <xdr:to>
      <xdr:col>44</xdr:col>
      <xdr:colOff>474633</xdr:colOff>
      <xdr:row>38</xdr:row>
      <xdr:rowOff>94417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1550" y="4689835"/>
          <a:ext cx="9932958" cy="51200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6CB37AA-AF9B-4E7B-84D8-6E423605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31DA432C-DE76-4655-B9EC-9817DE32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3C1B4294-783A-487B-90C7-94340380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8102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0C2728AF-013D-4D47-B008-F27A783E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334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E06F2344-A0BB-4D4D-9B81-AA3A9B37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0480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51A5CC41-4153-4430-86D1-612A3CB6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9529CEA9-A3C9-4EB4-AF53-889DE786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907903FF-D5EE-4A85-8DDB-91E472D3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90F71D4-016D-4D51-9497-C6959F33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76C29BAB-D926-44A2-8F93-75B7E317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D70AC086-605F-49D8-9235-7092EEFB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58102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08938003-1D1F-4CE6-A1D2-9D2EDF30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C08EAC21-EDB5-4A56-B60D-00D36BFF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872D9749-0414-4D72-AA63-776FFCFD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A11D664D-54E0-4371-B598-0C2BA04A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9417E47-FB6B-4B65-9E54-E3B0CAB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1BE8601A-39B9-4984-99E6-1C612F32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D69E29AC-5D3D-494F-A432-0DB80730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pic>
      <xdr:nvPicPr>
        <xdr:cNvPr id="9" name="cmdTechNameAndDesc">
          <a:extLst>
            <a:ext uri="{FF2B5EF4-FFF2-40B4-BE49-F238E27FC236}">
              <a16:creationId xmlns:a16="http://schemas.microsoft.com/office/drawing/2014/main" id="{3B8E142C-2ADB-4649-AD01-EBF6766A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pic>
      <xdr:nvPicPr>
        <xdr:cNvPr id="10" name="cmdCommIN">
          <a:extLst>
            <a:ext uri="{FF2B5EF4-FFF2-40B4-BE49-F238E27FC236}">
              <a16:creationId xmlns:a16="http://schemas.microsoft.com/office/drawing/2014/main" id="{D68A6156-5D16-400A-A35A-F8F99F6C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pic>
      <xdr:nvPicPr>
        <xdr:cNvPr id="11" name="cmdCommOUT">
          <a:extLst>
            <a:ext uri="{FF2B5EF4-FFF2-40B4-BE49-F238E27FC236}">
              <a16:creationId xmlns:a16="http://schemas.microsoft.com/office/drawing/2014/main" id="{E541FD7B-E81A-4D02-9464-9C8E84A6A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pic>
      <xdr:nvPicPr>
        <xdr:cNvPr id="12" name="cmdAddParameter">
          <a:extLst>
            <a:ext uri="{FF2B5EF4-FFF2-40B4-BE49-F238E27FC236}">
              <a16:creationId xmlns:a16="http://schemas.microsoft.com/office/drawing/2014/main" id="{354157B9-7CE2-4F7C-B13F-2FA7194E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pic>
      <xdr:nvPicPr>
        <xdr:cNvPr id="13" name="cmdAddParamQualifier1">
          <a:extLst>
            <a:ext uri="{FF2B5EF4-FFF2-40B4-BE49-F238E27FC236}">
              <a16:creationId xmlns:a16="http://schemas.microsoft.com/office/drawing/2014/main" id="{5D045FD5-98BA-4E0F-B690-27C60103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pic>
      <xdr:nvPicPr>
        <xdr:cNvPr id="14" name="cmdCheckTechDataSheet">
          <a:extLst>
            <a:ext uri="{FF2B5EF4-FFF2-40B4-BE49-F238E27FC236}">
              <a16:creationId xmlns:a16="http://schemas.microsoft.com/office/drawing/2014/main" id="{6005EE13-0871-4C99-A816-19B5FF3F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15" name="cmdAddParamQualifier2">
          <a:extLst>
            <a:ext uri="{FF2B5EF4-FFF2-40B4-BE49-F238E27FC236}">
              <a16:creationId xmlns:a16="http://schemas.microsoft.com/office/drawing/2014/main" id="{9F2E68DB-03CF-43F1-BC2C-632F6F9C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429389</xdr:colOff>
      <xdr:row>43</xdr:row>
      <xdr:rowOff>154490</xdr:rowOff>
    </xdr:from>
    <xdr:to>
      <xdr:col>26</xdr:col>
      <xdr:colOff>149453</xdr:colOff>
      <xdr:row>63</xdr:row>
      <xdr:rowOff>722</xdr:rowOff>
    </xdr:to>
    <xdr:pic>
      <xdr:nvPicPr>
        <xdr:cNvPr id="2" name="Picture 1" descr="Production technologies of CRM from primary - PDF Free Download">
          <a:extLst>
            <a:ext uri="{FF2B5EF4-FFF2-40B4-BE49-F238E27FC236}">
              <a16:creationId xmlns:a16="http://schemas.microsoft.com/office/drawing/2014/main" id="{97BA5668-70CC-4D37-AC27-184E9F02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7089" y="9431840"/>
          <a:ext cx="5206464" cy="384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560070</xdr:colOff>
      <xdr:row>67</xdr:row>
      <xdr:rowOff>100965</xdr:rowOff>
    </xdr:from>
    <xdr:ext cx="4939240" cy="4248150"/>
    <xdr:pic>
      <xdr:nvPicPr>
        <xdr:cNvPr id="3" name="Picture 2">
          <a:extLst>
            <a:ext uri="{FF2B5EF4-FFF2-40B4-BE49-F238E27FC236}">
              <a16:creationId xmlns:a16="http://schemas.microsoft.com/office/drawing/2014/main" id="{0684C986-A028-4493-B917-8CC6C031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7770" y="14178915"/>
          <a:ext cx="493924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340995</xdr:colOff>
      <xdr:row>90</xdr:row>
      <xdr:rowOff>79215</xdr:rowOff>
    </xdr:from>
    <xdr:ext cx="5335905" cy="4483929"/>
    <xdr:pic>
      <xdr:nvPicPr>
        <xdr:cNvPr id="4" name="Picture 3">
          <a:extLst>
            <a:ext uri="{FF2B5EF4-FFF2-40B4-BE49-F238E27FC236}">
              <a16:creationId xmlns:a16="http://schemas.microsoft.com/office/drawing/2014/main" id="{00C9A414-2951-4A5C-BB52-D7F78646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8695" y="18757740"/>
          <a:ext cx="5335905" cy="448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1038225</xdr:colOff>
      <xdr:row>59</xdr:row>
      <xdr:rowOff>38100</xdr:rowOff>
    </xdr:from>
    <xdr:to>
      <xdr:col>3</xdr:col>
      <xdr:colOff>647700</xdr:colOff>
      <xdr:row>61</xdr:row>
      <xdr:rowOff>142875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34B7653-35F4-4D8F-94D1-BE59ED9E9FF9}"/>
            </a:ext>
          </a:extLst>
        </xdr:cNvPr>
        <xdr:cNvSpPr/>
      </xdr:nvSpPr>
      <xdr:spPr>
        <a:xfrm>
          <a:off x="3752850" y="12515850"/>
          <a:ext cx="1638300" cy="504825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ZA" sz="1100"/>
            <a:t>summarise</a:t>
          </a:r>
        </a:p>
      </xdr:txBody>
    </xdr:sp>
    <xdr:clientData/>
  </xdr:twoCellAnchor>
  <xdr:twoCellAnchor editAs="oneCell">
    <xdr:from>
      <xdr:col>18</xdr:col>
      <xdr:colOff>217715</xdr:colOff>
      <xdr:row>153</xdr:row>
      <xdr:rowOff>67163</xdr:rowOff>
    </xdr:from>
    <xdr:to>
      <xdr:col>33</xdr:col>
      <xdr:colOff>342643</xdr:colOff>
      <xdr:row>169</xdr:row>
      <xdr:rowOff>463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4EDD36-FE5A-482F-AEF1-3D2A2324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5415" y="31480613"/>
          <a:ext cx="10411928" cy="31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123825</xdr:rowOff>
    </xdr:from>
    <xdr:to>
      <xdr:col>5</xdr:col>
      <xdr:colOff>657225</xdr:colOff>
      <xdr:row>12</xdr:row>
      <xdr:rowOff>114300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9B2FB3A-050A-4D7F-B734-EAD5D8AB1233}"/>
            </a:ext>
          </a:extLst>
        </xdr:cNvPr>
        <xdr:cNvSpPr/>
      </xdr:nvSpPr>
      <xdr:spPr>
        <a:xfrm>
          <a:off x="4905375" y="2219325"/>
          <a:ext cx="371475" cy="390525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ZA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ChangeLog"/>
      <sheetName val="NameConv"/>
      <sheetName val="Industry desription"/>
      <sheetName val="SIC codes"/>
      <sheetName val="REGIONS"/>
      <sheetName val="Detailed GDP STATSSA"/>
      <sheetName val="GDP STATSSA"/>
      <sheetName val="Output compiled"/>
      <sheetName val="IND GDP statssa 2"/>
      <sheetName val="Ind output Mark"/>
      <sheetName val="Ind mining output STATSSA"/>
      <sheetName val="Ind Man output STATSSA"/>
      <sheetName val="supply and use tables"/>
      <sheetName val="DOE 2006 native units"/>
      <sheetName val="2006-2009"/>
      <sheetName val="Industry VA"/>
      <sheetName val="Sources"/>
      <sheetName val="1992-2006 industry"/>
      <sheetName val="DoE2013 Industry EB"/>
      <sheetName val="digest "/>
      <sheetName val="DMR1"/>
      <sheetName val="mining general info"/>
      <sheetName val="I&amp;S - prod"/>
      <sheetName val="I&amp;S - prod 2"/>
      <sheetName val="I&amp;S - prod 3"/>
      <sheetName val="End uses"/>
      <sheetName val="EIA end use"/>
      <sheetName val="Aluminium"/>
      <sheetName val="Eskom sales data"/>
      <sheetName val="Eskom Annual YB"/>
      <sheetName val="eskom yb sector sales"/>
      <sheetName val="NERSA Elec"/>
      <sheetName val="REPORT TABLES"/>
      <sheetName val="Tech Efficiencies"/>
      <sheetName val="Coal prices"/>
      <sheetName val="Electricity prices"/>
      <sheetName val="ELEC CALCS ADRIAN IGNORE"/>
      <sheetName val="FA-Items"/>
      <sheetName val="FA-TSData"/>
      <sheetName val="FA-TIDData"/>
      <sheetName val="FerroAlloys"/>
      <sheetName val="Aluminium - Items"/>
      <sheetName val="Aluminium - TIDData"/>
      <sheetName val="Aluminium - TSData"/>
      <sheetName val="Aluminium Data"/>
      <sheetName val="NMM-Items"/>
      <sheetName val="NMM-TSData"/>
      <sheetName val="NMM-TIDData"/>
      <sheetName val="NMM data"/>
      <sheetName val="Coking coal"/>
      <sheetName val="COGEN"/>
      <sheetName val="Payback from EIA"/>
      <sheetName val="SasolGasSales"/>
      <sheetName val="2012 SATIM EB"/>
      <sheetName val="2017 SATIM EB"/>
      <sheetName val="IND old - 2006BY"/>
      <sheetName val="IND"/>
      <sheetName val="IND2017"/>
      <sheetName val="PAMS central control panel"/>
      <sheetName val="ITEMS_Tech"/>
      <sheetName val="ITEMS_Comm"/>
      <sheetName val="TS DTech"/>
      <sheetName val="TS DMARK"/>
      <sheetName val="TID DTech"/>
      <sheetName val="TS BYDem"/>
      <sheetName val="TS COMFRN"/>
      <sheetName val="TS COMFR"/>
      <sheetName val="TS COMFRN_10"/>
      <sheetName val="TS COMFR_10"/>
      <sheetName val="TS ETech"/>
      <sheetName val="TID ETech"/>
      <sheetName val="TS GTech"/>
      <sheetName val="TID GTech"/>
      <sheetName val="TS FTech"/>
      <sheetName val="TID FTech"/>
      <sheetName val="TS Emiss"/>
      <sheetName val="TID Emiss"/>
      <sheetName val="AFA"/>
      <sheetName val="Sc1 Standards"/>
      <sheetName val="Sc2 Audits"/>
      <sheetName val="Sc3 En Man"/>
      <sheetName val="Sc4 Accreditation"/>
      <sheetName val="Sc5 Education"/>
      <sheetName val="Sc6 NEEA"/>
      <sheetName val="Sc7 Finance"/>
      <sheetName val="TCH_IND"/>
    </sheetNames>
    <definedNames>
      <definedName name="pamsindex" refersTo="='PAMS central control panel'!$C$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C2" t="b">
            <v>0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fml.com/operations/project-development.html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https://www.miningweekly.com/article/technology-slashes-power-use-at-glencores-huge-s-african-chrome-smelter-2014-11-05/rep_id:3650" TargetMode="External"/><Relationship Id="rId1" Type="http://schemas.openxmlformats.org/officeDocument/2006/relationships/hyperlink" Target="https://www.engineeringnews.co.za/print-version/lion-ferrochrome-smelter-eastern-chrome-mines-restart-merafe-2020-05-08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s://docplayer.net/86507326-Production-technologies-of-crm-from-primary.html" TargetMode="External"/><Relationship Id="rId4" Type="http://schemas.openxmlformats.org/officeDocument/2006/relationships/hyperlink" Target="https://www.miningweekly.com/print-version/asa-metals-builds-on-quality-2005-03-2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AnsHome"/>
  <dimension ref="A1:D22"/>
  <sheetViews>
    <sheetView workbookViewId="0"/>
  </sheetViews>
  <sheetFormatPr defaultRowHeight="12.75" x14ac:dyDescent="0.2"/>
  <cols>
    <col min="1" max="1" width="16.5703125" customWidth="1"/>
  </cols>
  <sheetData>
    <row r="1" spans="1:4" x14ac:dyDescent="0.2">
      <c r="A1" s="1" t="s">
        <v>114</v>
      </c>
    </row>
    <row r="15" spans="1:4" x14ac:dyDescent="0.2">
      <c r="B15" s="2"/>
      <c r="C15" s="3"/>
      <c r="D15" s="4"/>
    </row>
    <row r="16" spans="1:4" x14ac:dyDescent="0.2">
      <c r="B16" s="5"/>
      <c r="C16" s="6"/>
      <c r="D16" s="7"/>
    </row>
    <row r="17" spans="2:4" x14ac:dyDescent="0.2">
      <c r="B17" s="5"/>
      <c r="C17" s="6"/>
      <c r="D17" s="7"/>
    </row>
    <row r="18" spans="2:4" x14ac:dyDescent="0.2">
      <c r="B18" s="5"/>
      <c r="C18" s="6"/>
      <c r="D18" s="7"/>
    </row>
    <row r="19" spans="2:4" x14ac:dyDescent="0.2">
      <c r="B19" s="5"/>
      <c r="C19" s="6"/>
      <c r="D19" s="7"/>
    </row>
    <row r="20" spans="2:4" x14ac:dyDescent="0.2">
      <c r="B20" s="5"/>
      <c r="C20" s="6"/>
      <c r="D20" s="7"/>
    </row>
    <row r="21" spans="2:4" x14ac:dyDescent="0.2">
      <c r="B21" s="5"/>
      <c r="C21" s="6"/>
      <c r="D21" s="7"/>
    </row>
    <row r="22" spans="2:4" x14ac:dyDescent="0.2">
      <c r="B22" s="8"/>
      <c r="C22" s="9"/>
      <c r="D22" s="10"/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workbookViewId="0">
      <selection activeCell="F35" sqref="F35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82" t="s">
        <v>160</v>
      </c>
      <c r="C3" s="82"/>
      <c r="D3" s="82"/>
      <c r="E3" s="79" t="s">
        <v>163</v>
      </c>
      <c r="I3" s="93" t="s">
        <v>249</v>
      </c>
      <c r="J3" s="88"/>
      <c r="K3" s="88"/>
      <c r="L3" s="88"/>
    </row>
    <row r="4" spans="2:14" ht="13.5" thickTop="1" x14ac:dyDescent="0.2"/>
    <row r="5" spans="2:14" x14ac:dyDescent="0.2">
      <c r="B5" s="79" t="s">
        <v>161</v>
      </c>
      <c r="C5" s="79" t="s">
        <v>15</v>
      </c>
      <c r="D5" s="79" t="s">
        <v>164</v>
      </c>
      <c r="I5" t="s">
        <v>250</v>
      </c>
      <c r="J5" t="b" cm="1">
        <f t="array" ref="J5">[1]!pamsindex</f>
        <v>0</v>
      </c>
    </row>
    <row r="6" spans="2:14" ht="15" x14ac:dyDescent="0.25">
      <c r="B6" s="79" t="s">
        <v>162</v>
      </c>
      <c r="C6" s="79" t="s">
        <v>165</v>
      </c>
      <c r="E6" s="108">
        <v>1</v>
      </c>
      <c r="I6" t="s">
        <v>251</v>
      </c>
      <c r="J6" t="s">
        <v>252</v>
      </c>
    </row>
    <row r="7" spans="2:14" x14ac:dyDescent="0.2">
      <c r="D7" t="str">
        <f ca="1">Commodities_BASE!A2</f>
        <v>Commodities_BASE</v>
      </c>
      <c r="E7" s="109">
        <f t="shared" ref="E7:E11" si="0">$E$6</f>
        <v>1</v>
      </c>
    </row>
    <row r="8" spans="2:14" x14ac:dyDescent="0.2">
      <c r="D8" t="str">
        <f ca="1">CommData_BASE!A2</f>
        <v>CommData_BASE</v>
      </c>
      <c r="E8" s="109">
        <f t="shared" si="0"/>
        <v>1</v>
      </c>
      <c r="M8" s="79" t="s">
        <v>255</v>
      </c>
    </row>
    <row r="9" spans="2:14" x14ac:dyDescent="0.2">
      <c r="D9" t="str">
        <f ca="1">Processes_BASE!A2</f>
        <v>Processes_BASE</v>
      </c>
      <c r="E9" s="109">
        <f t="shared" si="0"/>
        <v>1</v>
      </c>
      <c r="I9" t="s">
        <v>252</v>
      </c>
      <c r="J9" t="s">
        <v>254</v>
      </c>
      <c r="M9" s="147">
        <v>0.05</v>
      </c>
      <c r="N9" s="79" t="s">
        <v>256</v>
      </c>
    </row>
    <row r="10" spans="2:14" x14ac:dyDescent="0.2">
      <c r="D10" t="str">
        <f ca="1">'ProcData_FCR - PAMS'!A2</f>
        <v>ProcData_FCR - PAMS</v>
      </c>
      <c r="E10" s="109">
        <f>IF(FA_PAMS_index=TRUE,1,0)</f>
        <v>0</v>
      </c>
      <c r="I10" t="s">
        <v>253</v>
      </c>
      <c r="J10" t="s">
        <v>254</v>
      </c>
      <c r="M10" s="148">
        <v>2.5000000000000001E-2</v>
      </c>
      <c r="N10" s="79" t="s">
        <v>256</v>
      </c>
    </row>
    <row r="11" spans="2:14" x14ac:dyDescent="0.2">
      <c r="D11" t="str">
        <f ca="1">ProcData_FCR!A2</f>
        <v>ProcData_FCR</v>
      </c>
      <c r="E11" s="109">
        <f t="shared" si="0"/>
        <v>1</v>
      </c>
      <c r="M11">
        <f>INDEX(M9:M10,MATCH(J6,I9:I10,0))</f>
        <v>0.05</v>
      </c>
    </row>
    <row r="12" spans="2:14" x14ac:dyDescent="0.2">
      <c r="E12" s="109"/>
    </row>
    <row r="13" spans="2:14" x14ac:dyDescent="0.2">
      <c r="E13" s="109"/>
    </row>
    <row r="14" spans="2:14" x14ac:dyDescent="0.2">
      <c r="E14" s="109"/>
    </row>
    <row r="15" spans="2:14" x14ac:dyDescent="0.2">
      <c r="E15" s="109"/>
    </row>
    <row r="16" spans="2:14" x14ac:dyDescent="0.2">
      <c r="E16" s="109"/>
    </row>
    <row r="17" spans="5:5" x14ac:dyDescent="0.2">
      <c r="E17" s="109"/>
    </row>
    <row r="18" spans="5:5" x14ac:dyDescent="0.2">
      <c r="E18" s="109"/>
    </row>
    <row r="19" spans="5:5" x14ac:dyDescent="0.2">
      <c r="E19" s="109"/>
    </row>
    <row r="20" spans="5:5" x14ac:dyDescent="0.2">
      <c r="E20" s="109"/>
    </row>
    <row r="21" spans="5:5" x14ac:dyDescent="0.2">
      <c r="E21" s="109"/>
    </row>
    <row r="22" spans="5:5" x14ac:dyDescent="0.2">
      <c r="E22" s="109"/>
    </row>
    <row r="23" spans="5:5" x14ac:dyDescent="0.2">
      <c r="E23" s="109"/>
    </row>
    <row r="24" spans="5:5" x14ac:dyDescent="0.2">
      <c r="E24" s="109"/>
    </row>
    <row r="25" spans="5:5" x14ac:dyDescent="0.2">
      <c r="E25" s="109"/>
    </row>
    <row r="26" spans="5:5" x14ac:dyDescent="0.2">
      <c r="E26" s="109"/>
    </row>
    <row r="27" spans="5:5" x14ac:dyDescent="0.2">
      <c r="E27" s="109"/>
    </row>
  </sheetData>
  <dataValidations count="1"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E105"/>
  <sheetViews>
    <sheetView zoomScaleNormal="100" workbookViewId="0">
      <selection activeCell="R20" sqref="R20"/>
    </sheetView>
  </sheetViews>
  <sheetFormatPr defaultRowHeight="15" x14ac:dyDescent="0.25"/>
  <cols>
    <col min="1" max="1" width="9.140625" style="52"/>
    <col min="2" max="2" width="9.140625" style="52" customWidth="1"/>
    <col min="3" max="3" width="20.7109375" style="52" customWidth="1"/>
    <col min="4" max="10" width="3.5703125" style="52" customWidth="1"/>
    <col min="11" max="11" width="4" style="52" customWidth="1"/>
    <col min="12" max="12" width="4.5703125" style="52" customWidth="1"/>
    <col min="13" max="13" width="29.85546875" style="52" customWidth="1"/>
    <col min="14" max="14" width="4" style="52" customWidth="1"/>
    <col min="15" max="16" width="3.5703125" style="52" customWidth="1"/>
    <col min="17" max="17" width="3.7109375" style="52" customWidth="1"/>
    <col min="18" max="18" width="3.85546875" style="52" customWidth="1"/>
    <col min="19" max="19" width="4" style="52" customWidth="1"/>
    <col min="20" max="20" width="25.5703125" style="52" customWidth="1"/>
    <col min="21" max="27" width="3.5703125" style="52" customWidth="1"/>
    <col min="28" max="16384" width="9.140625" style="52"/>
  </cols>
  <sheetData>
    <row r="1" spans="3:31" x14ac:dyDescent="0.25">
      <c r="N1" s="52" t="s">
        <v>129</v>
      </c>
      <c r="U1" s="124" t="s">
        <v>179</v>
      </c>
    </row>
    <row r="2" spans="3:31" ht="84" customHeight="1" x14ac:dyDescent="0.25">
      <c r="C2" s="55"/>
      <c r="D2" s="134" t="s">
        <v>222</v>
      </c>
      <c r="E2" s="135" t="s">
        <v>224</v>
      </c>
      <c r="F2" s="134" t="s">
        <v>220</v>
      </c>
      <c r="G2" s="135" t="s">
        <v>226</v>
      </c>
      <c r="H2" s="125"/>
      <c r="I2" s="125"/>
      <c r="J2" s="76"/>
      <c r="K2" s="77"/>
      <c r="L2" s="78"/>
      <c r="M2" s="55"/>
      <c r="O2" s="146" t="s">
        <v>239</v>
      </c>
      <c r="P2" s="125"/>
      <c r="U2" s="125"/>
      <c r="V2" s="125"/>
      <c r="W2" s="125"/>
      <c r="X2" s="80"/>
      <c r="Y2" s="76"/>
      <c r="Z2" s="114"/>
      <c r="AA2" s="116"/>
    </row>
    <row r="3" spans="3:31" ht="141" customHeight="1" x14ac:dyDescent="0.25">
      <c r="C3" s="55" t="s">
        <v>128</v>
      </c>
      <c r="D3" s="134" t="s">
        <v>223</v>
      </c>
      <c r="E3" s="135" t="s">
        <v>225</v>
      </c>
      <c r="F3" s="134" t="s">
        <v>221</v>
      </c>
      <c r="G3" s="135" t="s">
        <v>227</v>
      </c>
      <c r="H3" s="125"/>
      <c r="I3" s="125"/>
      <c r="J3" s="76"/>
      <c r="K3" s="77"/>
      <c r="L3" s="78"/>
      <c r="M3" s="55" t="s">
        <v>127</v>
      </c>
      <c r="O3" s="135" t="s">
        <v>229</v>
      </c>
      <c r="P3" s="125"/>
      <c r="U3" s="125"/>
      <c r="V3" s="125"/>
      <c r="W3" s="125"/>
      <c r="X3" s="125"/>
      <c r="Y3" s="76"/>
      <c r="Z3" s="116"/>
      <c r="AA3" s="122"/>
    </row>
    <row r="4" spans="3:31" x14ac:dyDescent="0.25">
      <c r="D4" s="54"/>
      <c r="E4" s="54"/>
      <c r="F4" s="54"/>
      <c r="G4" s="54"/>
      <c r="H4" s="54"/>
      <c r="I4" s="54"/>
      <c r="J4" s="54"/>
      <c r="K4" s="57"/>
      <c r="L4" s="55"/>
      <c r="O4" s="54"/>
      <c r="P4" s="54"/>
      <c r="U4" s="54"/>
      <c r="V4" s="54"/>
      <c r="W4" s="54"/>
      <c r="X4" s="54"/>
      <c r="Y4" s="54"/>
      <c r="Z4" s="54"/>
      <c r="AA4" s="54"/>
    </row>
    <row r="5" spans="3:31" x14ac:dyDescent="0.25">
      <c r="D5" s="54"/>
      <c r="E5" s="58"/>
      <c r="F5" s="61"/>
      <c r="G5" s="58"/>
      <c r="H5" s="58"/>
      <c r="I5" s="58"/>
      <c r="J5" s="61"/>
      <c r="K5" s="65"/>
      <c r="L5" s="61"/>
      <c r="M5" s="66" t="s">
        <v>232</v>
      </c>
      <c r="N5" s="65"/>
      <c r="O5" s="61"/>
      <c r="P5" s="67"/>
      <c r="U5" s="54"/>
      <c r="V5" s="54"/>
      <c r="W5" s="54"/>
      <c r="X5" s="54"/>
      <c r="Y5" s="54"/>
      <c r="Z5" s="54"/>
      <c r="AA5" s="54"/>
      <c r="AD5" s="124" t="s">
        <v>173</v>
      </c>
      <c r="AE5" s="75"/>
    </row>
    <row r="6" spans="3:31" x14ac:dyDescent="0.25">
      <c r="C6" s="55"/>
      <c r="D6" s="54"/>
      <c r="E6" s="54"/>
      <c r="F6" s="62"/>
      <c r="G6" s="62"/>
      <c r="H6" s="69"/>
      <c r="I6" s="62"/>
      <c r="J6" s="69"/>
      <c r="K6" s="117"/>
      <c r="L6" s="69"/>
      <c r="M6" s="74"/>
      <c r="N6" s="64"/>
      <c r="O6" s="63"/>
      <c r="P6" s="56"/>
      <c r="U6" s="54"/>
      <c r="V6" s="54"/>
      <c r="W6" s="54"/>
      <c r="X6" s="54"/>
      <c r="Y6" s="54"/>
      <c r="Z6" s="54"/>
      <c r="AA6" s="54"/>
      <c r="AD6" s="124" t="s">
        <v>174</v>
      </c>
      <c r="AE6" s="71"/>
    </row>
    <row r="7" spans="3:31" x14ac:dyDescent="0.25">
      <c r="C7" s="55"/>
      <c r="D7" s="54"/>
      <c r="E7" s="54"/>
      <c r="F7" s="54"/>
      <c r="G7" s="62"/>
      <c r="H7" s="69"/>
      <c r="I7" s="62"/>
      <c r="J7" s="69"/>
      <c r="K7" s="117"/>
      <c r="L7" s="69"/>
      <c r="M7" s="136" t="s">
        <v>228</v>
      </c>
      <c r="P7" s="56"/>
      <c r="U7" s="54"/>
      <c r="V7" s="54"/>
      <c r="W7" s="54"/>
      <c r="X7" s="54"/>
      <c r="Y7" s="54"/>
      <c r="Z7" s="54"/>
      <c r="AA7" s="54"/>
      <c r="AD7" s="124" t="s">
        <v>175</v>
      </c>
      <c r="AE7" s="73"/>
    </row>
    <row r="8" spans="3:31" x14ac:dyDescent="0.25">
      <c r="C8" s="55"/>
      <c r="D8" s="54"/>
      <c r="E8" s="54"/>
      <c r="F8" s="54"/>
      <c r="G8" s="54"/>
      <c r="H8" s="54"/>
      <c r="I8" s="54"/>
      <c r="J8" s="68"/>
      <c r="K8" s="64"/>
      <c r="L8" s="63"/>
      <c r="M8" s="60"/>
      <c r="N8" s="55"/>
      <c r="O8" s="55"/>
      <c r="P8" s="56"/>
      <c r="U8" s="54"/>
      <c r="V8" s="54"/>
      <c r="W8" s="54"/>
      <c r="X8" s="56"/>
      <c r="Y8" s="54"/>
      <c r="Z8" s="54"/>
      <c r="AA8" s="54"/>
      <c r="AD8" s="124" t="s">
        <v>176</v>
      </c>
      <c r="AE8" s="70"/>
    </row>
    <row r="9" spans="3:31" x14ac:dyDescent="0.25">
      <c r="C9" s="55"/>
      <c r="D9" s="54"/>
      <c r="E9" s="54"/>
      <c r="F9" s="54"/>
      <c r="G9" s="54"/>
      <c r="H9" s="54"/>
      <c r="I9" s="54"/>
      <c r="J9" s="54"/>
      <c r="K9" s="57"/>
      <c r="L9" s="55"/>
      <c r="M9" s="144" t="s">
        <v>235</v>
      </c>
      <c r="N9" s="55"/>
      <c r="O9" s="54"/>
      <c r="P9" s="56"/>
      <c r="U9" s="54"/>
      <c r="V9" s="54"/>
      <c r="W9" s="54"/>
      <c r="X9" s="54"/>
      <c r="Y9" s="54"/>
      <c r="Z9" s="54"/>
      <c r="AA9" s="54"/>
      <c r="AB9" s="59"/>
      <c r="AD9" s="124" t="s">
        <v>177</v>
      </c>
      <c r="AE9" s="72"/>
    </row>
    <row r="10" spans="3:31" x14ac:dyDescent="0.25">
      <c r="C10" s="55"/>
      <c r="D10" s="54"/>
      <c r="E10" s="54"/>
      <c r="F10" s="54"/>
      <c r="G10" s="54"/>
      <c r="H10" s="54"/>
      <c r="I10" s="54"/>
      <c r="J10" s="54"/>
      <c r="K10" s="57"/>
      <c r="L10" s="55"/>
      <c r="N10" s="55"/>
      <c r="O10" s="54"/>
      <c r="P10" s="56"/>
      <c r="U10" s="54"/>
      <c r="V10" s="54"/>
      <c r="W10" s="54"/>
      <c r="X10" s="54"/>
      <c r="Y10" s="54"/>
      <c r="Z10" s="54"/>
      <c r="AA10" s="54"/>
    </row>
    <row r="11" spans="3:31" x14ac:dyDescent="0.25">
      <c r="C11" s="55"/>
      <c r="D11" s="54"/>
      <c r="E11" s="54"/>
      <c r="F11" s="54"/>
      <c r="G11" s="54"/>
      <c r="H11" s="54"/>
      <c r="I11" s="54"/>
      <c r="J11" s="54"/>
      <c r="K11" s="57"/>
      <c r="L11" s="55"/>
      <c r="N11" s="55"/>
      <c r="O11" s="54"/>
      <c r="P11" s="56"/>
      <c r="U11" s="54"/>
      <c r="V11" s="54"/>
      <c r="W11" s="54"/>
      <c r="X11" s="54"/>
      <c r="Y11" s="54"/>
      <c r="Z11" s="54"/>
      <c r="AA11" s="54"/>
    </row>
    <row r="12" spans="3:31" x14ac:dyDescent="0.25">
      <c r="C12" s="55"/>
      <c r="D12" s="54"/>
      <c r="E12" s="58"/>
      <c r="F12" s="61"/>
      <c r="G12" s="58"/>
      <c r="H12" s="58"/>
      <c r="I12" s="58"/>
      <c r="J12" s="61"/>
      <c r="K12" s="65"/>
      <c r="L12" s="61"/>
      <c r="M12" s="66" t="s">
        <v>233</v>
      </c>
      <c r="N12" s="65"/>
      <c r="O12" s="61"/>
      <c r="P12" s="56"/>
      <c r="U12" s="54"/>
      <c r="V12" s="54"/>
      <c r="W12" s="54"/>
      <c r="X12" s="54"/>
      <c r="Y12" s="54"/>
      <c r="Z12" s="54"/>
      <c r="AA12" s="54"/>
    </row>
    <row r="13" spans="3:31" x14ac:dyDescent="0.25">
      <c r="C13" s="55"/>
      <c r="D13" s="54"/>
      <c r="E13" s="54"/>
      <c r="F13" s="62"/>
      <c r="G13" s="62"/>
      <c r="H13" s="69"/>
      <c r="I13" s="62"/>
      <c r="J13" s="69"/>
      <c r="K13" s="117"/>
      <c r="L13" s="69"/>
      <c r="M13" s="74"/>
      <c r="N13" s="64"/>
      <c r="O13" s="63"/>
      <c r="P13" s="56"/>
      <c r="U13" s="54"/>
      <c r="V13" s="54"/>
      <c r="W13" s="54"/>
      <c r="X13" s="54"/>
      <c r="Y13" s="54"/>
      <c r="Z13" s="54"/>
      <c r="AA13" s="54"/>
      <c r="AD13" s="53"/>
    </row>
    <row r="14" spans="3:31" x14ac:dyDescent="0.25">
      <c r="C14" s="55"/>
      <c r="D14" s="54"/>
      <c r="E14" s="54"/>
      <c r="F14" s="54"/>
      <c r="G14" s="62"/>
      <c r="H14" s="69"/>
      <c r="I14" s="62"/>
      <c r="J14" s="69"/>
      <c r="K14" s="117"/>
      <c r="L14" s="69"/>
      <c r="M14" s="60"/>
      <c r="P14" s="56"/>
      <c r="U14" s="54"/>
      <c r="V14" s="54"/>
      <c r="W14" s="54"/>
      <c r="X14" s="54"/>
      <c r="Y14" s="54"/>
      <c r="Z14" s="54"/>
      <c r="AA14" s="54"/>
    </row>
    <row r="15" spans="3:31" x14ac:dyDescent="0.25">
      <c r="C15" s="55"/>
      <c r="D15" s="54"/>
      <c r="E15" s="54"/>
      <c r="F15" s="54"/>
      <c r="G15" s="54"/>
      <c r="H15" s="54"/>
      <c r="I15" s="54"/>
      <c r="J15" s="54"/>
      <c r="K15" s="57"/>
      <c r="L15" s="55"/>
      <c r="M15" s="144" t="s">
        <v>234</v>
      </c>
      <c r="N15" s="55"/>
      <c r="O15" s="55"/>
      <c r="P15" s="56"/>
      <c r="U15" s="54"/>
      <c r="V15" s="54"/>
      <c r="W15" s="54"/>
      <c r="X15" s="54"/>
      <c r="Y15" s="54"/>
      <c r="Z15" s="54"/>
      <c r="AA15" s="54"/>
    </row>
    <row r="16" spans="3:31" x14ac:dyDescent="0.25">
      <c r="C16" s="55"/>
      <c r="D16" s="54"/>
      <c r="E16" s="54"/>
      <c r="F16" s="54"/>
      <c r="G16" s="54"/>
      <c r="H16" s="54"/>
      <c r="I16" s="54"/>
      <c r="J16" s="54"/>
      <c r="K16" s="57"/>
      <c r="L16" s="55"/>
      <c r="N16" s="55"/>
      <c r="O16" s="54"/>
      <c r="P16" s="56"/>
      <c r="U16" s="54"/>
      <c r="V16" s="54"/>
      <c r="W16" s="54"/>
      <c r="X16" s="54"/>
      <c r="Y16" s="54"/>
      <c r="Z16" s="54"/>
      <c r="AA16" s="54"/>
    </row>
    <row r="17" spans="3:30" x14ac:dyDescent="0.25">
      <c r="C17" s="55"/>
      <c r="D17" s="54"/>
      <c r="E17" s="54"/>
      <c r="F17" s="54"/>
      <c r="G17" s="54"/>
      <c r="H17" s="54"/>
      <c r="I17" s="54"/>
      <c r="J17" s="54"/>
      <c r="K17" s="57"/>
      <c r="L17" s="55"/>
      <c r="N17" s="55"/>
      <c r="O17" s="54"/>
      <c r="P17" s="56"/>
      <c r="U17" s="54"/>
      <c r="V17" s="54"/>
      <c r="W17" s="54"/>
      <c r="X17" s="54"/>
      <c r="Y17" s="54"/>
      <c r="Z17" s="54"/>
      <c r="AA17" s="54"/>
      <c r="AD17" s="53"/>
    </row>
    <row r="18" spans="3:30" x14ac:dyDescent="0.25">
      <c r="C18" s="55"/>
      <c r="D18" s="54"/>
      <c r="E18" s="58"/>
      <c r="F18" s="61"/>
      <c r="G18" s="58"/>
      <c r="H18" s="58"/>
      <c r="I18" s="58"/>
      <c r="J18" s="61"/>
      <c r="K18" s="65"/>
      <c r="L18" s="61"/>
      <c r="M18" s="66" t="s">
        <v>237</v>
      </c>
      <c r="N18" s="65"/>
      <c r="O18" s="61"/>
      <c r="P18" s="56"/>
      <c r="U18" s="54"/>
      <c r="V18" s="54"/>
      <c r="W18" s="54"/>
      <c r="X18" s="54"/>
      <c r="Y18" s="54"/>
      <c r="Z18" s="54"/>
      <c r="AA18" s="54"/>
      <c r="AD18" s="71"/>
    </row>
    <row r="19" spans="3:30" x14ac:dyDescent="0.25">
      <c r="C19" s="55"/>
      <c r="D19" s="54"/>
      <c r="E19" s="54"/>
      <c r="F19" s="62"/>
      <c r="G19" s="62"/>
      <c r="H19" s="69"/>
      <c r="I19" s="62"/>
      <c r="J19" s="69"/>
      <c r="K19" s="117"/>
      <c r="L19" s="69"/>
      <c r="M19" s="74"/>
      <c r="N19" s="64"/>
      <c r="O19" s="63"/>
      <c r="P19" s="56"/>
      <c r="U19" s="54"/>
      <c r="V19" s="54"/>
      <c r="W19" s="54"/>
      <c r="X19" s="54"/>
      <c r="Y19" s="54"/>
      <c r="Z19" s="54"/>
      <c r="AA19" s="54"/>
      <c r="AD19" s="71"/>
    </row>
    <row r="20" spans="3:30" x14ac:dyDescent="0.25">
      <c r="C20" s="55"/>
      <c r="D20" s="54"/>
      <c r="E20" s="54"/>
      <c r="F20" s="54"/>
      <c r="G20" s="62"/>
      <c r="H20" s="69"/>
      <c r="I20" s="62"/>
      <c r="J20" s="69"/>
      <c r="K20" s="117"/>
      <c r="L20" s="69"/>
      <c r="M20" s="60"/>
      <c r="P20" s="56"/>
      <c r="U20" s="54"/>
      <c r="V20" s="54"/>
      <c r="W20" s="54"/>
      <c r="X20" s="54"/>
      <c r="Y20" s="54"/>
      <c r="Z20" s="54"/>
      <c r="AA20" s="54"/>
      <c r="AD20" s="71"/>
    </row>
    <row r="21" spans="3:30" x14ac:dyDescent="0.25">
      <c r="C21" s="55"/>
      <c r="D21" s="54"/>
      <c r="E21" s="54"/>
      <c r="F21" s="54"/>
      <c r="G21" s="54"/>
      <c r="H21" s="62"/>
      <c r="I21" s="69"/>
      <c r="J21" s="69"/>
      <c r="K21" s="117"/>
      <c r="L21" s="69"/>
      <c r="M21" s="60"/>
      <c r="N21" s="55"/>
      <c r="O21" s="55"/>
      <c r="P21" s="56"/>
      <c r="U21" s="54"/>
      <c r="V21" s="54"/>
      <c r="W21" s="54"/>
      <c r="X21" s="54"/>
      <c r="Y21" s="54"/>
      <c r="Z21" s="54"/>
      <c r="AA21" s="54"/>
      <c r="AD21" s="70"/>
    </row>
    <row r="22" spans="3:30" x14ac:dyDescent="0.25">
      <c r="C22" s="55"/>
      <c r="D22" s="54"/>
      <c r="E22" s="54"/>
      <c r="F22" s="54"/>
      <c r="G22" s="54"/>
      <c r="H22" s="54"/>
      <c r="I22" s="54"/>
      <c r="J22" s="54"/>
      <c r="K22" s="57"/>
      <c r="L22" s="55"/>
      <c r="M22" s="144" t="s">
        <v>236</v>
      </c>
      <c r="N22" s="55"/>
      <c r="O22" s="54"/>
      <c r="P22" s="56"/>
      <c r="U22" s="54"/>
      <c r="V22" s="54"/>
      <c r="W22" s="54"/>
      <c r="X22" s="54"/>
      <c r="Y22" s="54"/>
      <c r="Z22" s="54"/>
      <c r="AA22" s="54"/>
    </row>
    <row r="23" spans="3:30" x14ac:dyDescent="0.25">
      <c r="C23" s="55"/>
      <c r="D23" s="54"/>
      <c r="E23" s="54"/>
      <c r="F23" s="54"/>
      <c r="G23" s="54"/>
      <c r="H23" s="54"/>
      <c r="I23" s="54"/>
      <c r="J23" s="54"/>
      <c r="K23" s="57"/>
      <c r="L23" s="55"/>
      <c r="N23" s="55"/>
      <c r="O23" s="54"/>
      <c r="P23" s="56"/>
      <c r="U23" s="54"/>
      <c r="V23" s="54"/>
      <c r="W23" s="54"/>
      <c r="X23" s="54"/>
      <c r="Y23" s="54"/>
      <c r="Z23" s="54"/>
      <c r="AA23" s="54"/>
    </row>
    <row r="24" spans="3:30" x14ac:dyDescent="0.25">
      <c r="C24" s="55"/>
      <c r="D24" s="54"/>
      <c r="E24" s="54"/>
      <c r="F24" s="54"/>
      <c r="G24" s="54"/>
      <c r="H24" s="54"/>
      <c r="I24" s="54"/>
      <c r="J24" s="54"/>
      <c r="K24" s="57"/>
      <c r="L24" s="55"/>
      <c r="N24" s="55"/>
      <c r="O24" s="54"/>
      <c r="P24" s="56"/>
      <c r="U24" s="54"/>
      <c r="V24" s="54"/>
      <c r="W24" s="54"/>
      <c r="X24" s="54"/>
      <c r="Y24" s="54"/>
      <c r="Z24" s="54"/>
      <c r="AA24" s="54"/>
      <c r="AD24" s="70"/>
    </row>
    <row r="25" spans="3:30" x14ac:dyDescent="0.25">
      <c r="C25" s="55"/>
      <c r="D25" s="54"/>
      <c r="E25" s="54"/>
      <c r="F25" s="54"/>
      <c r="G25" s="54"/>
      <c r="H25" s="54"/>
      <c r="I25" s="54"/>
      <c r="J25" s="54"/>
      <c r="K25" s="57"/>
      <c r="L25" s="55"/>
      <c r="N25" s="55"/>
      <c r="O25" s="54"/>
      <c r="P25" s="56"/>
      <c r="U25" s="54"/>
      <c r="V25" s="54"/>
      <c r="W25" s="54"/>
      <c r="X25" s="54"/>
      <c r="Y25" s="54"/>
      <c r="Z25" s="54"/>
      <c r="AA25" s="54"/>
    </row>
    <row r="26" spans="3:30" x14ac:dyDescent="0.25">
      <c r="C26" s="55"/>
      <c r="D26" s="54"/>
      <c r="E26" s="54"/>
      <c r="F26" s="54"/>
      <c r="G26" s="54"/>
      <c r="H26" s="54"/>
      <c r="I26" s="54"/>
      <c r="J26" s="54"/>
      <c r="K26" s="57"/>
      <c r="L26" s="55"/>
      <c r="N26" s="55"/>
      <c r="O26" s="54"/>
      <c r="P26" s="56"/>
      <c r="U26" s="54"/>
      <c r="V26" s="54"/>
      <c r="W26" s="54"/>
      <c r="X26" s="54"/>
      <c r="Y26" s="54"/>
      <c r="Z26" s="54"/>
      <c r="AA26" s="54"/>
    </row>
    <row r="27" spans="3:30" x14ac:dyDescent="0.25">
      <c r="C27" s="55"/>
      <c r="D27" s="54"/>
      <c r="E27" s="54"/>
      <c r="F27" s="54"/>
      <c r="G27" s="54"/>
      <c r="H27" s="54"/>
      <c r="I27" s="54"/>
      <c r="J27" s="54"/>
      <c r="K27" s="57"/>
      <c r="L27" s="55"/>
      <c r="N27" s="55"/>
      <c r="O27" s="54"/>
      <c r="P27" s="56"/>
      <c r="U27" s="54"/>
      <c r="V27" s="54"/>
      <c r="W27" s="54"/>
      <c r="X27" s="54"/>
      <c r="Y27" s="54"/>
      <c r="Z27" s="54"/>
      <c r="AA27" s="54"/>
    </row>
    <row r="28" spans="3:30" x14ac:dyDescent="0.25">
      <c r="C28" s="55"/>
      <c r="D28" s="54"/>
      <c r="E28" s="54"/>
      <c r="F28" s="54"/>
      <c r="G28" s="54"/>
      <c r="H28" s="54"/>
      <c r="I28" s="54"/>
      <c r="J28" s="54"/>
      <c r="K28" s="57"/>
      <c r="L28" s="55"/>
      <c r="N28" s="55"/>
      <c r="O28" s="54"/>
      <c r="P28" s="56"/>
      <c r="U28" s="54"/>
      <c r="V28" s="54"/>
      <c r="W28" s="54"/>
      <c r="X28" s="54"/>
      <c r="Y28" s="54"/>
      <c r="Z28" s="54"/>
      <c r="AA28" s="54"/>
    </row>
    <row r="29" spans="3:30" x14ac:dyDescent="0.25">
      <c r="C29" s="55"/>
      <c r="D29" s="54"/>
      <c r="E29" s="54"/>
      <c r="F29" s="54"/>
      <c r="G29" s="54"/>
      <c r="H29" s="54"/>
      <c r="I29" s="54"/>
      <c r="J29" s="54"/>
      <c r="K29" s="57"/>
      <c r="L29" s="55"/>
      <c r="N29" s="55"/>
      <c r="O29" s="54"/>
      <c r="P29" s="56"/>
      <c r="U29" s="54"/>
      <c r="V29" s="54"/>
      <c r="W29" s="54"/>
      <c r="X29" s="54"/>
      <c r="Y29" s="54"/>
      <c r="Z29" s="54"/>
      <c r="AA29" s="54"/>
    </row>
    <row r="30" spans="3:30" x14ac:dyDescent="0.25">
      <c r="C30" s="55"/>
      <c r="D30" s="54"/>
      <c r="E30" s="54"/>
      <c r="F30" s="54"/>
      <c r="G30" s="54"/>
      <c r="H30" s="54"/>
      <c r="I30" s="54"/>
      <c r="J30" s="54"/>
      <c r="K30" s="57"/>
      <c r="L30" s="55"/>
      <c r="N30" s="55"/>
      <c r="O30" s="54"/>
      <c r="P30" s="56"/>
      <c r="U30" s="54"/>
      <c r="V30" s="54"/>
      <c r="W30" s="54"/>
      <c r="X30" s="54"/>
      <c r="Y30" s="54"/>
      <c r="Z30" s="54"/>
      <c r="AA30" s="54"/>
    </row>
    <row r="31" spans="3:30" x14ac:dyDescent="0.25">
      <c r="C31" s="55"/>
      <c r="D31" s="54"/>
      <c r="E31" s="54"/>
      <c r="F31" s="54"/>
      <c r="G31" s="54"/>
      <c r="H31" s="54"/>
      <c r="I31" s="54"/>
      <c r="J31" s="54"/>
      <c r="K31" s="57"/>
      <c r="L31" s="55"/>
      <c r="N31" s="55"/>
      <c r="O31" s="54"/>
      <c r="P31" s="56"/>
      <c r="U31" s="54"/>
      <c r="V31" s="54"/>
      <c r="W31" s="54"/>
      <c r="X31" s="54"/>
      <c r="Y31" s="54"/>
      <c r="Z31" s="54"/>
      <c r="AA31" s="54"/>
    </row>
    <row r="32" spans="3:30" x14ac:dyDescent="0.25">
      <c r="C32" s="55"/>
      <c r="D32" s="54"/>
      <c r="E32" s="54"/>
      <c r="F32" s="54"/>
      <c r="G32" s="54"/>
      <c r="H32" s="54"/>
      <c r="I32" s="54"/>
      <c r="J32" s="54"/>
      <c r="K32" s="57"/>
      <c r="L32" s="55"/>
      <c r="N32" s="55"/>
      <c r="O32" s="54"/>
      <c r="P32" s="56"/>
      <c r="U32" s="54"/>
      <c r="V32" s="54"/>
      <c r="W32" s="54"/>
      <c r="X32" s="54"/>
      <c r="Y32" s="54"/>
      <c r="Z32" s="54"/>
      <c r="AA32" s="54"/>
    </row>
    <row r="33" spans="3:27" x14ac:dyDescent="0.25">
      <c r="C33" s="55"/>
      <c r="D33" s="54"/>
      <c r="E33" s="54"/>
      <c r="F33" s="54"/>
      <c r="G33" s="54"/>
      <c r="H33" s="54"/>
      <c r="I33" s="54"/>
      <c r="J33" s="54"/>
      <c r="K33" s="57"/>
      <c r="L33" s="55"/>
      <c r="N33" s="55"/>
      <c r="O33" s="54"/>
      <c r="P33" s="56"/>
      <c r="U33" s="54"/>
      <c r="V33" s="54"/>
      <c r="W33" s="54"/>
      <c r="X33" s="54"/>
      <c r="Y33" s="54"/>
      <c r="Z33" s="54"/>
      <c r="AA33" s="54"/>
    </row>
    <row r="34" spans="3:27" x14ac:dyDescent="0.25">
      <c r="C34" s="55"/>
      <c r="D34" s="54"/>
      <c r="E34" s="54"/>
      <c r="F34" s="54"/>
      <c r="G34" s="54"/>
      <c r="H34" s="54"/>
      <c r="I34" s="54"/>
      <c r="J34" s="54"/>
      <c r="K34" s="57"/>
      <c r="L34" s="55"/>
      <c r="N34" s="55"/>
      <c r="O34" s="54"/>
      <c r="P34" s="56"/>
      <c r="U34" s="54"/>
      <c r="V34" s="54"/>
      <c r="W34" s="54"/>
      <c r="X34" s="54"/>
      <c r="Y34" s="54"/>
      <c r="Z34" s="54"/>
      <c r="AA34" s="54"/>
    </row>
    <row r="35" spans="3:27" x14ac:dyDescent="0.25">
      <c r="C35" s="55"/>
      <c r="D35" s="54"/>
      <c r="E35" s="54"/>
      <c r="F35" s="54"/>
      <c r="G35" s="54"/>
      <c r="H35" s="54"/>
      <c r="I35" s="54"/>
      <c r="J35" s="54"/>
      <c r="K35" s="57"/>
      <c r="L35" s="55"/>
      <c r="N35" s="55"/>
      <c r="O35" s="54"/>
      <c r="P35" s="56"/>
      <c r="U35" s="54"/>
      <c r="V35" s="54"/>
      <c r="W35" s="54"/>
      <c r="X35" s="54"/>
      <c r="Y35" s="54"/>
      <c r="Z35" s="54"/>
      <c r="AA35" s="54"/>
    </row>
    <row r="36" spans="3:27" x14ac:dyDescent="0.25">
      <c r="C36" s="55"/>
      <c r="D36" s="54"/>
      <c r="E36" s="54"/>
      <c r="F36" s="54"/>
      <c r="G36" s="54"/>
      <c r="H36" s="54"/>
      <c r="I36" s="54"/>
      <c r="J36" s="54"/>
      <c r="K36" s="57"/>
      <c r="L36" s="55"/>
      <c r="N36" s="55"/>
      <c r="O36" s="54"/>
      <c r="P36" s="56"/>
      <c r="U36" s="54"/>
      <c r="V36" s="54"/>
      <c r="W36" s="54"/>
      <c r="X36" s="54"/>
      <c r="Y36" s="54"/>
      <c r="Z36" s="54"/>
      <c r="AA36" s="54"/>
    </row>
    <row r="37" spans="3:27" x14ac:dyDescent="0.25">
      <c r="C37" s="55"/>
      <c r="D37" s="54"/>
      <c r="E37" s="54"/>
      <c r="F37" s="54"/>
      <c r="G37" s="54"/>
      <c r="H37" s="54"/>
      <c r="I37" s="54"/>
      <c r="J37" s="54"/>
      <c r="K37" s="57"/>
      <c r="L37" s="55"/>
      <c r="N37" s="55"/>
      <c r="O37" s="54"/>
      <c r="P37" s="56"/>
      <c r="U37" s="54"/>
      <c r="V37" s="54"/>
      <c r="W37" s="54"/>
      <c r="X37" s="54"/>
      <c r="Y37" s="54"/>
      <c r="Z37" s="54"/>
      <c r="AA37" s="54"/>
    </row>
    <row r="38" spans="3:27" x14ac:dyDescent="0.25">
      <c r="D38" s="54"/>
      <c r="E38" s="54"/>
      <c r="F38" s="54"/>
      <c r="G38" s="54"/>
      <c r="H38" s="54"/>
      <c r="I38" s="54"/>
      <c r="J38" s="54"/>
      <c r="K38" s="57"/>
      <c r="L38" s="55"/>
      <c r="N38" s="55"/>
      <c r="O38" s="54"/>
      <c r="P38" s="56"/>
      <c r="U38" s="54"/>
      <c r="V38" s="54"/>
      <c r="W38" s="54"/>
      <c r="X38" s="54"/>
      <c r="Y38" s="54"/>
      <c r="Z38" s="54"/>
      <c r="AA38" s="54"/>
    </row>
    <row r="39" spans="3:27" x14ac:dyDescent="0.25">
      <c r="D39" s="54"/>
      <c r="E39" s="54"/>
      <c r="F39" s="54"/>
      <c r="G39" s="54"/>
      <c r="H39" s="54"/>
      <c r="I39" s="54"/>
      <c r="J39" s="54"/>
      <c r="K39" s="57"/>
      <c r="L39" s="55"/>
      <c r="N39" s="55"/>
      <c r="O39" s="54"/>
      <c r="P39" s="56"/>
      <c r="U39" s="54"/>
      <c r="V39" s="54"/>
      <c r="W39" s="54"/>
      <c r="X39" s="54"/>
      <c r="Y39" s="54"/>
      <c r="Z39" s="54"/>
      <c r="AA39" s="54"/>
    </row>
    <row r="40" spans="3:27" x14ac:dyDescent="0.25">
      <c r="D40" s="54"/>
      <c r="E40" s="54"/>
      <c r="F40" s="54"/>
      <c r="G40" s="54"/>
      <c r="H40" s="54"/>
      <c r="I40" s="54"/>
      <c r="J40" s="54"/>
      <c r="K40" s="57"/>
      <c r="L40" s="55"/>
      <c r="N40" s="55"/>
      <c r="O40" s="54"/>
      <c r="P40" s="56"/>
      <c r="U40" s="54"/>
      <c r="V40" s="54"/>
      <c r="W40" s="54"/>
      <c r="X40" s="54"/>
      <c r="Y40" s="54"/>
      <c r="Z40" s="54"/>
      <c r="AA40" s="54"/>
    </row>
    <row r="41" spans="3:27" x14ac:dyDescent="0.25">
      <c r="D41" s="54"/>
      <c r="E41" s="54"/>
      <c r="F41" s="54"/>
      <c r="G41" s="54"/>
      <c r="H41" s="54"/>
      <c r="I41" s="54"/>
      <c r="J41" s="54"/>
      <c r="K41" s="57"/>
      <c r="L41" s="55"/>
      <c r="N41" s="55"/>
      <c r="O41" s="54"/>
      <c r="P41" s="56"/>
      <c r="U41" s="54"/>
      <c r="V41" s="54"/>
      <c r="W41" s="54"/>
      <c r="X41" s="54"/>
      <c r="Y41" s="54"/>
      <c r="Z41" s="54"/>
      <c r="AA41" s="54"/>
    </row>
    <row r="42" spans="3:27" x14ac:dyDescent="0.25">
      <c r="D42" s="54"/>
      <c r="E42" s="54"/>
      <c r="F42" s="54"/>
      <c r="G42" s="54"/>
      <c r="H42" s="54"/>
      <c r="I42" s="54"/>
      <c r="J42" s="54"/>
      <c r="K42" s="57"/>
      <c r="L42" s="55"/>
      <c r="N42" s="55"/>
      <c r="O42" s="54"/>
      <c r="P42" s="56"/>
      <c r="U42" s="54"/>
      <c r="V42" s="54"/>
      <c r="W42" s="54"/>
      <c r="X42" s="54"/>
      <c r="Y42" s="54"/>
      <c r="Z42" s="54"/>
      <c r="AA42" s="54"/>
    </row>
    <row r="43" spans="3:27" x14ac:dyDescent="0.25">
      <c r="D43" s="54"/>
      <c r="E43" s="54"/>
      <c r="F43" s="54"/>
      <c r="G43" s="54"/>
      <c r="H43" s="54"/>
      <c r="I43" s="54"/>
      <c r="J43" s="54"/>
      <c r="K43" s="57"/>
      <c r="L43" s="55"/>
      <c r="N43" s="55"/>
      <c r="O43" s="54"/>
      <c r="P43" s="56"/>
      <c r="U43" s="54"/>
      <c r="V43" s="54"/>
      <c r="W43" s="54"/>
      <c r="X43" s="54"/>
      <c r="Y43" s="54"/>
      <c r="Z43" s="54"/>
      <c r="AA43" s="54"/>
    </row>
    <row r="44" spans="3:27" x14ac:dyDescent="0.25">
      <c r="D44" s="54"/>
      <c r="E44" s="54"/>
      <c r="F44" s="54"/>
      <c r="G44" s="54"/>
      <c r="H44" s="54"/>
      <c r="I44" s="54"/>
      <c r="J44" s="54"/>
      <c r="K44" s="57"/>
      <c r="L44" s="55"/>
      <c r="N44" s="55"/>
      <c r="O44" s="54"/>
      <c r="P44" s="56"/>
      <c r="U44" s="54"/>
      <c r="V44" s="54"/>
      <c r="W44" s="54"/>
      <c r="X44" s="54"/>
      <c r="Y44" s="54"/>
      <c r="Z44" s="54"/>
      <c r="AA44" s="54"/>
    </row>
    <row r="45" spans="3:27" x14ac:dyDescent="0.25">
      <c r="D45" s="54"/>
      <c r="E45" s="54"/>
      <c r="F45" s="54"/>
      <c r="G45" s="54"/>
      <c r="H45" s="54"/>
      <c r="I45" s="54"/>
      <c r="J45" s="54"/>
      <c r="K45" s="57"/>
      <c r="L45" s="55"/>
      <c r="N45" s="55"/>
      <c r="O45" s="54"/>
      <c r="P45" s="56"/>
      <c r="U45" s="54"/>
      <c r="V45" s="54"/>
      <c r="W45" s="54"/>
      <c r="X45" s="54"/>
      <c r="Y45" s="54"/>
      <c r="Z45" s="54"/>
      <c r="AA45" s="54"/>
    </row>
    <row r="46" spans="3:27" x14ac:dyDescent="0.25">
      <c r="D46" s="54"/>
      <c r="E46" s="54"/>
      <c r="F46" s="54"/>
      <c r="G46" s="54"/>
      <c r="H46" s="54"/>
      <c r="I46" s="54"/>
      <c r="J46" s="54"/>
      <c r="K46" s="57"/>
      <c r="L46" s="55"/>
      <c r="N46" s="55"/>
      <c r="O46" s="54"/>
      <c r="P46" s="56"/>
      <c r="U46" s="54"/>
      <c r="V46" s="54"/>
      <c r="W46" s="54"/>
      <c r="X46" s="54"/>
      <c r="Y46" s="54"/>
      <c r="Z46" s="54"/>
      <c r="AA46" s="54"/>
    </row>
    <row r="47" spans="3:27" x14ac:dyDescent="0.25">
      <c r="D47" s="54"/>
      <c r="E47" s="54"/>
      <c r="F47" s="54"/>
      <c r="G47" s="54"/>
      <c r="H47" s="54"/>
      <c r="I47" s="54"/>
      <c r="J47" s="54"/>
      <c r="K47" s="57"/>
      <c r="L47" s="55"/>
      <c r="N47" s="55"/>
      <c r="O47" s="54"/>
      <c r="P47" s="56"/>
      <c r="U47" s="54"/>
      <c r="V47" s="54"/>
      <c r="W47" s="54"/>
      <c r="X47" s="54"/>
      <c r="Y47" s="54"/>
      <c r="Z47" s="54"/>
      <c r="AA47" s="54"/>
    </row>
    <row r="48" spans="3:27" x14ac:dyDescent="0.25">
      <c r="D48" s="54"/>
      <c r="E48" s="54"/>
      <c r="F48" s="54"/>
      <c r="G48" s="54"/>
      <c r="H48" s="54"/>
      <c r="I48" s="54"/>
      <c r="J48" s="54"/>
      <c r="K48" s="57"/>
      <c r="L48" s="55"/>
      <c r="N48" s="55"/>
      <c r="O48" s="54"/>
      <c r="P48" s="56"/>
      <c r="U48" s="54"/>
      <c r="V48" s="54"/>
      <c r="W48" s="54"/>
      <c r="X48" s="54"/>
      <c r="Y48" s="54"/>
      <c r="Z48" s="54"/>
      <c r="AA48" s="54"/>
    </row>
    <row r="49" spans="4:27" x14ac:dyDescent="0.25">
      <c r="D49" s="54"/>
      <c r="E49" s="54"/>
      <c r="F49" s="54"/>
      <c r="G49" s="54"/>
      <c r="H49" s="54"/>
      <c r="I49" s="54"/>
      <c r="J49" s="54"/>
      <c r="K49" s="57"/>
      <c r="L49" s="55"/>
      <c r="N49" s="55"/>
      <c r="O49" s="54"/>
      <c r="P49" s="56"/>
      <c r="U49" s="54"/>
      <c r="V49" s="54"/>
      <c r="W49" s="54"/>
      <c r="X49" s="54"/>
      <c r="Y49" s="54"/>
      <c r="Z49" s="54"/>
      <c r="AA49" s="54"/>
    </row>
    <row r="50" spans="4:27" x14ac:dyDescent="0.25">
      <c r="D50" s="54"/>
      <c r="E50" s="54"/>
      <c r="F50" s="54"/>
      <c r="G50" s="54"/>
      <c r="H50" s="54"/>
      <c r="I50" s="54"/>
      <c r="J50" s="54"/>
      <c r="K50" s="57"/>
      <c r="L50" s="55"/>
      <c r="N50" s="55"/>
      <c r="O50" s="54"/>
      <c r="P50" s="56"/>
      <c r="U50" s="54"/>
      <c r="V50" s="54"/>
      <c r="W50" s="54"/>
      <c r="X50" s="54"/>
      <c r="Y50" s="54"/>
      <c r="Z50" s="54"/>
      <c r="AA50" s="54"/>
    </row>
    <row r="51" spans="4:27" x14ac:dyDescent="0.25">
      <c r="D51" s="54"/>
      <c r="E51" s="54"/>
      <c r="F51" s="54"/>
      <c r="G51" s="54"/>
      <c r="H51" s="54"/>
      <c r="I51" s="54"/>
      <c r="J51" s="54"/>
      <c r="K51" s="57"/>
      <c r="L51" s="55"/>
      <c r="N51" s="55"/>
      <c r="O51" s="54"/>
      <c r="P51" s="56"/>
      <c r="U51" s="54"/>
      <c r="V51" s="54"/>
      <c r="W51" s="54"/>
      <c r="X51" s="54"/>
      <c r="Y51" s="54"/>
      <c r="Z51" s="54"/>
      <c r="AA51" s="54"/>
    </row>
    <row r="52" spans="4:27" x14ac:dyDescent="0.25">
      <c r="D52" s="54"/>
      <c r="E52" s="54"/>
      <c r="F52" s="54"/>
      <c r="G52" s="54"/>
      <c r="H52" s="54"/>
      <c r="I52" s="54"/>
      <c r="J52" s="54"/>
      <c r="K52" s="57"/>
      <c r="L52" s="55"/>
      <c r="N52" s="55"/>
      <c r="O52" s="54"/>
      <c r="P52" s="56"/>
      <c r="U52" s="54"/>
      <c r="V52" s="54"/>
      <c r="W52" s="54"/>
      <c r="X52" s="54"/>
      <c r="Y52" s="54"/>
      <c r="Z52" s="54"/>
      <c r="AA52" s="54"/>
    </row>
    <row r="53" spans="4:27" x14ac:dyDescent="0.25">
      <c r="D53" s="54"/>
      <c r="E53" s="54"/>
      <c r="F53" s="54"/>
      <c r="G53" s="54"/>
      <c r="H53" s="54"/>
      <c r="I53" s="54"/>
      <c r="J53" s="54"/>
      <c r="K53" s="57"/>
      <c r="L53" s="55"/>
      <c r="N53" s="55"/>
      <c r="O53" s="54"/>
      <c r="P53" s="56"/>
      <c r="U53" s="54"/>
      <c r="V53" s="54"/>
      <c r="W53" s="54"/>
      <c r="X53" s="54"/>
      <c r="Y53" s="54"/>
      <c r="Z53" s="54"/>
      <c r="AA53" s="54"/>
    </row>
    <row r="54" spans="4:27" x14ac:dyDescent="0.25">
      <c r="D54" s="54"/>
      <c r="E54" s="54"/>
      <c r="F54" s="54"/>
      <c r="G54" s="54"/>
      <c r="H54" s="54"/>
      <c r="I54" s="54"/>
      <c r="J54" s="54"/>
      <c r="K54" s="57"/>
      <c r="L54" s="55"/>
      <c r="N54" s="55"/>
      <c r="O54" s="54"/>
      <c r="P54" s="56"/>
      <c r="U54" s="54"/>
      <c r="V54" s="54"/>
      <c r="W54" s="54"/>
      <c r="X54" s="54"/>
      <c r="Y54" s="54"/>
      <c r="Z54" s="54"/>
      <c r="AA54" s="54"/>
    </row>
    <row r="55" spans="4:27" x14ac:dyDescent="0.25">
      <c r="D55" s="54"/>
      <c r="E55" s="54"/>
      <c r="F55" s="54"/>
      <c r="G55" s="54"/>
      <c r="H55" s="54"/>
      <c r="I55" s="54"/>
      <c r="J55" s="54"/>
      <c r="K55" s="57"/>
      <c r="L55" s="55"/>
      <c r="N55" s="55"/>
      <c r="O55" s="54"/>
      <c r="P55" s="56"/>
      <c r="U55" s="54"/>
      <c r="V55" s="54"/>
      <c r="W55" s="54"/>
      <c r="X55" s="54"/>
      <c r="Y55" s="54"/>
      <c r="Z55" s="54"/>
      <c r="AA55" s="54"/>
    </row>
    <row r="56" spans="4:27" x14ac:dyDescent="0.25">
      <c r="D56" s="54"/>
      <c r="E56" s="54"/>
      <c r="F56" s="54"/>
      <c r="G56" s="54"/>
      <c r="H56" s="54"/>
      <c r="I56" s="54"/>
      <c r="J56" s="54"/>
      <c r="K56" s="57"/>
      <c r="L56" s="55"/>
      <c r="N56" s="55"/>
      <c r="O56" s="54"/>
      <c r="P56" s="56"/>
      <c r="U56" s="54"/>
      <c r="V56" s="54"/>
      <c r="W56" s="54"/>
      <c r="X56" s="54"/>
      <c r="Y56" s="54"/>
      <c r="Z56" s="54"/>
      <c r="AA56" s="54"/>
    </row>
    <row r="57" spans="4:27" x14ac:dyDescent="0.25">
      <c r="D57" s="54"/>
      <c r="E57" s="54"/>
      <c r="F57" s="54"/>
      <c r="G57" s="54"/>
      <c r="H57" s="54"/>
      <c r="I57" s="54"/>
      <c r="J57" s="54"/>
      <c r="K57" s="57"/>
      <c r="L57" s="55"/>
      <c r="N57" s="55"/>
      <c r="O57" s="54"/>
      <c r="P57" s="56"/>
      <c r="U57" s="54"/>
      <c r="V57" s="54"/>
      <c r="W57" s="54"/>
      <c r="X57" s="54"/>
      <c r="Y57" s="54"/>
      <c r="Z57" s="54"/>
      <c r="AA57" s="54"/>
    </row>
    <row r="58" spans="4:27" x14ac:dyDescent="0.25">
      <c r="D58" s="54"/>
      <c r="E58" s="54"/>
      <c r="F58" s="54"/>
      <c r="G58" s="54"/>
      <c r="H58" s="54"/>
      <c r="I58" s="54"/>
      <c r="J58" s="54"/>
      <c r="K58" s="57"/>
      <c r="L58" s="55"/>
      <c r="N58" s="55"/>
      <c r="O58" s="54"/>
      <c r="P58" s="56"/>
      <c r="U58" s="54"/>
      <c r="V58" s="54"/>
      <c r="W58" s="54"/>
      <c r="X58" s="54"/>
      <c r="Y58" s="54"/>
      <c r="Z58" s="54"/>
      <c r="AA58" s="54"/>
    </row>
    <row r="59" spans="4:27" x14ac:dyDescent="0.25">
      <c r="D59" s="54"/>
      <c r="E59" s="54"/>
      <c r="F59" s="54"/>
      <c r="G59" s="54"/>
      <c r="H59" s="54"/>
      <c r="I59" s="54"/>
      <c r="J59" s="54"/>
      <c r="K59" s="57"/>
      <c r="L59" s="55"/>
      <c r="N59" s="55"/>
      <c r="O59" s="54"/>
      <c r="P59" s="56"/>
      <c r="U59" s="54"/>
      <c r="V59" s="54"/>
      <c r="W59" s="54"/>
      <c r="X59" s="54"/>
      <c r="Y59" s="54"/>
      <c r="Z59" s="54"/>
      <c r="AA59" s="54"/>
    </row>
    <row r="60" spans="4:27" x14ac:dyDescent="0.25">
      <c r="D60" s="54"/>
      <c r="E60" s="54"/>
      <c r="F60" s="54"/>
      <c r="G60" s="54"/>
      <c r="H60" s="54"/>
      <c r="I60" s="54"/>
      <c r="J60" s="54"/>
      <c r="K60" s="57"/>
      <c r="L60" s="55"/>
      <c r="N60" s="55"/>
      <c r="O60" s="54"/>
      <c r="P60" s="56"/>
      <c r="U60" s="54"/>
      <c r="V60" s="54"/>
      <c r="W60" s="54"/>
      <c r="X60" s="54"/>
      <c r="Y60" s="54"/>
      <c r="Z60" s="54"/>
      <c r="AA60" s="54"/>
    </row>
    <row r="61" spans="4:27" x14ac:dyDescent="0.25">
      <c r="D61" s="54"/>
      <c r="E61" s="54"/>
      <c r="F61" s="54"/>
      <c r="G61" s="54"/>
      <c r="H61" s="54"/>
      <c r="I61" s="54"/>
      <c r="J61" s="54"/>
      <c r="K61" s="57"/>
      <c r="L61" s="55"/>
      <c r="N61" s="55"/>
      <c r="O61" s="54"/>
      <c r="P61" s="56"/>
      <c r="U61" s="54"/>
      <c r="V61" s="54"/>
      <c r="W61" s="54"/>
      <c r="X61" s="54"/>
      <c r="Y61" s="54"/>
      <c r="Z61" s="54"/>
      <c r="AA61" s="54"/>
    </row>
    <row r="62" spans="4:27" x14ac:dyDescent="0.25">
      <c r="D62" s="54"/>
      <c r="E62" s="54"/>
      <c r="F62" s="54"/>
      <c r="G62" s="54"/>
      <c r="H62" s="54"/>
      <c r="I62" s="54"/>
      <c r="J62" s="54"/>
      <c r="K62" s="57"/>
      <c r="L62" s="55"/>
      <c r="N62" s="55"/>
      <c r="O62" s="54"/>
      <c r="P62" s="56"/>
      <c r="U62" s="54"/>
      <c r="V62" s="54"/>
      <c r="W62" s="54"/>
      <c r="X62" s="54"/>
      <c r="Y62" s="54"/>
      <c r="Z62" s="54"/>
      <c r="AA62" s="54"/>
    </row>
    <row r="63" spans="4:27" x14ac:dyDescent="0.25">
      <c r="D63" s="54"/>
      <c r="E63" s="54"/>
      <c r="F63" s="54"/>
      <c r="G63" s="54"/>
      <c r="H63" s="54"/>
      <c r="I63" s="54"/>
      <c r="J63" s="54"/>
      <c r="K63" s="57"/>
      <c r="L63" s="55"/>
      <c r="N63" s="55"/>
      <c r="O63" s="54"/>
      <c r="P63" s="56"/>
      <c r="U63" s="54"/>
      <c r="V63" s="54"/>
      <c r="W63" s="54"/>
      <c r="X63" s="54"/>
      <c r="Y63" s="54"/>
      <c r="Z63" s="54"/>
      <c r="AA63" s="54"/>
    </row>
    <row r="64" spans="4:27" x14ac:dyDescent="0.25">
      <c r="D64" s="54"/>
      <c r="E64" s="54"/>
      <c r="F64" s="54"/>
      <c r="G64" s="54"/>
      <c r="H64" s="54"/>
      <c r="I64" s="54"/>
      <c r="J64" s="54"/>
      <c r="K64" s="57"/>
      <c r="L64" s="55"/>
      <c r="N64" s="55"/>
      <c r="O64" s="54"/>
      <c r="P64" s="56"/>
      <c r="U64" s="54"/>
      <c r="V64" s="54"/>
      <c r="W64" s="54"/>
      <c r="X64" s="54"/>
      <c r="Y64" s="54"/>
      <c r="Z64" s="54"/>
      <c r="AA64" s="54"/>
    </row>
    <row r="65" spans="4:27" x14ac:dyDescent="0.25">
      <c r="D65" s="54"/>
      <c r="E65" s="54"/>
      <c r="F65" s="54"/>
      <c r="G65" s="54"/>
      <c r="H65" s="54"/>
      <c r="I65" s="54"/>
      <c r="J65" s="54"/>
      <c r="K65" s="57"/>
      <c r="L65" s="55"/>
      <c r="N65" s="55"/>
      <c r="O65" s="54"/>
      <c r="P65" s="56"/>
      <c r="U65" s="54"/>
      <c r="V65" s="54"/>
      <c r="W65" s="54"/>
      <c r="X65" s="54"/>
      <c r="Y65" s="54"/>
      <c r="Z65" s="54"/>
      <c r="AA65" s="54"/>
    </row>
    <row r="66" spans="4:27" x14ac:dyDescent="0.25">
      <c r="D66" s="54"/>
      <c r="E66" s="54"/>
      <c r="F66" s="54"/>
      <c r="G66" s="54"/>
      <c r="H66" s="54"/>
      <c r="I66" s="54"/>
      <c r="J66" s="54"/>
      <c r="K66" s="57"/>
      <c r="L66" s="55"/>
      <c r="N66" s="55"/>
      <c r="O66" s="54"/>
      <c r="P66" s="56"/>
      <c r="U66" s="54"/>
      <c r="V66" s="54"/>
      <c r="W66" s="54"/>
      <c r="X66" s="54"/>
      <c r="Y66" s="54"/>
      <c r="Z66" s="54"/>
      <c r="AA66" s="54"/>
    </row>
    <row r="67" spans="4:27" x14ac:dyDescent="0.25">
      <c r="D67" s="54"/>
      <c r="E67" s="54"/>
      <c r="F67" s="54"/>
      <c r="G67" s="54"/>
      <c r="H67" s="54"/>
      <c r="I67" s="54"/>
      <c r="J67" s="54"/>
      <c r="K67" s="57"/>
      <c r="L67" s="55"/>
      <c r="N67" s="55"/>
      <c r="O67" s="54"/>
      <c r="P67" s="56"/>
      <c r="U67" s="54"/>
      <c r="V67" s="54"/>
      <c r="W67" s="54"/>
      <c r="X67" s="54"/>
      <c r="Y67" s="54"/>
      <c r="Z67" s="54"/>
      <c r="AA67" s="54"/>
    </row>
    <row r="68" spans="4:27" x14ac:dyDescent="0.25">
      <c r="D68" s="54"/>
      <c r="E68" s="54"/>
      <c r="F68" s="54"/>
      <c r="G68" s="54"/>
      <c r="H68" s="54"/>
      <c r="I68" s="54"/>
      <c r="J68" s="54"/>
      <c r="K68" s="57"/>
      <c r="L68" s="55"/>
      <c r="N68" s="55"/>
      <c r="O68" s="54"/>
      <c r="P68" s="56"/>
      <c r="U68" s="54"/>
      <c r="V68" s="54"/>
      <c r="W68" s="54"/>
      <c r="X68" s="54"/>
      <c r="Y68" s="54"/>
      <c r="Z68" s="54"/>
      <c r="AA68" s="54"/>
    </row>
    <row r="69" spans="4:27" x14ac:dyDescent="0.25">
      <c r="D69" s="54"/>
      <c r="E69" s="54"/>
      <c r="F69" s="54"/>
      <c r="G69" s="54"/>
      <c r="H69" s="54"/>
      <c r="I69" s="54"/>
      <c r="J69" s="54"/>
      <c r="K69" s="57"/>
      <c r="L69" s="55"/>
      <c r="N69" s="55"/>
      <c r="O69" s="54"/>
      <c r="P69" s="56"/>
      <c r="U69" s="54"/>
      <c r="V69" s="54"/>
      <c r="W69" s="54"/>
      <c r="X69" s="54"/>
      <c r="Y69" s="54"/>
      <c r="Z69" s="54"/>
      <c r="AA69" s="54"/>
    </row>
    <row r="70" spans="4:27" x14ac:dyDescent="0.25">
      <c r="D70" s="54"/>
      <c r="E70" s="54"/>
      <c r="F70" s="54"/>
      <c r="G70" s="54"/>
      <c r="H70" s="54"/>
      <c r="I70" s="54"/>
      <c r="J70" s="54"/>
      <c r="K70" s="57"/>
      <c r="L70" s="55"/>
      <c r="N70" s="55"/>
      <c r="O70" s="54"/>
      <c r="P70" s="56"/>
      <c r="U70" s="54"/>
      <c r="V70" s="54"/>
      <c r="W70" s="54"/>
      <c r="X70" s="54"/>
      <c r="Y70" s="54"/>
      <c r="Z70" s="54"/>
      <c r="AA70" s="54"/>
    </row>
    <row r="71" spans="4:27" x14ac:dyDescent="0.25">
      <c r="D71" s="54"/>
      <c r="E71" s="54"/>
      <c r="F71" s="54"/>
      <c r="G71" s="54"/>
      <c r="H71" s="54"/>
      <c r="I71" s="54"/>
      <c r="J71" s="54"/>
      <c r="K71" s="57"/>
      <c r="L71" s="55"/>
      <c r="N71" s="55"/>
      <c r="O71" s="54"/>
      <c r="P71" s="56"/>
      <c r="U71" s="54"/>
      <c r="V71" s="54"/>
      <c r="W71" s="54"/>
      <c r="X71" s="54"/>
      <c r="Y71" s="54"/>
      <c r="Z71" s="54"/>
      <c r="AA71" s="54"/>
    </row>
    <row r="72" spans="4:27" x14ac:dyDescent="0.25">
      <c r="D72" s="54"/>
      <c r="E72" s="54"/>
      <c r="F72" s="54"/>
      <c r="G72" s="54"/>
      <c r="H72" s="54"/>
      <c r="I72" s="54"/>
      <c r="J72" s="54"/>
      <c r="K72" s="57"/>
      <c r="L72" s="55"/>
      <c r="N72" s="55"/>
      <c r="O72" s="54"/>
      <c r="P72" s="56"/>
      <c r="U72" s="54"/>
      <c r="V72" s="54"/>
      <c r="W72" s="54"/>
      <c r="X72" s="54"/>
      <c r="Y72" s="54"/>
      <c r="Z72" s="54"/>
      <c r="AA72" s="54"/>
    </row>
    <row r="73" spans="4:27" x14ac:dyDescent="0.25">
      <c r="D73" s="54"/>
      <c r="E73" s="54"/>
      <c r="F73" s="54"/>
      <c r="G73" s="54"/>
      <c r="H73" s="54"/>
      <c r="I73" s="54"/>
      <c r="J73" s="54"/>
      <c r="K73" s="57"/>
      <c r="L73" s="55"/>
      <c r="N73" s="55"/>
      <c r="O73" s="54"/>
      <c r="P73" s="56"/>
      <c r="U73" s="54"/>
      <c r="V73" s="54"/>
      <c r="W73" s="54"/>
      <c r="X73" s="54"/>
      <c r="Y73" s="54"/>
      <c r="Z73" s="54"/>
      <c r="AA73" s="54"/>
    </row>
    <row r="74" spans="4:27" x14ac:dyDescent="0.25">
      <c r="D74" s="54"/>
      <c r="E74" s="54"/>
      <c r="F74" s="54"/>
      <c r="G74" s="54"/>
      <c r="H74" s="54"/>
      <c r="I74" s="54"/>
      <c r="J74" s="54"/>
      <c r="K74" s="57"/>
      <c r="L74" s="55"/>
      <c r="N74" s="55"/>
      <c r="O74" s="54"/>
      <c r="P74" s="56"/>
      <c r="U74" s="54"/>
      <c r="V74" s="54"/>
      <c r="W74" s="54"/>
      <c r="X74" s="54"/>
      <c r="Y74" s="54"/>
      <c r="Z74" s="54"/>
      <c r="AA74" s="54"/>
    </row>
    <row r="75" spans="4:27" x14ac:dyDescent="0.25">
      <c r="D75" s="54"/>
      <c r="E75" s="54"/>
      <c r="F75" s="54"/>
      <c r="G75" s="54"/>
      <c r="H75" s="54"/>
      <c r="I75" s="54"/>
      <c r="J75" s="54"/>
      <c r="K75" s="57"/>
      <c r="L75" s="55"/>
      <c r="N75" s="55"/>
      <c r="O75" s="54"/>
      <c r="P75" s="56"/>
      <c r="U75" s="54"/>
      <c r="V75" s="54"/>
      <c r="W75" s="54"/>
      <c r="X75" s="54"/>
      <c r="Y75" s="54"/>
      <c r="Z75" s="54"/>
      <c r="AA75" s="54"/>
    </row>
    <row r="76" spans="4:27" x14ac:dyDescent="0.25">
      <c r="D76" s="54"/>
      <c r="E76" s="54"/>
      <c r="F76" s="54"/>
      <c r="G76" s="54"/>
      <c r="H76" s="54"/>
      <c r="I76" s="54"/>
      <c r="J76" s="54"/>
      <c r="K76" s="57"/>
      <c r="L76" s="55"/>
      <c r="N76" s="55"/>
      <c r="O76" s="54"/>
      <c r="P76" s="56"/>
      <c r="U76" s="54"/>
      <c r="V76" s="54"/>
      <c r="W76" s="54"/>
      <c r="X76" s="54"/>
      <c r="Y76" s="54"/>
      <c r="Z76" s="54"/>
      <c r="AA76" s="54"/>
    </row>
    <row r="77" spans="4:27" x14ac:dyDescent="0.25">
      <c r="D77" s="54"/>
      <c r="E77" s="54"/>
      <c r="F77" s="54"/>
      <c r="G77" s="54"/>
      <c r="H77" s="54"/>
      <c r="I77" s="54"/>
      <c r="J77" s="54"/>
      <c r="K77" s="57"/>
      <c r="L77" s="55"/>
      <c r="N77" s="55"/>
      <c r="O77" s="54"/>
      <c r="P77" s="56"/>
      <c r="U77" s="54"/>
      <c r="V77" s="54"/>
      <c r="W77" s="54"/>
      <c r="X77" s="54"/>
      <c r="Y77" s="54"/>
      <c r="Z77" s="54"/>
      <c r="AA77" s="54"/>
    </row>
    <row r="78" spans="4:27" x14ac:dyDescent="0.25">
      <c r="D78" s="54"/>
      <c r="E78" s="54"/>
      <c r="F78" s="54"/>
      <c r="G78" s="54"/>
      <c r="H78" s="54"/>
      <c r="I78" s="54"/>
      <c r="J78" s="54"/>
      <c r="K78" s="57"/>
      <c r="L78" s="55"/>
      <c r="N78" s="55"/>
      <c r="O78" s="54"/>
      <c r="P78" s="56"/>
      <c r="U78" s="54"/>
      <c r="V78" s="54"/>
      <c r="W78" s="54"/>
      <c r="X78" s="54"/>
      <c r="Y78" s="54"/>
      <c r="Z78" s="54"/>
      <c r="AA78" s="54"/>
    </row>
    <row r="79" spans="4:27" x14ac:dyDescent="0.25">
      <c r="D79" s="54"/>
      <c r="E79" s="54"/>
      <c r="F79" s="54"/>
      <c r="G79" s="54"/>
      <c r="H79" s="54"/>
      <c r="I79" s="54"/>
      <c r="J79" s="54"/>
      <c r="K79" s="57"/>
      <c r="L79" s="55"/>
      <c r="N79" s="55"/>
      <c r="O79" s="54"/>
      <c r="P79" s="56"/>
      <c r="U79" s="54"/>
      <c r="V79" s="54"/>
      <c r="W79" s="54"/>
      <c r="X79" s="54"/>
      <c r="Y79" s="54"/>
      <c r="Z79" s="54"/>
      <c r="AA79" s="54"/>
    </row>
    <row r="80" spans="4:27" x14ac:dyDescent="0.25">
      <c r="D80" s="54"/>
      <c r="E80" s="54"/>
      <c r="F80" s="54"/>
      <c r="G80" s="54"/>
      <c r="H80" s="54"/>
      <c r="I80" s="54"/>
      <c r="J80" s="54"/>
      <c r="K80" s="57"/>
      <c r="L80" s="55"/>
      <c r="N80" s="55"/>
      <c r="O80" s="54"/>
      <c r="P80" s="56"/>
      <c r="U80" s="54"/>
      <c r="V80" s="54"/>
      <c r="W80" s="54"/>
      <c r="X80" s="54"/>
      <c r="Y80" s="54"/>
      <c r="Z80" s="54"/>
      <c r="AA80" s="54"/>
    </row>
    <row r="81" spans="4:27" x14ac:dyDescent="0.25">
      <c r="D81" s="54"/>
      <c r="E81" s="54"/>
      <c r="F81" s="54"/>
      <c r="G81" s="54"/>
      <c r="H81" s="54"/>
      <c r="I81" s="54"/>
      <c r="J81" s="54"/>
      <c r="K81" s="57"/>
      <c r="L81" s="55"/>
      <c r="N81" s="55"/>
      <c r="O81" s="54"/>
      <c r="P81" s="56"/>
      <c r="U81" s="54"/>
      <c r="V81" s="54"/>
      <c r="W81" s="54"/>
      <c r="X81" s="54"/>
      <c r="Y81" s="54"/>
      <c r="Z81" s="54"/>
      <c r="AA81" s="54"/>
    </row>
    <row r="82" spans="4:27" x14ac:dyDescent="0.25">
      <c r="D82" s="54"/>
      <c r="E82" s="54"/>
      <c r="F82" s="54"/>
      <c r="G82" s="54"/>
      <c r="H82" s="54"/>
      <c r="I82" s="54"/>
      <c r="J82" s="54"/>
      <c r="K82" s="57"/>
      <c r="L82" s="55"/>
      <c r="N82" s="55"/>
      <c r="O82" s="54"/>
      <c r="P82" s="56"/>
      <c r="U82" s="54"/>
      <c r="V82" s="54"/>
      <c r="W82" s="54"/>
      <c r="X82" s="54"/>
      <c r="Y82" s="54"/>
      <c r="Z82" s="54"/>
      <c r="AA82" s="54"/>
    </row>
    <row r="83" spans="4:27" x14ac:dyDescent="0.25">
      <c r="D83" s="54"/>
      <c r="E83" s="54"/>
      <c r="F83" s="54"/>
      <c r="G83" s="54"/>
      <c r="H83" s="54"/>
      <c r="I83" s="54"/>
      <c r="J83" s="54"/>
      <c r="K83" s="57"/>
      <c r="L83" s="55"/>
      <c r="N83" s="55"/>
      <c r="O83" s="54"/>
      <c r="P83" s="56"/>
      <c r="U83" s="54"/>
      <c r="V83" s="54"/>
      <c r="W83" s="54"/>
      <c r="X83" s="54"/>
      <c r="Y83" s="54"/>
      <c r="Z83" s="54"/>
      <c r="AA83" s="54"/>
    </row>
    <row r="84" spans="4:27" x14ac:dyDescent="0.25">
      <c r="D84" s="54"/>
      <c r="E84" s="54"/>
      <c r="F84" s="54"/>
      <c r="G84" s="54"/>
      <c r="H84" s="54"/>
      <c r="I84" s="54"/>
      <c r="J84" s="54"/>
      <c r="K84" s="57"/>
      <c r="L84" s="55"/>
      <c r="N84" s="55"/>
      <c r="O84" s="54"/>
      <c r="P84" s="56"/>
      <c r="U84" s="54"/>
      <c r="V84" s="54"/>
      <c r="W84" s="54"/>
      <c r="X84" s="54"/>
      <c r="Y84" s="54"/>
      <c r="Z84" s="54"/>
      <c r="AA84" s="54"/>
    </row>
    <row r="85" spans="4:27" x14ac:dyDescent="0.25">
      <c r="D85" s="54"/>
      <c r="E85" s="54"/>
      <c r="F85" s="54"/>
      <c r="G85" s="54"/>
      <c r="H85" s="54"/>
      <c r="I85" s="54"/>
      <c r="J85" s="54"/>
      <c r="K85" s="57"/>
      <c r="L85" s="55"/>
      <c r="N85" s="55"/>
      <c r="O85" s="54"/>
      <c r="P85" s="56"/>
      <c r="U85" s="54"/>
      <c r="V85" s="54"/>
      <c r="W85" s="54"/>
      <c r="X85" s="54"/>
      <c r="Y85" s="54"/>
      <c r="Z85" s="54"/>
      <c r="AA85" s="54"/>
    </row>
    <row r="86" spans="4:27" x14ac:dyDescent="0.25">
      <c r="D86" s="54"/>
      <c r="E86" s="54"/>
      <c r="F86" s="54"/>
      <c r="G86" s="54"/>
      <c r="H86" s="54"/>
      <c r="I86" s="54"/>
      <c r="J86" s="54"/>
      <c r="K86" s="57"/>
      <c r="L86" s="55"/>
      <c r="N86" s="55"/>
      <c r="O86" s="54"/>
      <c r="P86" s="56"/>
      <c r="U86" s="54"/>
      <c r="V86" s="54"/>
      <c r="W86" s="54"/>
      <c r="X86" s="54"/>
      <c r="Y86" s="54"/>
      <c r="Z86" s="54"/>
      <c r="AA86" s="54"/>
    </row>
    <row r="87" spans="4:27" x14ac:dyDescent="0.25">
      <c r="D87" s="54"/>
      <c r="E87" s="54"/>
      <c r="F87" s="54"/>
      <c r="G87" s="54"/>
      <c r="H87" s="54"/>
      <c r="I87" s="54"/>
      <c r="J87" s="54"/>
      <c r="K87" s="57"/>
      <c r="L87" s="55"/>
      <c r="N87" s="55"/>
      <c r="O87" s="54"/>
      <c r="P87" s="56"/>
      <c r="U87" s="54"/>
      <c r="V87" s="54"/>
      <c r="W87" s="54"/>
      <c r="X87" s="54"/>
      <c r="Y87" s="54"/>
      <c r="Z87" s="54"/>
      <c r="AA87" s="54"/>
    </row>
    <row r="88" spans="4:27" x14ac:dyDescent="0.25">
      <c r="D88" s="54"/>
      <c r="E88" s="54"/>
      <c r="F88" s="54"/>
      <c r="G88" s="54"/>
      <c r="H88" s="54"/>
      <c r="I88" s="54"/>
      <c r="J88" s="54"/>
      <c r="K88" s="57"/>
      <c r="L88" s="55"/>
      <c r="N88" s="55"/>
      <c r="O88" s="54"/>
      <c r="P88" s="56"/>
      <c r="U88" s="54"/>
      <c r="V88" s="54"/>
      <c r="W88" s="54"/>
      <c r="X88" s="54"/>
      <c r="Y88" s="54"/>
      <c r="Z88" s="54"/>
      <c r="AA88" s="54"/>
    </row>
    <row r="89" spans="4:27" x14ac:dyDescent="0.25">
      <c r="D89" s="54"/>
      <c r="E89" s="54"/>
      <c r="F89" s="54"/>
      <c r="G89" s="54"/>
      <c r="H89" s="54"/>
      <c r="I89" s="54"/>
      <c r="J89" s="54"/>
      <c r="K89" s="57"/>
      <c r="L89" s="55"/>
      <c r="N89" s="55"/>
      <c r="O89" s="54"/>
      <c r="P89" s="56"/>
      <c r="U89" s="54"/>
      <c r="V89" s="54"/>
      <c r="W89" s="54"/>
      <c r="X89" s="54"/>
      <c r="Y89" s="54"/>
      <c r="Z89" s="54"/>
      <c r="AA89" s="54"/>
    </row>
    <row r="90" spans="4:27" x14ac:dyDescent="0.25">
      <c r="D90" s="54"/>
      <c r="E90" s="54"/>
      <c r="F90" s="54"/>
      <c r="G90" s="54"/>
      <c r="H90" s="54"/>
      <c r="I90" s="54"/>
      <c r="J90" s="54"/>
      <c r="K90" s="57"/>
      <c r="L90" s="55"/>
      <c r="N90" s="55"/>
      <c r="O90" s="54"/>
      <c r="P90" s="56"/>
      <c r="U90" s="54"/>
      <c r="V90" s="54"/>
      <c r="W90" s="54"/>
      <c r="X90" s="54"/>
      <c r="Y90" s="54"/>
      <c r="Z90" s="54"/>
      <c r="AA90" s="54"/>
    </row>
    <row r="91" spans="4:27" x14ac:dyDescent="0.25">
      <c r="D91" s="54"/>
      <c r="E91" s="54"/>
      <c r="F91" s="54"/>
      <c r="G91" s="54"/>
      <c r="H91" s="54"/>
      <c r="I91" s="54"/>
      <c r="J91" s="54"/>
      <c r="K91" s="57"/>
      <c r="L91" s="55"/>
      <c r="N91" s="55"/>
      <c r="O91" s="54"/>
      <c r="P91" s="56"/>
      <c r="U91" s="54"/>
      <c r="V91" s="54"/>
      <c r="W91" s="54"/>
      <c r="X91" s="54"/>
      <c r="Y91" s="54"/>
      <c r="Z91" s="54"/>
      <c r="AA91" s="54"/>
    </row>
    <row r="92" spans="4:27" x14ac:dyDescent="0.25">
      <c r="D92" s="54"/>
      <c r="E92" s="54"/>
      <c r="F92" s="54"/>
      <c r="G92" s="54"/>
      <c r="H92" s="54"/>
      <c r="I92" s="54"/>
      <c r="J92" s="54"/>
      <c r="K92" s="57"/>
      <c r="L92" s="55"/>
      <c r="N92" s="55"/>
      <c r="O92" s="54"/>
      <c r="P92" s="56"/>
      <c r="U92" s="54"/>
      <c r="V92" s="54"/>
      <c r="W92" s="54"/>
      <c r="X92" s="54"/>
      <c r="Y92" s="54"/>
      <c r="Z92" s="54"/>
      <c r="AA92" s="54"/>
    </row>
    <row r="93" spans="4:27" x14ac:dyDescent="0.25">
      <c r="D93" s="54"/>
      <c r="E93" s="54"/>
      <c r="F93" s="54"/>
      <c r="G93" s="54"/>
      <c r="H93" s="54"/>
      <c r="I93" s="54"/>
      <c r="J93" s="54"/>
      <c r="K93" s="57"/>
      <c r="L93" s="55"/>
      <c r="N93" s="55"/>
      <c r="O93" s="54"/>
      <c r="P93" s="56"/>
      <c r="U93" s="54"/>
      <c r="V93" s="54"/>
      <c r="W93" s="54"/>
      <c r="X93" s="54"/>
      <c r="Y93" s="54"/>
      <c r="Z93" s="54"/>
      <c r="AA93" s="54"/>
    </row>
    <row r="94" spans="4:27" x14ac:dyDescent="0.25">
      <c r="D94" s="54"/>
      <c r="E94" s="54"/>
      <c r="F94" s="54"/>
      <c r="G94" s="54"/>
      <c r="H94" s="54"/>
      <c r="I94" s="54"/>
      <c r="J94" s="54"/>
      <c r="K94" s="57"/>
      <c r="L94" s="55"/>
      <c r="N94" s="55"/>
      <c r="O94" s="54"/>
      <c r="P94" s="56"/>
      <c r="U94" s="54"/>
      <c r="V94" s="54"/>
      <c r="W94" s="54"/>
      <c r="X94" s="54"/>
      <c r="Y94" s="54"/>
      <c r="Z94" s="54"/>
      <c r="AA94" s="54"/>
    </row>
    <row r="95" spans="4:27" x14ac:dyDescent="0.25">
      <c r="D95" s="54"/>
      <c r="E95" s="54"/>
      <c r="F95" s="54"/>
      <c r="G95" s="54"/>
      <c r="H95" s="54"/>
      <c r="I95" s="54"/>
      <c r="J95" s="54"/>
      <c r="K95" s="57"/>
      <c r="L95" s="55"/>
      <c r="N95" s="55"/>
      <c r="O95" s="54"/>
      <c r="P95" s="56"/>
      <c r="U95" s="54"/>
      <c r="V95" s="54"/>
      <c r="W95" s="54"/>
      <c r="X95" s="54"/>
      <c r="Y95" s="54"/>
      <c r="Z95" s="54"/>
      <c r="AA95" s="54"/>
    </row>
    <row r="96" spans="4:27" x14ac:dyDescent="0.25">
      <c r="D96" s="54"/>
      <c r="E96" s="54"/>
      <c r="F96" s="54"/>
      <c r="G96" s="54"/>
      <c r="H96" s="54"/>
      <c r="I96" s="54"/>
      <c r="J96" s="54"/>
      <c r="K96" s="57"/>
      <c r="L96" s="55"/>
      <c r="N96" s="55"/>
      <c r="O96" s="54"/>
      <c r="P96" s="56"/>
      <c r="U96" s="54"/>
      <c r="V96" s="54"/>
      <c r="W96" s="54"/>
      <c r="X96" s="54"/>
      <c r="Y96" s="54"/>
      <c r="Z96" s="54"/>
      <c r="AA96" s="54"/>
    </row>
    <row r="97" spans="4:27" x14ac:dyDescent="0.25">
      <c r="D97" s="54"/>
      <c r="E97" s="54"/>
      <c r="F97" s="54"/>
      <c r="G97" s="54"/>
      <c r="H97" s="54"/>
      <c r="I97" s="54"/>
      <c r="J97" s="54"/>
      <c r="K97" s="57"/>
      <c r="L97" s="55"/>
      <c r="N97" s="55"/>
      <c r="O97" s="54"/>
      <c r="P97" s="56"/>
      <c r="U97" s="54"/>
      <c r="V97" s="54"/>
      <c r="W97" s="54"/>
      <c r="X97" s="54"/>
      <c r="Y97" s="54"/>
      <c r="Z97" s="54"/>
      <c r="AA97" s="54"/>
    </row>
    <row r="98" spans="4:27" x14ac:dyDescent="0.25">
      <c r="D98" s="54"/>
      <c r="E98" s="54"/>
      <c r="F98" s="54"/>
      <c r="G98" s="54"/>
      <c r="H98" s="54"/>
      <c r="I98" s="54"/>
      <c r="J98" s="54"/>
      <c r="K98" s="57"/>
      <c r="L98" s="55"/>
      <c r="N98" s="55"/>
      <c r="O98" s="54"/>
      <c r="P98" s="56"/>
      <c r="U98" s="54"/>
      <c r="V98" s="54"/>
      <c r="W98" s="54"/>
      <c r="X98" s="54"/>
      <c r="Y98" s="54"/>
      <c r="Z98" s="54"/>
      <c r="AA98" s="54"/>
    </row>
    <row r="99" spans="4:27" x14ac:dyDescent="0.25">
      <c r="D99" s="54"/>
      <c r="E99" s="54"/>
      <c r="F99" s="54"/>
      <c r="G99" s="54"/>
      <c r="H99" s="54"/>
      <c r="I99" s="54"/>
      <c r="J99" s="54"/>
      <c r="K99" s="57"/>
      <c r="L99" s="55"/>
      <c r="N99" s="55"/>
      <c r="O99" s="54"/>
      <c r="P99" s="56"/>
      <c r="U99" s="54"/>
      <c r="V99" s="54"/>
      <c r="W99" s="54"/>
      <c r="X99" s="54"/>
      <c r="Y99" s="54"/>
      <c r="Z99" s="54"/>
      <c r="AA99" s="54"/>
    </row>
    <row r="100" spans="4:27" x14ac:dyDescent="0.25">
      <c r="D100" s="54"/>
      <c r="E100" s="54"/>
      <c r="F100" s="54"/>
      <c r="G100" s="54"/>
      <c r="H100" s="54"/>
      <c r="I100" s="54"/>
      <c r="J100" s="54"/>
      <c r="K100" s="57"/>
      <c r="L100" s="55"/>
      <c r="N100" s="55"/>
      <c r="O100" s="54"/>
      <c r="P100" s="56"/>
      <c r="U100" s="54"/>
      <c r="V100" s="54"/>
      <c r="W100" s="54"/>
      <c r="X100" s="54"/>
      <c r="Y100" s="54"/>
      <c r="Z100" s="54"/>
      <c r="AA100" s="54"/>
    </row>
    <row r="101" spans="4:27" x14ac:dyDescent="0.25">
      <c r="D101" s="54"/>
      <c r="E101" s="54"/>
      <c r="F101" s="54"/>
      <c r="G101" s="54"/>
      <c r="H101" s="54"/>
      <c r="I101" s="54"/>
      <c r="J101" s="54"/>
      <c r="K101" s="57"/>
      <c r="L101" s="55"/>
      <c r="N101" s="55"/>
      <c r="O101" s="54"/>
      <c r="P101" s="56"/>
      <c r="U101" s="54"/>
      <c r="V101" s="54"/>
      <c r="W101" s="54"/>
      <c r="X101" s="54"/>
      <c r="Y101" s="54"/>
      <c r="Z101" s="54"/>
      <c r="AA101" s="54"/>
    </row>
    <row r="102" spans="4:27" x14ac:dyDescent="0.25">
      <c r="D102" s="54"/>
      <c r="E102" s="54"/>
      <c r="F102" s="54"/>
      <c r="G102" s="54"/>
      <c r="H102" s="54"/>
      <c r="I102" s="54"/>
      <c r="J102" s="54"/>
      <c r="K102" s="57"/>
      <c r="L102" s="55"/>
      <c r="N102" s="55"/>
      <c r="O102" s="54"/>
      <c r="P102" s="56"/>
      <c r="U102" s="54"/>
      <c r="V102" s="54"/>
      <c r="W102" s="54"/>
      <c r="X102" s="54"/>
      <c r="Y102" s="54"/>
      <c r="Z102" s="54"/>
      <c r="AA102" s="54"/>
    </row>
    <row r="103" spans="4:27" x14ac:dyDescent="0.25">
      <c r="D103" s="54"/>
      <c r="E103" s="54"/>
      <c r="F103" s="54"/>
      <c r="G103" s="54"/>
      <c r="H103" s="54"/>
      <c r="I103" s="54"/>
      <c r="J103" s="54"/>
      <c r="K103" s="57"/>
      <c r="L103" s="55"/>
      <c r="N103" s="55"/>
      <c r="O103" s="54"/>
      <c r="P103" s="56"/>
      <c r="U103" s="54"/>
      <c r="V103" s="54"/>
      <c r="W103" s="54"/>
      <c r="X103" s="54"/>
      <c r="Y103" s="54"/>
      <c r="Z103" s="54"/>
      <c r="AA103" s="54"/>
    </row>
    <row r="104" spans="4:27" x14ac:dyDescent="0.25">
      <c r="D104" s="54"/>
      <c r="E104" s="54"/>
      <c r="F104" s="54"/>
      <c r="G104" s="54"/>
      <c r="H104" s="54"/>
      <c r="I104" s="54"/>
      <c r="J104" s="54"/>
      <c r="K104" s="57"/>
      <c r="L104" s="55"/>
      <c r="N104" s="55"/>
      <c r="O104" s="54"/>
      <c r="P104" s="56"/>
      <c r="U104" s="54"/>
      <c r="V104" s="54"/>
      <c r="W104" s="54"/>
      <c r="X104" s="54"/>
      <c r="Y104" s="54"/>
      <c r="Z104" s="54"/>
      <c r="AA104" s="54"/>
    </row>
    <row r="105" spans="4:27" x14ac:dyDescent="0.25">
      <c r="D105" s="54"/>
      <c r="E105" s="54"/>
      <c r="F105" s="54"/>
      <c r="G105" s="54"/>
      <c r="H105" s="54"/>
      <c r="I105" s="54"/>
      <c r="J105" s="54"/>
      <c r="K105" s="57"/>
      <c r="L105" s="55"/>
      <c r="N105" s="55"/>
      <c r="O105" s="54"/>
      <c r="P105" s="56"/>
      <c r="U105" s="54"/>
      <c r="V105" s="54"/>
      <c r="W105" s="54"/>
      <c r="X105" s="54"/>
      <c r="Y105" s="54"/>
      <c r="Z105" s="54"/>
      <c r="AA105" s="54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61"/>
  <sheetViews>
    <sheetView zoomScaleNormal="100" workbookViewId="0">
      <selection activeCell="B9" sqref="B9"/>
    </sheetView>
  </sheetViews>
  <sheetFormatPr defaultColWidth="8.85546875" defaultRowHeight="12.75" x14ac:dyDescent="0.2"/>
  <cols>
    <col min="1" max="1" width="18.7109375" customWidth="1"/>
    <col min="2" max="2" width="22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83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90" t="s">
        <v>178</v>
      </c>
      <c r="B1" s="90"/>
    </row>
    <row r="2" spans="1:30" ht="15.75" thickBot="1" x14ac:dyDescent="0.3">
      <c r="A2" s="91"/>
      <c r="B2" s="85"/>
      <c r="C2" s="115" t="s">
        <v>137</v>
      </c>
      <c r="E2" s="85"/>
      <c r="F2" s="85"/>
      <c r="G2" s="86"/>
      <c r="H2" s="115" t="s">
        <v>139</v>
      </c>
      <c r="J2" s="85"/>
      <c r="K2" s="85"/>
      <c r="L2" s="86"/>
    </row>
    <row r="3" spans="1:30" ht="13.5" thickBot="1" x14ac:dyDescent="0.25">
      <c r="A3" s="92" t="s">
        <v>144</v>
      </c>
      <c r="B3" s="93" t="s">
        <v>131</v>
      </c>
      <c r="C3" s="92" t="s">
        <v>145</v>
      </c>
      <c r="D3" s="93" t="s">
        <v>138</v>
      </c>
      <c r="E3" s="93" t="s">
        <v>140</v>
      </c>
      <c r="F3" s="93" t="s">
        <v>141</v>
      </c>
      <c r="G3" s="94" t="s">
        <v>171</v>
      </c>
      <c r="H3" s="92" t="s">
        <v>145</v>
      </c>
      <c r="I3" s="93" t="s">
        <v>138</v>
      </c>
      <c r="J3" s="93" t="s">
        <v>140</v>
      </c>
      <c r="K3" s="93" t="s">
        <v>141</v>
      </c>
      <c r="L3" s="94" t="s">
        <v>171</v>
      </c>
      <c r="M3" t="s">
        <v>143</v>
      </c>
      <c r="S3" s="79" t="s">
        <v>166</v>
      </c>
    </row>
    <row r="4" spans="1:30" ht="13.5" thickBot="1" x14ac:dyDescent="0.25">
      <c r="A4" s="91" t="str">
        <f>RES!O2</f>
        <v>IFACR</v>
      </c>
      <c r="B4" s="85" t="str">
        <f>RES!O3</f>
        <v>Industry - Ferro Alloy Metals production</v>
      </c>
      <c r="C4" s="91" t="str">
        <f>RES!M9</f>
        <v>IFCEAF-E</v>
      </c>
      <c r="D4" s="85" t="str">
        <f>RES!M5</f>
        <v>FerroChrome existing</v>
      </c>
      <c r="E4" s="97" t="s">
        <v>134</v>
      </c>
      <c r="F4" s="119"/>
      <c r="G4" s="121" t="s">
        <v>172</v>
      </c>
      <c r="H4" s="91">
        <f>RES!T9</f>
        <v>0</v>
      </c>
      <c r="I4" s="85">
        <f>RES!T8</f>
        <v>0</v>
      </c>
      <c r="J4" s="97" t="s">
        <v>134</v>
      </c>
      <c r="K4" s="96">
        <f>F4</f>
        <v>0</v>
      </c>
      <c r="L4" s="86"/>
      <c r="Q4" s="126" t="s">
        <v>180</v>
      </c>
      <c r="R4" s="127" t="s">
        <v>181</v>
      </c>
      <c r="S4" s="127" t="s">
        <v>182</v>
      </c>
      <c r="U4" s="126"/>
      <c r="V4" s="127" t="s">
        <v>43</v>
      </c>
      <c r="W4" s="127" t="s">
        <v>187</v>
      </c>
      <c r="X4" s="127" t="s">
        <v>188</v>
      </c>
      <c r="Z4" t="s">
        <v>199</v>
      </c>
      <c r="AA4" s="79" t="s">
        <v>200</v>
      </c>
      <c r="AB4">
        <v>18.600000000000001</v>
      </c>
    </row>
    <row r="5" spans="1:30" ht="13.5" thickBot="1" x14ac:dyDescent="0.25">
      <c r="A5" s="83"/>
      <c r="C5" s="83"/>
      <c r="E5" s="79" t="s">
        <v>117</v>
      </c>
      <c r="F5" s="84">
        <f>P15</f>
        <v>3.484</v>
      </c>
      <c r="G5" s="118"/>
      <c r="J5" s="79" t="s">
        <v>117</v>
      </c>
      <c r="K5" s="84">
        <f>P14</f>
        <v>4.8570000000000002</v>
      </c>
      <c r="Q5" s="128" t="s">
        <v>183</v>
      </c>
      <c r="R5" s="129" t="s">
        <v>184</v>
      </c>
      <c r="S5" s="129">
        <v>28</v>
      </c>
      <c r="U5" s="128" t="s">
        <v>189</v>
      </c>
      <c r="V5" s="129" t="s">
        <v>190</v>
      </c>
      <c r="W5" s="129">
        <v>390</v>
      </c>
      <c r="X5" s="129">
        <v>390</v>
      </c>
      <c r="AA5" s="79" t="s">
        <v>202</v>
      </c>
      <c r="AB5">
        <f>AB4/3.6*1000</f>
        <v>5166.666666666667</v>
      </c>
    </row>
    <row r="6" spans="1:30" ht="15.75" thickBot="1" x14ac:dyDescent="0.3">
      <c r="A6" s="132" t="str">
        <f>RES!D2</f>
        <v>IISCKE</v>
      </c>
      <c r="B6" s="99" t="str">
        <f>RES!D3</f>
        <v>Industry - Iron and Steel - Coke</v>
      </c>
      <c r="C6" s="98"/>
      <c r="D6" s="99"/>
      <c r="E6" s="100"/>
      <c r="F6" s="120"/>
      <c r="G6" s="101"/>
      <c r="H6" s="98" t="str">
        <f>C4</f>
        <v>IFCEAF-E</v>
      </c>
      <c r="I6" s="98" t="str">
        <f>D4</f>
        <v>FerroChrome existing</v>
      </c>
      <c r="J6" s="100" t="s">
        <v>117</v>
      </c>
      <c r="K6" s="133">
        <f>M17</f>
        <v>71.099999999999994</v>
      </c>
      <c r="L6" s="101"/>
      <c r="M6" s="79"/>
      <c r="Q6" s="128" t="s">
        <v>185</v>
      </c>
      <c r="R6" s="129" t="s">
        <v>186</v>
      </c>
      <c r="S6" s="129">
        <v>38</v>
      </c>
      <c r="U6" s="128" t="s">
        <v>191</v>
      </c>
      <c r="V6" s="129" t="s">
        <v>118</v>
      </c>
      <c r="W6" s="129">
        <v>35</v>
      </c>
      <c r="X6" s="129">
        <v>100</v>
      </c>
      <c r="Z6" s="79" t="s">
        <v>201</v>
      </c>
      <c r="AA6" s="79" t="s">
        <v>200</v>
      </c>
      <c r="AB6">
        <v>120</v>
      </c>
    </row>
    <row r="7" spans="1:30" ht="15.75" thickBot="1" x14ac:dyDescent="0.3">
      <c r="A7" s="132" t="str">
        <f>RES!E2</f>
        <v>IISCOA</v>
      </c>
      <c r="B7" s="99" t="str">
        <f>RES!F3</f>
        <v>Industry-FA-Electricity</v>
      </c>
      <c r="C7" s="91"/>
      <c r="D7" s="85"/>
      <c r="E7" s="97"/>
      <c r="F7" s="123"/>
      <c r="G7" s="86"/>
      <c r="H7" s="91" t="str">
        <f>RES!M9</f>
        <v>IFCEAF-E</v>
      </c>
      <c r="I7" s="85" t="str">
        <f>RES!M5</f>
        <v>FerroChrome existing</v>
      </c>
      <c r="J7" s="97" t="s">
        <v>117</v>
      </c>
      <c r="K7" s="133">
        <f>M16</f>
        <v>14.068115100000002</v>
      </c>
      <c r="L7" s="104"/>
      <c r="Q7" s="128" t="s">
        <v>146</v>
      </c>
      <c r="R7" s="129" t="s">
        <v>186</v>
      </c>
      <c r="S7" s="129">
        <v>45</v>
      </c>
      <c r="U7" s="128" t="s">
        <v>192</v>
      </c>
      <c r="V7" s="129" t="s">
        <v>193</v>
      </c>
      <c r="W7" s="129">
        <v>33.44</v>
      </c>
      <c r="X7" s="129">
        <v>11.7</v>
      </c>
      <c r="AB7" s="79" t="s">
        <v>216</v>
      </c>
    </row>
    <row r="8" spans="1:30" ht="15.75" thickBot="1" x14ac:dyDescent="0.3">
      <c r="A8" s="132" t="str">
        <f>RES!F2</f>
        <v>IFAELC</v>
      </c>
      <c r="B8" s="99" t="str">
        <f>RES!F3</f>
        <v>Industry-FA-Electricity</v>
      </c>
      <c r="C8" s="87"/>
      <c r="D8" s="88"/>
      <c r="E8" s="88"/>
      <c r="F8" s="88"/>
      <c r="G8" s="89"/>
      <c r="H8" s="87" t="str">
        <f>H6</f>
        <v>IFCEAF-E</v>
      </c>
      <c r="I8" s="88" t="str">
        <f>I6</f>
        <v>FerroChrome existing</v>
      </c>
      <c r="J8" s="95" t="s">
        <v>117</v>
      </c>
      <c r="K8" s="133">
        <f>M15*3.6/1000</f>
        <v>43.065684000000005</v>
      </c>
      <c r="L8" s="89"/>
      <c r="M8" s="79"/>
      <c r="Q8" s="130" t="s">
        <v>197</v>
      </c>
      <c r="U8" s="128" t="s">
        <v>194</v>
      </c>
      <c r="V8" s="129" t="s">
        <v>195</v>
      </c>
      <c r="W8" s="129">
        <v>211.01</v>
      </c>
      <c r="X8" s="129">
        <v>189.27</v>
      </c>
      <c r="AB8" t="s">
        <v>206</v>
      </c>
      <c r="AC8" t="s">
        <v>207</v>
      </c>
      <c r="AD8">
        <f>X8/1000</f>
        <v>0.18927000000000002</v>
      </c>
    </row>
    <row r="9" spans="1:30" ht="13.5" thickBot="1" x14ac:dyDescent="0.25">
      <c r="A9" s="79" t="s">
        <v>247</v>
      </c>
      <c r="B9" t="str">
        <f>Commodities_BASE!C15</f>
        <v>Process Emissions FerroChrome South Africa</v>
      </c>
      <c r="C9" s="85" t="str">
        <f>C4</f>
        <v>IFCEAF-E</v>
      </c>
      <c r="D9" s="85" t="str">
        <f>D4</f>
        <v>FerroChrome existing</v>
      </c>
      <c r="E9" s="85" t="s">
        <v>142</v>
      </c>
      <c r="F9" s="138">
        <v>3225</v>
      </c>
      <c r="G9" s="86"/>
      <c r="H9" s="91"/>
      <c r="I9" s="85"/>
      <c r="K9" s="85"/>
      <c r="L9" s="85"/>
      <c r="M9" s="79"/>
      <c r="U9" s="128" t="s">
        <v>196</v>
      </c>
      <c r="V9" s="129" t="s">
        <v>118</v>
      </c>
      <c r="W9" s="129">
        <v>73.400000000000006</v>
      </c>
      <c r="X9" s="129">
        <v>81.8</v>
      </c>
      <c r="AC9" t="s">
        <v>209</v>
      </c>
      <c r="AD9" t="e">
        <f>#REF!/AB4</f>
        <v>#REF!</v>
      </c>
    </row>
    <row r="10" spans="1:30" x14ac:dyDescent="0.2">
      <c r="A10" t="s">
        <v>203</v>
      </c>
      <c r="B10" t="str">
        <f>Commodities_BASE!C16</f>
        <v>CH4S South Africa</v>
      </c>
      <c r="C10" t="str">
        <f>C9</f>
        <v>IFCEAF-E</v>
      </c>
      <c r="D10" t="str">
        <f>D9</f>
        <v>FerroChrome existing</v>
      </c>
      <c r="E10" t="s">
        <v>142</v>
      </c>
      <c r="F10">
        <v>0</v>
      </c>
      <c r="M10" s="79"/>
      <c r="U10" s="131" t="s">
        <v>198</v>
      </c>
      <c r="AC10" s="79" t="s">
        <v>217</v>
      </c>
      <c r="AD10" t="e">
        <f>1/AD9</f>
        <v>#REF!</v>
      </c>
    </row>
    <row r="11" spans="1:30" x14ac:dyDescent="0.2">
      <c r="AC11" s="79" t="s">
        <v>219</v>
      </c>
      <c r="AD11">
        <f>X5/3600</f>
        <v>0.10833333333333334</v>
      </c>
    </row>
    <row r="12" spans="1:30" x14ac:dyDescent="0.2">
      <c r="M12" s="79"/>
      <c r="AC12" s="79" t="s">
        <v>218</v>
      </c>
      <c r="AD12">
        <f>AD11/AB4</f>
        <v>5.8243727598566303E-3</v>
      </c>
    </row>
    <row r="13" spans="1:30" x14ac:dyDescent="0.2">
      <c r="K13" s="79" t="s">
        <v>244</v>
      </c>
    </row>
    <row r="14" spans="1:30" x14ac:dyDescent="0.2">
      <c r="P14">
        <v>4.8570000000000002</v>
      </c>
      <c r="Q14" s="79" t="s">
        <v>245</v>
      </c>
    </row>
    <row r="15" spans="1:30" x14ac:dyDescent="0.2">
      <c r="K15" t="s">
        <v>240</v>
      </c>
      <c r="M15">
        <v>11962.69</v>
      </c>
      <c r="N15" t="s">
        <v>241</v>
      </c>
      <c r="P15">
        <v>3.484</v>
      </c>
      <c r="Q15" s="79" t="s">
        <v>246</v>
      </c>
      <c r="AB15" s="79" t="s">
        <v>215</v>
      </c>
    </row>
    <row r="16" spans="1:30" x14ac:dyDescent="0.2">
      <c r="K16" t="s">
        <v>242</v>
      </c>
      <c r="M16" s="79">
        <v>14.068115100000002</v>
      </c>
      <c r="N16" t="s">
        <v>117</v>
      </c>
      <c r="AB16" t="s">
        <v>206</v>
      </c>
      <c r="AC16" t="s">
        <v>207</v>
      </c>
      <c r="AD16">
        <f>W8/1000</f>
        <v>0.21101</v>
      </c>
    </row>
    <row r="17" spans="11:30" x14ac:dyDescent="0.2">
      <c r="K17" t="s">
        <v>243</v>
      </c>
      <c r="M17">
        <v>71.099999999999994</v>
      </c>
      <c r="N17" t="s">
        <v>117</v>
      </c>
      <c r="AC17" t="s">
        <v>208</v>
      </c>
      <c r="AD17">
        <f>AD16*AB6</f>
        <v>25.321200000000001</v>
      </c>
    </row>
    <row r="18" spans="11:30" x14ac:dyDescent="0.2">
      <c r="M18" s="79"/>
      <c r="AC18" t="s">
        <v>209</v>
      </c>
      <c r="AD18">
        <f>AD17/AB4</f>
        <v>1.3613548387096774</v>
      </c>
    </row>
    <row r="19" spans="11:30" x14ac:dyDescent="0.2">
      <c r="AC19" s="79" t="s">
        <v>217</v>
      </c>
      <c r="AD19">
        <f>1/AD18</f>
        <v>0.73456234301691858</v>
      </c>
    </row>
    <row r="20" spans="11:30" x14ac:dyDescent="0.2">
      <c r="M20" s="79"/>
    </row>
    <row r="21" spans="11:30" ht="15" customHeight="1" x14ac:dyDescent="0.2">
      <c r="M21" s="79"/>
    </row>
    <row r="22" spans="11:30" x14ac:dyDescent="0.2">
      <c r="M22" s="79"/>
    </row>
    <row r="23" spans="11:30" x14ac:dyDescent="0.2">
      <c r="M23" s="79"/>
    </row>
    <row r="24" spans="11:30" x14ac:dyDescent="0.2">
      <c r="M24" s="79"/>
    </row>
    <row r="25" spans="11:30" x14ac:dyDescent="0.2">
      <c r="M25" s="79"/>
    </row>
    <row r="26" spans="11:30" x14ac:dyDescent="0.2">
      <c r="M26" s="79"/>
    </row>
    <row r="27" spans="11:30" x14ac:dyDescent="0.2">
      <c r="M27" s="79"/>
    </row>
    <row r="28" spans="11:30" x14ac:dyDescent="0.2">
      <c r="M28" s="79"/>
    </row>
    <row r="29" spans="11:30" x14ac:dyDescent="0.2">
      <c r="M29" s="79"/>
    </row>
    <row r="30" spans="11:30" x14ac:dyDescent="0.2">
      <c r="M30" s="79"/>
    </row>
    <row r="31" spans="11:30" ht="31.5" customHeight="1" x14ac:dyDescent="0.2">
      <c r="M31" s="79"/>
    </row>
    <row r="32" spans="11:30" x14ac:dyDescent="0.2">
      <c r="M32" s="79"/>
    </row>
    <row r="33" spans="13:13" x14ac:dyDescent="0.2">
      <c r="M33" s="79"/>
    </row>
    <row r="34" spans="13:13" x14ac:dyDescent="0.2">
      <c r="M34" s="79"/>
    </row>
    <row r="35" spans="13:13" x14ac:dyDescent="0.2">
      <c r="M35" s="79"/>
    </row>
    <row r="36" spans="13:13" x14ac:dyDescent="0.2">
      <c r="M36" s="79"/>
    </row>
    <row r="37" spans="13:13" x14ac:dyDescent="0.2">
      <c r="M37" s="79"/>
    </row>
    <row r="38" spans="13:13" x14ac:dyDescent="0.2">
      <c r="M38" s="79"/>
    </row>
    <row r="39" spans="13:13" x14ac:dyDescent="0.2">
      <c r="M39" s="79"/>
    </row>
    <row r="40" spans="13:13" x14ac:dyDescent="0.2">
      <c r="M40" s="79"/>
    </row>
    <row r="41" spans="13:13" x14ac:dyDescent="0.2">
      <c r="M41" s="79"/>
    </row>
    <row r="42" spans="13:13" x14ac:dyDescent="0.2">
      <c r="M42" s="79"/>
    </row>
    <row r="43" spans="13:13" x14ac:dyDescent="0.2">
      <c r="M43" s="79"/>
    </row>
    <row r="44" spans="13:13" x14ac:dyDescent="0.2">
      <c r="M44" s="79"/>
    </row>
    <row r="45" spans="13:13" x14ac:dyDescent="0.2">
      <c r="M45" s="79"/>
    </row>
    <row r="46" spans="13:13" x14ac:dyDescent="0.2">
      <c r="M46" s="79"/>
    </row>
    <row r="47" spans="13:13" x14ac:dyDescent="0.2">
      <c r="M47" s="79"/>
    </row>
    <row r="48" spans="13:13" x14ac:dyDescent="0.2">
      <c r="M48" s="79"/>
    </row>
    <row r="49" spans="6:13" x14ac:dyDescent="0.2">
      <c r="M49" s="79"/>
    </row>
    <row r="50" spans="6:13" x14ac:dyDescent="0.2">
      <c r="M50" s="79"/>
    </row>
    <row r="51" spans="6:13" x14ac:dyDescent="0.2">
      <c r="M51" s="79"/>
    </row>
    <row r="52" spans="6:13" x14ac:dyDescent="0.2">
      <c r="M52" s="79"/>
    </row>
    <row r="53" spans="6:13" x14ac:dyDescent="0.2">
      <c r="M53" s="79"/>
    </row>
    <row r="54" spans="6:13" x14ac:dyDescent="0.2">
      <c r="M54" s="79"/>
    </row>
    <row r="55" spans="6:13" x14ac:dyDescent="0.2">
      <c r="M55" s="79"/>
    </row>
    <row r="56" spans="6:13" x14ac:dyDescent="0.2">
      <c r="F56" s="137"/>
      <c r="I56" s="137"/>
      <c r="J56" s="137"/>
      <c r="K56" s="137"/>
    </row>
    <row r="57" spans="6:13" x14ac:dyDescent="0.2">
      <c r="F57" s="137"/>
      <c r="I57" s="137"/>
      <c r="J57" s="137"/>
      <c r="K57" s="137"/>
    </row>
    <row r="58" spans="6:13" x14ac:dyDescent="0.2">
      <c r="F58" s="137"/>
      <c r="I58" s="137"/>
      <c r="J58" s="137"/>
      <c r="K58" s="137"/>
    </row>
    <row r="59" spans="6:13" x14ac:dyDescent="0.2">
      <c r="F59" s="137"/>
      <c r="I59" s="137"/>
      <c r="J59" s="137"/>
      <c r="K59" s="137"/>
    </row>
    <row r="61" spans="6:13" x14ac:dyDescent="0.2">
      <c r="I61" s="137"/>
      <c r="J61" s="137"/>
      <c r="K61" s="13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12" customWidth="1"/>
    <col min="2" max="2" width="42.5703125" style="12" customWidth="1"/>
    <col min="3" max="3" width="28.5703125" style="12" customWidth="1"/>
    <col min="4" max="4" width="21.7109375" style="12" customWidth="1"/>
    <col min="5" max="16384" width="9.140625" style="12"/>
  </cols>
  <sheetData>
    <row r="1" spans="1:4" x14ac:dyDescent="0.2">
      <c r="A1" s="11" t="s">
        <v>100</v>
      </c>
      <c r="B1" s="12" t="s">
        <v>101</v>
      </c>
    </row>
    <row r="3" spans="1:4" ht="18" customHeight="1" x14ac:dyDescent="0.2"/>
    <row r="7" spans="1:4" x14ac:dyDescent="0.2">
      <c r="A7" s="11" t="s">
        <v>16</v>
      </c>
      <c r="B7" s="11" t="s">
        <v>15</v>
      </c>
      <c r="C7" s="11" t="s">
        <v>1</v>
      </c>
      <c r="D7" s="11" t="s">
        <v>0</v>
      </c>
    </row>
    <row r="8" spans="1:4" x14ac:dyDescent="0.2">
      <c r="A8" s="14" t="s">
        <v>17</v>
      </c>
      <c r="B8" s="14" t="s">
        <v>18</v>
      </c>
      <c r="C8" s="14" t="s">
        <v>19</v>
      </c>
    </row>
    <row r="9" spans="1:4" x14ac:dyDescent="0.2">
      <c r="A9" s="11" t="s">
        <v>96</v>
      </c>
    </row>
    <row r="10" spans="1:4" x14ac:dyDescent="0.2">
      <c r="A10" s="12" t="s">
        <v>95</v>
      </c>
      <c r="B10" s="12" t="s">
        <v>95</v>
      </c>
      <c r="C10" s="14" t="s">
        <v>97</v>
      </c>
    </row>
    <row r="11" spans="1:4" x14ac:dyDescent="0.2">
      <c r="A11" s="12" t="s">
        <v>98</v>
      </c>
      <c r="B11" s="12" t="s">
        <v>98</v>
      </c>
      <c r="C11" s="14" t="s">
        <v>97</v>
      </c>
    </row>
    <row r="13" spans="1:4" x14ac:dyDescent="0.2">
      <c r="A13" s="11" t="s">
        <v>102</v>
      </c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18" customWidth="1"/>
    <col min="2" max="2" width="12.28515625" style="18" customWidth="1"/>
    <col min="3" max="3" width="21" style="18" customWidth="1"/>
    <col min="4" max="4" width="10.28515625" style="18" customWidth="1"/>
    <col min="5" max="5" width="29.7109375" style="18" customWidth="1"/>
    <col min="6" max="6" width="10.28515625" style="18" customWidth="1"/>
    <col min="7" max="16384" width="9.140625" style="18"/>
  </cols>
  <sheetData>
    <row r="1" spans="1:6" x14ac:dyDescent="0.2">
      <c r="A1" s="20" t="s">
        <v>99</v>
      </c>
    </row>
    <row r="4" spans="1:6" ht="17.25" customHeight="1" x14ac:dyDescent="0.2"/>
    <row r="5" spans="1:6" ht="17.25" customHeight="1" x14ac:dyDescent="0.2">
      <c r="C5" s="19"/>
    </row>
    <row r="6" spans="1:6" ht="15.75" customHeight="1" x14ac:dyDescent="0.2"/>
    <row r="7" spans="1:6" x14ac:dyDescent="0.2">
      <c r="B7" s="24" t="s">
        <v>40</v>
      </c>
      <c r="C7" s="20" t="s">
        <v>41</v>
      </c>
      <c r="D7" s="20" t="s">
        <v>42</v>
      </c>
      <c r="E7" s="20" t="s">
        <v>1</v>
      </c>
      <c r="F7" s="20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17"/>
  <sheetViews>
    <sheetView zoomScaleNormal="100" workbookViewId="0">
      <pane ySplit="7" topLeftCell="A8" activePane="bottomLeft" state="frozen"/>
      <selection pane="bottomLeft" activeCell="C16" sqref="C16"/>
    </sheetView>
  </sheetViews>
  <sheetFormatPr defaultColWidth="9.140625" defaultRowHeight="11.25" x14ac:dyDescent="0.2"/>
  <cols>
    <col min="1" max="1" width="12.85546875" style="18" customWidth="1"/>
    <col min="2" max="2" width="12.28515625" style="18" customWidth="1"/>
    <col min="3" max="3" width="21" style="18" customWidth="1"/>
    <col min="4" max="4" width="10.28515625" style="18" customWidth="1"/>
    <col min="5" max="5" width="29.7109375" style="18" customWidth="1"/>
    <col min="6" max="6" width="10.28515625" style="18" customWidth="1"/>
    <col min="7" max="16384" width="9.140625" style="18"/>
  </cols>
  <sheetData>
    <row r="1" spans="1:6" x14ac:dyDescent="0.2">
      <c r="A1" s="11" t="str">
        <f ca="1">IF(INDEX(Index!$E$6:$E$37,MATCH(A2,Index!$D$6:$D$37,0))=1,LEFT(A2,SEARCH("_",A2)-1),"")</f>
        <v>Commodities</v>
      </c>
      <c r="B1" s="18" t="s">
        <v>130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19"/>
    </row>
    <row r="6" spans="1:6" ht="15.75" customHeight="1" x14ac:dyDescent="0.2"/>
    <row r="7" spans="1:6" x14ac:dyDescent="0.2">
      <c r="B7" s="24" t="s">
        <v>40</v>
      </c>
      <c r="C7" s="20" t="s">
        <v>41</v>
      </c>
      <c r="D7" s="20" t="s">
        <v>42</v>
      </c>
      <c r="E7" s="20" t="s">
        <v>1</v>
      </c>
      <c r="F7" s="20" t="s">
        <v>0</v>
      </c>
    </row>
    <row r="8" spans="1:6" s="17" customFormat="1" ht="12.75" x14ac:dyDescent="0.2">
      <c r="A8" s="37" t="s">
        <v>115</v>
      </c>
      <c r="B8" s="40"/>
      <c r="C8" s="40"/>
      <c r="D8" s="40"/>
    </row>
    <row r="9" spans="1:6" s="17" customFormat="1" ht="12.75" x14ac:dyDescent="0.2">
      <c r="A9" s="38"/>
      <c r="B9" s="38" t="str">
        <f>RES!D2</f>
        <v>IISCKE</v>
      </c>
      <c r="C9" s="38" t="str">
        <f>RES!D3</f>
        <v>Industry - Iron and Steel - Coke</v>
      </c>
      <c r="D9" s="42" t="s">
        <v>117</v>
      </c>
      <c r="E9" s="26" t="s">
        <v>120</v>
      </c>
    </row>
    <row r="10" spans="1:6" s="17" customFormat="1" ht="12.75" x14ac:dyDescent="0.2">
      <c r="A10" s="38"/>
      <c r="B10" s="38" t="str">
        <f>RES!E2</f>
        <v>IISCOA</v>
      </c>
      <c r="C10" s="38" t="str">
        <f>RES!E3</f>
        <v>Industry - Iron and Steel - Coal</v>
      </c>
      <c r="D10" s="42" t="s">
        <v>117</v>
      </c>
      <c r="E10" s="26" t="s">
        <v>120</v>
      </c>
    </row>
    <row r="11" spans="1:6" s="17" customFormat="1" ht="12.75" x14ac:dyDescent="0.2">
      <c r="A11" s="38"/>
      <c r="B11" s="38" t="str">
        <f>RES!F2</f>
        <v>IFAELC</v>
      </c>
      <c r="C11" s="38" t="str">
        <f>RES!F3</f>
        <v>Industry-FA-Electricity</v>
      </c>
      <c r="D11" s="42" t="s">
        <v>117</v>
      </c>
      <c r="E11" s="26" t="s">
        <v>119</v>
      </c>
    </row>
    <row r="12" spans="1:6" s="17" customFormat="1" ht="12.75" x14ac:dyDescent="0.2">
      <c r="A12" s="38"/>
      <c r="B12" s="38" t="str">
        <f>RES!G2</f>
        <v>INDBIO</v>
      </c>
      <c r="C12" s="38" t="str">
        <f>RES!G3</f>
        <v>Industry Biochar</v>
      </c>
      <c r="D12" s="42" t="s">
        <v>117</v>
      </c>
      <c r="E12" s="26" t="s">
        <v>120</v>
      </c>
    </row>
    <row r="13" spans="1:6" s="17" customFormat="1" ht="12.75" x14ac:dyDescent="0.2">
      <c r="A13" s="38"/>
      <c r="B13" s="38" t="str">
        <f>RES!O2</f>
        <v>IFACR</v>
      </c>
      <c r="C13" s="38" t="str">
        <f>RES!O3</f>
        <v>Industry - Ferro Alloy Metals production</v>
      </c>
      <c r="D13" s="42" t="s">
        <v>117</v>
      </c>
      <c r="E13" s="26" t="s">
        <v>214</v>
      </c>
    </row>
    <row r="14" spans="1:6" ht="12.75" x14ac:dyDescent="0.2">
      <c r="A14" s="43" t="s">
        <v>116</v>
      </c>
      <c r="B14" s="38"/>
      <c r="C14" s="38"/>
      <c r="D14" s="42"/>
    </row>
    <row r="15" spans="1:6" ht="12.75" x14ac:dyDescent="0.2">
      <c r="A15" s="38"/>
      <c r="B15" s="38" t="s">
        <v>247</v>
      </c>
      <c r="C15" s="38" t="s">
        <v>248</v>
      </c>
      <c r="D15" s="42" t="s">
        <v>121</v>
      </c>
      <c r="E15" s="26" t="s">
        <v>122</v>
      </c>
    </row>
    <row r="16" spans="1:6" ht="12.75" x14ac:dyDescent="0.2">
      <c r="A16" s="38"/>
      <c r="B16" s="38" t="s">
        <v>203</v>
      </c>
      <c r="C16" s="38" t="s">
        <v>204</v>
      </c>
      <c r="D16" s="42" t="s">
        <v>121</v>
      </c>
      <c r="E16" s="26" t="s">
        <v>122</v>
      </c>
    </row>
    <row r="17" spans="1:5" ht="12.75" x14ac:dyDescent="0.2">
      <c r="A17" s="38"/>
      <c r="B17" s="38"/>
      <c r="C17" s="38"/>
      <c r="D17" s="42"/>
      <c r="E17" s="26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12" customWidth="1"/>
    <col min="2" max="2" width="11.140625" style="12" customWidth="1"/>
    <col min="3" max="3" width="27.285156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">
        <v>105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x14ac:dyDescent="0.2">
      <c r="B8" s="11"/>
      <c r="C8" s="11"/>
      <c r="D8" s="11"/>
      <c r="E8" s="11"/>
      <c r="F8" s="11"/>
    </row>
    <row r="9" spans="1:6" x14ac:dyDescent="0.2">
      <c r="B9" s="32"/>
      <c r="C9" s="32"/>
      <c r="E9" s="32"/>
    </row>
    <row r="10" spans="1:6" x14ac:dyDescent="0.2">
      <c r="B10" s="13"/>
      <c r="C10" s="32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17" customWidth="1"/>
    <col min="2" max="2" width="12.140625" style="17" customWidth="1"/>
    <col min="3" max="3" width="28.42578125" style="17" customWidth="1"/>
    <col min="4" max="4" width="10" style="17" customWidth="1"/>
    <col min="5" max="5" width="28.42578125" style="17" customWidth="1"/>
    <col min="6" max="6" width="10.28515625" style="17" customWidth="1"/>
    <col min="7" max="16384" width="9.140625" style="17"/>
  </cols>
  <sheetData>
    <row r="1" spans="1:6" s="18" customFormat="1" ht="11.25" x14ac:dyDescent="0.2">
      <c r="A1" s="20" t="s">
        <v>103</v>
      </c>
    </row>
    <row r="2" spans="1:6" s="18" customFormat="1" ht="11.25" x14ac:dyDescent="0.2"/>
    <row r="3" spans="1:6" s="18" customFormat="1" ht="11.25" x14ac:dyDescent="0.2"/>
    <row r="4" spans="1:6" s="18" customFormat="1" ht="18.75" customHeight="1" x14ac:dyDescent="0.2"/>
    <row r="5" spans="1:6" s="18" customFormat="1" ht="17.25" customHeight="1" x14ac:dyDescent="0.2">
      <c r="C5" s="19"/>
    </row>
    <row r="6" spans="1:6" s="18" customFormat="1" ht="15.75" customHeight="1" x14ac:dyDescent="0.2"/>
    <row r="7" spans="1:6" s="18" customFormat="1" ht="11.25" x14ac:dyDescent="0.2">
      <c r="B7" s="24" t="s">
        <v>46</v>
      </c>
      <c r="C7" s="20" t="s">
        <v>47</v>
      </c>
      <c r="D7" s="20" t="s">
        <v>43</v>
      </c>
      <c r="E7" s="20" t="s">
        <v>1</v>
      </c>
      <c r="F7" s="20" t="s">
        <v>0</v>
      </c>
    </row>
    <row r="8" spans="1:6" s="18" customFormat="1" ht="11.25" x14ac:dyDescent="0.2">
      <c r="B8" s="19"/>
      <c r="C8" s="19"/>
    </row>
    <row r="9" spans="1:6" s="18" customFormat="1" ht="11.25" x14ac:dyDescent="0.2">
      <c r="B9" s="19"/>
      <c r="C9" s="19"/>
      <c r="E9" s="19"/>
    </row>
    <row r="10" spans="1:6" s="18" customFormat="1" ht="11.25" x14ac:dyDescent="0.2">
      <c r="D10" s="19"/>
      <c r="E10" s="19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4" x14ac:dyDescent="0.2">
      <c r="A1" s="11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11" t="s">
        <v>40</v>
      </c>
      <c r="C7" s="11" t="s">
        <v>41</v>
      </c>
      <c r="D7" s="11" t="s">
        <v>43</v>
      </c>
    </row>
    <row r="9" spans="1:4" x14ac:dyDescent="0.2">
      <c r="B9" s="21"/>
      <c r="C9" s="21"/>
      <c r="D9" s="21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K11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F16" sqref="F16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11" x14ac:dyDescent="0.2">
      <c r="A1" s="11" t="str">
        <f ca="1">IF(INDEX(Index!$E$6:$E$37,MATCH(A2,Index!$D$6:$D$37,0))=1,LEFT(A2,SEARCH("_",A2)-1),"")</f>
        <v>CommData</v>
      </c>
      <c r="B1" s="18" t="str">
        <f>Commodities_BASE!B1</f>
        <v>REGION1</v>
      </c>
      <c r="F1" s="40"/>
    </row>
    <row r="2" spans="1:11" ht="12.75" x14ac:dyDescent="0.2">
      <c r="A2" t="str">
        <f ca="1">MID(CELL("filename",A2),FIND("]",CELL("filename",A2))+1,255)</f>
        <v>CommData_BASE</v>
      </c>
      <c r="F2" s="40"/>
    </row>
    <row r="3" spans="1:11" ht="15" customHeight="1" x14ac:dyDescent="0.2">
      <c r="F3" s="40"/>
    </row>
    <row r="4" spans="1:11" ht="20.25" customHeight="1" x14ac:dyDescent="0.2">
      <c r="E4" s="23" t="s">
        <v>135</v>
      </c>
      <c r="F4" s="23" t="s">
        <v>135</v>
      </c>
      <c r="G4" s="23" t="s">
        <v>135</v>
      </c>
      <c r="H4" s="23" t="s">
        <v>135</v>
      </c>
      <c r="I4" s="23" t="s">
        <v>135</v>
      </c>
      <c r="J4" s="23" t="s">
        <v>135</v>
      </c>
      <c r="K4" s="23"/>
    </row>
    <row r="5" spans="1:11" ht="19.5" customHeight="1" x14ac:dyDescent="0.2">
      <c r="E5" s="51"/>
      <c r="F5" s="40"/>
    </row>
    <row r="6" spans="1:11" ht="19.5" customHeight="1" x14ac:dyDescent="0.2">
      <c r="E6" s="51"/>
      <c r="F6" s="40"/>
    </row>
    <row r="7" spans="1:11" x14ac:dyDescent="0.2">
      <c r="B7" s="11" t="s">
        <v>40</v>
      </c>
      <c r="C7" s="11" t="s">
        <v>41</v>
      </c>
      <c r="D7" s="11" t="s">
        <v>43</v>
      </c>
      <c r="E7" s="12">
        <v>2012</v>
      </c>
      <c r="F7" s="40">
        <v>2013</v>
      </c>
      <c r="G7" s="12">
        <v>2014</v>
      </c>
      <c r="H7" s="12">
        <v>2015</v>
      </c>
      <c r="I7" s="40">
        <v>2016</v>
      </c>
      <c r="J7" s="12">
        <v>2017</v>
      </c>
    </row>
    <row r="8" spans="1:11" s="40" customFormat="1" x14ac:dyDescent="0.2">
      <c r="B8" s="40" t="str">
        <f>RES!O2</f>
        <v>IFACR</v>
      </c>
      <c r="C8" s="40" t="str">
        <f>RES!O3</f>
        <v>Industry - Ferro Alloy Metals production</v>
      </c>
      <c r="D8" s="40" t="s">
        <v>117</v>
      </c>
      <c r="E8" s="81">
        <f>EB_Exist!F5</f>
        <v>3.484</v>
      </c>
      <c r="F8" s="81">
        <f>E8</f>
        <v>3.484</v>
      </c>
      <c r="G8" s="81">
        <f t="shared" ref="G8:J8" si="0">F8</f>
        <v>3.484</v>
      </c>
      <c r="H8" s="81">
        <f t="shared" si="0"/>
        <v>3.484</v>
      </c>
      <c r="I8" s="81">
        <f t="shared" si="0"/>
        <v>3.484</v>
      </c>
      <c r="J8" s="81">
        <f t="shared" si="0"/>
        <v>3.484</v>
      </c>
    </row>
    <row r="9" spans="1:11" s="40" customFormat="1" x14ac:dyDescent="0.2">
      <c r="A9" s="40" t="s">
        <v>92</v>
      </c>
      <c r="E9" s="40">
        <v>0.4587</v>
      </c>
      <c r="F9" s="40">
        <f>E9</f>
        <v>0.4587</v>
      </c>
      <c r="G9" s="40">
        <f t="shared" ref="G9:J9" si="1">F9</f>
        <v>0.4587</v>
      </c>
      <c r="H9" s="40">
        <f t="shared" si="1"/>
        <v>0.4587</v>
      </c>
      <c r="I9" s="40">
        <f t="shared" si="1"/>
        <v>0.4587</v>
      </c>
      <c r="J9" s="40">
        <f t="shared" si="1"/>
        <v>0.4587</v>
      </c>
    </row>
    <row r="10" spans="1:11" s="40" customFormat="1" x14ac:dyDescent="0.2"/>
    <row r="11" spans="1:11" s="40" customFormat="1" x14ac:dyDescent="0.2"/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E46" sqref="E46"/>
    </sheetView>
  </sheetViews>
  <sheetFormatPr defaultColWidth="9.140625" defaultRowHeight="11.25" x14ac:dyDescent="0.2"/>
  <cols>
    <col min="1" max="1" width="13.5703125" style="12" customWidth="1"/>
    <col min="2" max="2" width="16.140625" style="12" customWidth="1"/>
    <col min="3" max="3" width="45.425781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tr">
        <f ca="1">IF(INDEX(Index!$E$6:$E$37,MATCH(A2,Index!$D$6:$D$37,0))=1,LEFT(A2,SEARCH("_",A2)-1),"")</f>
        <v>Processes</v>
      </c>
      <c r="B1" s="18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s="40" customFormat="1" ht="12" x14ac:dyDescent="0.2">
      <c r="A8" s="45" t="s">
        <v>147</v>
      </c>
      <c r="D8" s="25"/>
      <c r="E8" s="25"/>
    </row>
    <row r="9" spans="1:6" s="40" customFormat="1" x14ac:dyDescent="0.2">
      <c r="B9" s="40" t="s">
        <v>230</v>
      </c>
      <c r="C9" s="40" t="s">
        <v>227</v>
      </c>
      <c r="D9" s="25" t="s">
        <v>123</v>
      </c>
      <c r="E9" s="26" t="s">
        <v>132</v>
      </c>
    </row>
    <row r="10" spans="1:6" s="40" customFormat="1" x14ac:dyDescent="0.2">
      <c r="B10" s="40" t="str">
        <f>EB_Exist!C4</f>
        <v>IFCEAF-E</v>
      </c>
      <c r="C10" s="40" t="str">
        <f>EB_Exist!D4</f>
        <v>FerroChrome existing</v>
      </c>
      <c r="D10" s="25" t="s">
        <v>123</v>
      </c>
      <c r="E10" s="26" t="s">
        <v>136</v>
      </c>
    </row>
    <row r="11" spans="1:6" s="40" customFormat="1" x14ac:dyDescent="0.2">
      <c r="B11" s="40" t="str">
        <f>RES!M15</f>
        <v>IFCEAF-N</v>
      </c>
      <c r="C11" s="40" t="str">
        <f>RES!M12</f>
        <v>FerrChrome New</v>
      </c>
      <c r="D11" s="25" t="s">
        <v>123</v>
      </c>
      <c r="E11" s="26" t="s">
        <v>136</v>
      </c>
    </row>
    <row r="12" spans="1:6" s="40" customFormat="1" ht="12" x14ac:dyDescent="0.2">
      <c r="A12" s="46"/>
      <c r="B12" s="40" t="str">
        <f>RES!M22</f>
        <v>IFCEAFB-N</v>
      </c>
      <c r="C12" s="40" t="str">
        <f>RES!M18</f>
        <v>FerroChrome with biomass</v>
      </c>
      <c r="D12" s="25" t="s">
        <v>123</v>
      </c>
      <c r="E12" s="26" t="s">
        <v>136</v>
      </c>
    </row>
    <row r="13" spans="1:6" s="40" customFormat="1" ht="12" x14ac:dyDescent="0.2">
      <c r="A13" s="46"/>
      <c r="B13" s="46"/>
      <c r="C13" s="46"/>
      <c r="D13" s="46"/>
      <c r="E13" s="45"/>
    </row>
    <row r="14" spans="1:6" s="40" customFormat="1" ht="12" x14ac:dyDescent="0.2">
      <c r="A14" s="46"/>
      <c r="D14" s="25"/>
      <c r="E14" s="25"/>
    </row>
    <row r="15" spans="1:6" s="40" customFormat="1" ht="12" x14ac:dyDescent="0.2">
      <c r="A15" s="46"/>
      <c r="D15" s="25"/>
      <c r="E15" s="25"/>
    </row>
    <row r="16" spans="1:6" s="40" customFormat="1" ht="12" x14ac:dyDescent="0.2">
      <c r="A16" s="46"/>
      <c r="D16" s="25"/>
      <c r="E16" s="25"/>
    </row>
    <row r="17" spans="1:10" s="40" customFormat="1" ht="12" x14ac:dyDescent="0.2">
      <c r="A17" s="46"/>
      <c r="D17" s="25"/>
      <c r="E17" s="25"/>
    </row>
    <row r="18" spans="1:10" s="40" customFormat="1" ht="12" x14ac:dyDescent="0.2">
      <c r="A18" s="46"/>
      <c r="D18" s="25"/>
      <c r="E18" s="25"/>
    </row>
    <row r="19" spans="1:10" s="40" customFormat="1" ht="12" x14ac:dyDescent="0.2">
      <c r="A19" s="46"/>
      <c r="B19" s="46"/>
      <c r="C19" s="46"/>
      <c r="D19" s="12"/>
      <c r="E19" s="12"/>
    </row>
    <row r="20" spans="1:10" s="40" customFormat="1" ht="12" x14ac:dyDescent="0.2">
      <c r="A20" s="46"/>
      <c r="D20" s="25"/>
      <c r="E20" s="25"/>
    </row>
    <row r="21" spans="1:10" s="40" customFormat="1" ht="12" x14ac:dyDescent="0.2">
      <c r="A21" s="46"/>
      <c r="D21" s="25"/>
      <c r="E21" s="25"/>
    </row>
    <row r="22" spans="1:10" s="40" customFormat="1" ht="12" x14ac:dyDescent="0.2">
      <c r="A22" s="46"/>
      <c r="D22" s="25"/>
      <c r="E22" s="25"/>
    </row>
    <row r="23" spans="1:10" s="40" customFormat="1" ht="12" x14ac:dyDescent="0.2">
      <c r="A23" s="46"/>
      <c r="D23" s="25"/>
      <c r="E23" s="25"/>
    </row>
    <row r="24" spans="1:10" s="40" customFormat="1" ht="12.75" x14ac:dyDescent="0.2">
      <c r="A24" s="46"/>
      <c r="B24" s="17"/>
      <c r="C24" s="17"/>
      <c r="D24" s="17"/>
      <c r="E24" s="17"/>
      <c r="G24" s="41"/>
      <c r="H24" s="41"/>
      <c r="I24" s="18"/>
      <c r="J24" s="18"/>
    </row>
    <row r="25" spans="1:10" s="40" customFormat="1" x14ac:dyDescent="0.2">
      <c r="A25" s="47"/>
      <c r="B25" s="12"/>
      <c r="C25" s="12"/>
      <c r="D25" s="25"/>
      <c r="E25" s="25"/>
      <c r="F25" s="18"/>
      <c r="G25" s="38"/>
      <c r="H25" s="38"/>
      <c r="I25" s="25"/>
      <c r="J25" s="25"/>
    </row>
    <row r="26" spans="1:10" s="40" customFormat="1" x14ac:dyDescent="0.2">
      <c r="A26" s="47"/>
      <c r="B26" s="12"/>
      <c r="C26" s="12"/>
      <c r="D26" s="25"/>
      <c r="E26" s="25"/>
      <c r="F26" s="18"/>
      <c r="G26" s="38"/>
      <c r="H26" s="38"/>
      <c r="I26" s="25"/>
      <c r="J26" s="25"/>
    </row>
    <row r="27" spans="1:10" s="40" customFormat="1" x14ac:dyDescent="0.2">
      <c r="A27" s="47"/>
      <c r="B27" s="12"/>
      <c r="C27" s="12"/>
      <c r="D27" s="25"/>
      <c r="E27" s="25"/>
      <c r="F27" s="18"/>
      <c r="G27" s="38"/>
      <c r="H27" s="38"/>
      <c r="I27" s="25"/>
      <c r="J27" s="25"/>
    </row>
    <row r="28" spans="1:10" s="40" customFormat="1" x14ac:dyDescent="0.2">
      <c r="A28" s="47"/>
      <c r="B28" s="12"/>
      <c r="C28" s="12"/>
      <c r="D28" s="25"/>
      <c r="E28" s="25"/>
      <c r="F28" s="18"/>
      <c r="G28" s="38"/>
      <c r="H28" s="38"/>
      <c r="I28" s="25"/>
      <c r="J28" s="25"/>
    </row>
    <row r="29" spans="1:10" s="40" customFormat="1" x14ac:dyDescent="0.2">
      <c r="A29" s="18"/>
      <c r="B29" s="12"/>
      <c r="C29" s="12"/>
      <c r="D29" s="25"/>
      <c r="E29" s="25"/>
      <c r="F29" s="18"/>
      <c r="G29" s="38"/>
      <c r="H29" s="38"/>
      <c r="I29" s="25"/>
      <c r="J29" s="25"/>
    </row>
    <row r="30" spans="1:10" s="40" customFormat="1" ht="12" customHeight="1" x14ac:dyDescent="0.2">
      <c r="A30" s="47"/>
      <c r="B30" s="12"/>
      <c r="C30" s="12"/>
      <c r="D30" s="25"/>
      <c r="E30" s="25"/>
      <c r="G30" s="41"/>
      <c r="H30" s="41"/>
      <c r="I30" s="18"/>
      <c r="J30" s="18"/>
    </row>
    <row r="31" spans="1:10" s="40" customFormat="1" x14ac:dyDescent="0.2">
      <c r="A31" s="47"/>
      <c r="B31" s="12"/>
      <c r="C31" s="12"/>
      <c r="D31" s="25"/>
      <c r="E31" s="25"/>
    </row>
    <row r="32" spans="1:10" s="40" customFormat="1" x14ac:dyDescent="0.2">
      <c r="A32" s="47"/>
      <c r="B32" s="12"/>
      <c r="C32" s="12"/>
      <c r="D32" s="25"/>
      <c r="E32" s="25"/>
      <c r="F32" s="38"/>
      <c r="G32" s="38"/>
      <c r="H32" s="38"/>
      <c r="I32" s="25"/>
      <c r="J32" s="25"/>
    </row>
    <row r="33" spans="1:10" s="40" customFormat="1" x14ac:dyDescent="0.2">
      <c r="A33" s="47"/>
      <c r="B33" s="12"/>
      <c r="C33" s="12"/>
      <c r="D33" s="25"/>
      <c r="E33" s="25"/>
      <c r="F33" s="38"/>
      <c r="G33" s="38"/>
      <c r="H33" s="38"/>
      <c r="I33" s="25"/>
      <c r="J33" s="25"/>
    </row>
    <row r="34" spans="1:10" s="40" customFormat="1" x14ac:dyDescent="0.2">
      <c r="A34" s="47"/>
      <c r="B34" s="12"/>
      <c r="C34" s="12"/>
      <c r="D34" s="25"/>
      <c r="E34" s="25"/>
      <c r="F34" s="38"/>
      <c r="G34" s="38"/>
      <c r="H34" s="38"/>
      <c r="I34" s="25"/>
      <c r="J34" s="25"/>
    </row>
    <row r="35" spans="1:10" s="40" customFormat="1" ht="11.45" customHeight="1" x14ac:dyDescent="0.2">
      <c r="A35" s="47"/>
      <c r="B35" s="12"/>
      <c r="C35" s="12"/>
      <c r="D35" s="25"/>
      <c r="E35" s="25"/>
      <c r="F35" s="18"/>
      <c r="G35" s="17"/>
      <c r="H35" s="17"/>
      <c r="I35" s="17"/>
      <c r="J35" s="17"/>
    </row>
    <row r="36" spans="1:10" s="40" customFormat="1" x14ac:dyDescent="0.2">
      <c r="A36" s="47"/>
      <c r="B36" s="12"/>
      <c r="C36" s="12"/>
      <c r="D36" s="25"/>
      <c r="E36" s="25"/>
    </row>
    <row r="37" spans="1:10" s="40" customFormat="1" x14ac:dyDescent="0.2">
      <c r="A37" s="47"/>
      <c r="B37" s="12"/>
      <c r="C37" s="12"/>
      <c r="D37" s="25"/>
      <c r="E37" s="25"/>
      <c r="F37" s="18"/>
      <c r="G37" s="38"/>
      <c r="H37" s="38"/>
      <c r="I37" s="25"/>
      <c r="J37" s="25"/>
    </row>
    <row r="38" spans="1:10" s="40" customFormat="1" x14ac:dyDescent="0.2">
      <c r="A38" s="47"/>
      <c r="B38" s="12"/>
      <c r="C38" s="12"/>
      <c r="D38" s="25"/>
      <c r="E38" s="25"/>
      <c r="F38" s="38"/>
      <c r="G38" s="38"/>
      <c r="H38" s="38"/>
      <c r="I38" s="25"/>
      <c r="J38" s="25"/>
    </row>
    <row r="39" spans="1:10" x14ac:dyDescent="0.2">
      <c r="A39" s="47"/>
      <c r="D39" s="25"/>
      <c r="E39" s="25"/>
    </row>
    <row r="40" spans="1:10" x14ac:dyDescent="0.2">
      <c r="A40" s="47"/>
      <c r="D40" s="25"/>
      <c r="E40" s="25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12" customWidth="1"/>
    <col min="2" max="2" width="8.42578125" style="12" customWidth="1"/>
    <col min="3" max="3" width="24.28515625" style="12" customWidth="1"/>
    <col min="4" max="4" width="8.5703125" style="12" customWidth="1"/>
    <col min="5" max="5" width="8.85546875" style="12" customWidth="1"/>
    <col min="6" max="6" width="10.140625" style="12" customWidth="1"/>
    <col min="7" max="7" width="6.85546875" style="35" customWidth="1"/>
    <col min="8" max="16384" width="9.140625" style="12"/>
  </cols>
  <sheetData>
    <row r="1" spans="1:7" ht="11.25" customHeight="1" x14ac:dyDescent="0.2">
      <c r="A1" s="11" t="s">
        <v>110</v>
      </c>
    </row>
    <row r="3" spans="1:7" ht="21.75" customHeight="1" x14ac:dyDescent="0.2"/>
    <row r="4" spans="1:7" ht="17.25" customHeight="1" x14ac:dyDescent="0.2">
      <c r="E4" s="36" t="s">
        <v>92</v>
      </c>
      <c r="F4" s="36"/>
      <c r="G4" s="36"/>
    </row>
    <row r="5" spans="1:7" ht="16.5" customHeight="1" x14ac:dyDescent="0.2"/>
    <row r="6" spans="1:7" ht="17.25" customHeight="1" x14ac:dyDescent="0.2"/>
    <row r="7" spans="1:7" ht="21.75" customHeight="1" x14ac:dyDescent="0.2">
      <c r="B7" s="11" t="s">
        <v>56</v>
      </c>
      <c r="C7" s="11" t="s">
        <v>57</v>
      </c>
      <c r="D7" s="15" t="s">
        <v>93</v>
      </c>
      <c r="E7" s="11" t="s">
        <v>80</v>
      </c>
      <c r="F7" s="11" t="s">
        <v>81</v>
      </c>
      <c r="G7" s="15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theme="4"/>
  </sheetPr>
  <dimension ref="A1:AD23"/>
  <sheetViews>
    <sheetView zoomScale="115" zoomScaleNormal="115" workbookViewId="0">
      <pane xSplit="7" ySplit="7" topLeftCell="V8" activePane="bottomRight" state="frozen"/>
      <selection pane="topRight" activeCell="J1" sqref="J1"/>
      <selection pane="bottomLeft" activeCell="A8" sqref="A8"/>
      <selection pane="bottomRight" activeCell="AG24" sqref="AG24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35" customWidth="1"/>
    <col min="8" max="25" width="9.140625" style="12"/>
    <col min="26" max="26" width="7.85546875" style="12" customWidth="1"/>
    <col min="27" max="27" width="7.5703125" style="12" customWidth="1"/>
    <col min="28" max="29" width="7.85546875" style="12" customWidth="1"/>
    <col min="30" max="16384" width="9.140625" style="12"/>
  </cols>
  <sheetData>
    <row r="1" spans="1:30" ht="11.25" customHeight="1" x14ac:dyDescent="0.2">
      <c r="A1" s="11" t="str">
        <f ca="1">IF(INDEX(Index!$E$6:$E$37,MATCH(A2,Index!$D$6:$D$37,0))=1,LEFT(A2,SEARCH("_",A2)-1),"")</f>
        <v>ProcData</v>
      </c>
      <c r="B1" s="18" t="str">
        <f>Commodities_BASE!B1</f>
        <v>REGION1</v>
      </c>
      <c r="H1" s="40"/>
    </row>
    <row r="2" spans="1:30" ht="11.25" customHeight="1" x14ac:dyDescent="0.2">
      <c r="A2" t="str">
        <f ca="1">MID(CELL("filename",A2),FIND("]",CELL("filename",A2))+1,255)</f>
        <v>ProcData_FCR</v>
      </c>
      <c r="H2" s="40"/>
      <c r="I2" s="40" t="s">
        <v>205</v>
      </c>
      <c r="J2" s="40"/>
      <c r="K2" s="40"/>
      <c r="L2" s="40"/>
      <c r="M2" s="40"/>
      <c r="N2" s="40"/>
      <c r="O2" s="40"/>
    </row>
    <row r="3" spans="1:30" ht="34.5" customHeight="1" x14ac:dyDescent="0.2">
      <c r="H3" s="105" t="s">
        <v>156</v>
      </c>
      <c r="I3" s="105" t="s">
        <v>151</v>
      </c>
      <c r="J3" s="105" t="s">
        <v>151</v>
      </c>
      <c r="K3" s="105" t="s">
        <v>151</v>
      </c>
      <c r="L3" s="105" t="s">
        <v>151</v>
      </c>
      <c r="M3" s="105" t="s">
        <v>151</v>
      </c>
      <c r="N3" s="105" t="s">
        <v>169</v>
      </c>
      <c r="O3" s="105" t="s">
        <v>169</v>
      </c>
      <c r="P3" s="105" t="s">
        <v>158</v>
      </c>
      <c r="Q3" s="105" t="s">
        <v>210</v>
      </c>
      <c r="R3" s="105" t="s">
        <v>212</v>
      </c>
      <c r="S3" s="105" t="s">
        <v>212</v>
      </c>
      <c r="T3" s="105" t="s">
        <v>155</v>
      </c>
      <c r="U3" s="12" t="s">
        <v>154</v>
      </c>
      <c r="V3" s="12" t="s">
        <v>154</v>
      </c>
      <c r="W3" s="105" t="s">
        <v>167</v>
      </c>
      <c r="X3" s="105" t="s">
        <v>168</v>
      </c>
      <c r="Y3" s="12" t="s">
        <v>152</v>
      </c>
      <c r="Z3" s="12" t="s">
        <v>153</v>
      </c>
    </row>
    <row r="4" spans="1:30" ht="21.75" customHeight="1" x14ac:dyDescent="0.2">
      <c r="E4" s="36"/>
      <c r="F4" s="36"/>
      <c r="G4" s="36"/>
      <c r="H4" s="50" t="s">
        <v>125</v>
      </c>
      <c r="I4" s="50" t="s">
        <v>157</v>
      </c>
      <c r="J4" s="50" t="s">
        <v>157</v>
      </c>
      <c r="K4" s="50" t="s">
        <v>157</v>
      </c>
      <c r="L4" s="50" t="s">
        <v>157</v>
      </c>
      <c r="M4" s="50" t="s">
        <v>157</v>
      </c>
      <c r="N4" s="103" t="s">
        <v>170</v>
      </c>
      <c r="O4" s="103" t="s">
        <v>170</v>
      </c>
      <c r="P4" s="50" t="s">
        <v>159</v>
      </c>
      <c r="Q4" s="50" t="s">
        <v>211</v>
      </c>
      <c r="R4" s="50" t="s">
        <v>213</v>
      </c>
      <c r="S4" s="50" t="s">
        <v>213</v>
      </c>
      <c r="T4" s="50" t="s">
        <v>124</v>
      </c>
      <c r="U4" s="103" t="s">
        <v>148</v>
      </c>
      <c r="V4" s="103" t="s">
        <v>148</v>
      </c>
      <c r="W4" s="103" t="s">
        <v>150</v>
      </c>
      <c r="X4" s="103" t="s">
        <v>150</v>
      </c>
      <c r="Y4" s="23" t="s">
        <v>133</v>
      </c>
      <c r="Z4" s="103" t="s">
        <v>149</v>
      </c>
      <c r="AA4" s="103" t="s">
        <v>149</v>
      </c>
      <c r="AB4" s="103" t="s">
        <v>149</v>
      </c>
      <c r="AC4" s="103" t="s">
        <v>149</v>
      </c>
      <c r="AD4" s="12" t="s">
        <v>238</v>
      </c>
    </row>
    <row r="5" spans="1:30" ht="16.5" customHeight="1" x14ac:dyDescent="0.2">
      <c r="H5" s="50" t="s">
        <v>27</v>
      </c>
      <c r="I5" s="50"/>
      <c r="J5" s="50"/>
      <c r="K5" s="50"/>
      <c r="L5" s="50"/>
      <c r="M5" s="50"/>
      <c r="N5" s="50"/>
      <c r="O5" s="50"/>
      <c r="R5" s="12" t="str">
        <f>EB_Exist!A9</f>
        <v>CO2SPIFC</v>
      </c>
      <c r="S5" s="12" t="str">
        <f>EB_Exist!A10</f>
        <v>CH4S</v>
      </c>
      <c r="T5" s="44"/>
      <c r="U5" s="12" t="s">
        <v>126</v>
      </c>
      <c r="V5" s="12" t="s">
        <v>126</v>
      </c>
      <c r="W5" s="12" t="s">
        <v>126</v>
      </c>
      <c r="X5" s="12" t="s">
        <v>126</v>
      </c>
      <c r="Y5" s="23" t="str">
        <f>F13</f>
        <v>IFACR</v>
      </c>
      <c r="Z5" s="12" t="str">
        <f>E10</f>
        <v>IISCKE</v>
      </c>
      <c r="AA5" s="12" t="str">
        <f>E11</f>
        <v>IISCOA</v>
      </c>
      <c r="AB5" s="12" t="str">
        <f>E12</f>
        <v>IFAELC</v>
      </c>
      <c r="AC5" s="12" t="str">
        <f>E17</f>
        <v>INDBIO</v>
      </c>
    </row>
    <row r="6" spans="1:30" ht="17.25" customHeight="1" x14ac:dyDescent="0.2">
      <c r="H6" s="50" t="s">
        <v>126</v>
      </c>
      <c r="I6" s="50"/>
      <c r="J6" s="50"/>
      <c r="K6" s="50"/>
      <c r="L6" s="50"/>
      <c r="M6" s="50"/>
      <c r="R6" s="12" t="s">
        <v>126</v>
      </c>
      <c r="S6" s="12" t="s">
        <v>126</v>
      </c>
      <c r="T6" s="44"/>
    </row>
    <row r="7" spans="1:30" ht="21.75" customHeight="1" x14ac:dyDescent="0.2">
      <c r="B7" s="11" t="s">
        <v>56</v>
      </c>
      <c r="C7" s="11" t="s">
        <v>57</v>
      </c>
      <c r="D7" s="15" t="s">
        <v>93</v>
      </c>
      <c r="E7" s="110" t="s">
        <v>80</v>
      </c>
      <c r="F7" s="110" t="s">
        <v>81</v>
      </c>
      <c r="G7" s="15" t="s">
        <v>94</v>
      </c>
      <c r="H7" s="39"/>
      <c r="I7" s="39">
        <v>2012</v>
      </c>
      <c r="J7" s="39">
        <v>2017</v>
      </c>
      <c r="K7" s="39">
        <v>2035</v>
      </c>
      <c r="L7" s="39">
        <v>2040</v>
      </c>
      <c r="M7" s="39">
        <v>2050</v>
      </c>
      <c r="N7" s="39"/>
      <c r="O7" s="39">
        <v>0</v>
      </c>
      <c r="T7" s="48" t="s">
        <v>44</v>
      </c>
      <c r="U7" s="35">
        <v>0</v>
      </c>
      <c r="W7" s="35">
        <v>0</v>
      </c>
      <c r="Y7" s="48" t="s">
        <v>44</v>
      </c>
      <c r="Z7" s="12">
        <v>2012</v>
      </c>
      <c r="AA7" s="12">
        <v>2012</v>
      </c>
      <c r="AB7" s="12">
        <v>2012</v>
      </c>
      <c r="AC7" s="12">
        <v>2012</v>
      </c>
      <c r="AD7" s="12" t="s">
        <v>44</v>
      </c>
    </row>
    <row r="8" spans="1:30" x14ac:dyDescent="0.2">
      <c r="B8" s="12" t="str">
        <f>Processes_BASE!B9</f>
        <v>XINDBIO</v>
      </c>
      <c r="C8" s="12" t="str">
        <f>Processes_BASE!C9</f>
        <v>Industry Biochar</v>
      </c>
      <c r="D8" s="141" t="s">
        <v>123</v>
      </c>
      <c r="E8" s="112" t="s">
        <v>231</v>
      </c>
      <c r="F8" s="112" t="str">
        <f>Commodities_BASE!B12</f>
        <v>INDBIO</v>
      </c>
      <c r="G8" s="140"/>
      <c r="H8" s="39">
        <v>0.35</v>
      </c>
      <c r="I8" s="39"/>
      <c r="J8" s="39"/>
      <c r="K8" s="39"/>
      <c r="L8" s="39"/>
      <c r="M8" s="39"/>
      <c r="N8" s="39"/>
      <c r="O8" s="39"/>
      <c r="Q8" s="12">
        <v>43</v>
      </c>
      <c r="T8" s="48">
        <v>1</v>
      </c>
      <c r="U8" s="35"/>
      <c r="W8" s="35"/>
      <c r="Y8" s="48"/>
    </row>
    <row r="9" spans="1:30" ht="11.25" customHeight="1" x14ac:dyDescent="0.2">
      <c r="A9" s="45" t="str">
        <f>Processes_BASE!A8</f>
        <v>* Conversion technologies</v>
      </c>
      <c r="B9" s="40"/>
      <c r="E9" s="112"/>
      <c r="F9" s="111"/>
      <c r="H9" s="106"/>
      <c r="I9" s="106"/>
      <c r="J9" s="106"/>
      <c r="K9" s="106"/>
      <c r="L9" s="106"/>
      <c r="M9" s="106"/>
      <c r="N9" s="106"/>
      <c r="O9" s="106"/>
    </row>
    <row r="10" spans="1:30" s="35" customFormat="1" ht="11.25" customHeight="1" x14ac:dyDescent="0.2">
      <c r="A10" s="12"/>
      <c r="B10" s="40" t="str">
        <f>Processes_BASE!B10</f>
        <v>IFCEAF-E</v>
      </c>
      <c r="C10" s="40" t="str">
        <f>Processes_BASE!C10</f>
        <v>FerroChrome existing</v>
      </c>
      <c r="D10" s="40" t="str">
        <f>Processes_BASE!D10</f>
        <v>PJ,PJa</v>
      </c>
      <c r="E10" s="112" t="str">
        <f>RES!D2</f>
        <v>IISCKE</v>
      </c>
      <c r="F10" s="112"/>
      <c r="H10" s="106"/>
      <c r="O10" s="106"/>
      <c r="P10" s="102"/>
      <c r="Q10" s="102"/>
      <c r="U10" s="12"/>
      <c r="V10" s="12"/>
      <c r="W10" s="12"/>
      <c r="X10" s="12"/>
      <c r="Z10" s="107">
        <f>EB_Exist!K6/EB_Exist!F5</f>
        <v>20.407577497129733</v>
      </c>
      <c r="AA10" s="12"/>
    </row>
    <row r="11" spans="1:30" s="35" customFormat="1" ht="11.25" customHeight="1" x14ac:dyDescent="0.2">
      <c r="A11" s="12"/>
      <c r="E11" s="112" t="str">
        <f>RES!E2</f>
        <v>IISCOA</v>
      </c>
      <c r="F11" s="112"/>
      <c r="H11" s="106"/>
      <c r="I11" s="106"/>
      <c r="J11" s="106"/>
      <c r="K11" s="106"/>
      <c r="L11" s="106"/>
      <c r="M11" s="106"/>
      <c r="N11" s="106"/>
      <c r="O11" s="106"/>
      <c r="P11" s="12"/>
      <c r="Q11" s="12"/>
      <c r="R11" s="12"/>
      <c r="S11" s="12"/>
      <c r="U11" s="12"/>
      <c r="V11" s="12"/>
      <c r="W11" s="12"/>
      <c r="X11" s="12"/>
      <c r="AA11" s="145">
        <f>EB_Exist!K7/EB_Exist!F5</f>
        <v>4.0379205223880605</v>
      </c>
    </row>
    <row r="12" spans="1:30" s="35" customFormat="1" ht="11.25" customHeight="1" x14ac:dyDescent="0.2">
      <c r="A12" s="12"/>
      <c r="E12" s="111" t="str">
        <f>RES!F2</f>
        <v>IFAELC</v>
      </c>
      <c r="H12" s="106"/>
      <c r="I12" s="106"/>
      <c r="J12" s="106"/>
      <c r="K12" s="106"/>
      <c r="L12" s="106"/>
      <c r="M12" s="106"/>
      <c r="N12" s="106"/>
      <c r="O12" s="106"/>
      <c r="P12" s="12"/>
      <c r="Q12" s="12"/>
      <c r="R12" s="12"/>
      <c r="S12" s="12"/>
      <c r="U12" s="12"/>
      <c r="V12" s="12"/>
      <c r="W12" s="12"/>
      <c r="X12" s="12"/>
      <c r="AB12" s="145">
        <f>EB_Exist!K8/EB_Exist!F5</f>
        <v>12.360988518943744</v>
      </c>
    </row>
    <row r="13" spans="1:30" s="35" customFormat="1" ht="11.25" customHeight="1" x14ac:dyDescent="0.2">
      <c r="A13" s="12"/>
      <c r="B13" s="12"/>
      <c r="C13" s="12"/>
      <c r="D13" s="12"/>
      <c r="E13" s="112"/>
      <c r="F13" s="111" t="str">
        <f>RES!O2</f>
        <v>IFACR</v>
      </c>
      <c r="H13" s="106"/>
      <c r="I13" s="106">
        <f>EB_Exist!K5</f>
        <v>4.8570000000000002</v>
      </c>
      <c r="J13" s="106">
        <f>I13</f>
        <v>4.8570000000000002</v>
      </c>
      <c r="K13" s="106">
        <f>J13</f>
        <v>4.8570000000000002</v>
      </c>
      <c r="L13" s="106">
        <v>0</v>
      </c>
      <c r="M13" s="106">
        <f>L13</f>
        <v>0</v>
      </c>
      <c r="N13" s="106">
        <f>I13</f>
        <v>4.8570000000000002</v>
      </c>
      <c r="P13" s="12"/>
      <c r="Q13" s="12"/>
      <c r="R13" s="102">
        <f>EB_Exist!F9</f>
        <v>3225</v>
      </c>
      <c r="S13" s="139">
        <f>EB_Exist!F10</f>
        <v>0</v>
      </c>
      <c r="T13" s="12">
        <v>1</v>
      </c>
      <c r="U13" s="12"/>
      <c r="V13" s="12"/>
      <c r="W13" s="12"/>
      <c r="X13" s="12"/>
      <c r="Y13" s="35">
        <v>1</v>
      </c>
    </row>
    <row r="14" spans="1:30" s="35" customFormat="1" ht="11.25" customHeight="1" x14ac:dyDescent="0.25">
      <c r="A14" s="12"/>
      <c r="B14" s="40" t="str">
        <f>RES!M15</f>
        <v>IFCEAF-N</v>
      </c>
      <c r="C14" s="40" t="str">
        <f>RES!M12</f>
        <v>FerrChrome New</v>
      </c>
      <c r="D14" s="40" t="str">
        <f>Processes_BASE!D11</f>
        <v>PJ,PJa</v>
      </c>
      <c r="E14" s="112" t="str">
        <f>RES!D2</f>
        <v>IISCKE</v>
      </c>
      <c r="F14" s="111"/>
      <c r="H14" s="106"/>
      <c r="I14" s="106"/>
      <c r="J14" s="106"/>
      <c r="K14" s="106"/>
      <c r="L14" s="106"/>
      <c r="M14" s="106"/>
      <c r="N14" s="113"/>
      <c r="P14" s="12"/>
      <c r="Q14" s="12"/>
      <c r="R14" s="12"/>
      <c r="S14" s="12"/>
      <c r="T14" s="12"/>
      <c r="U14" s="12"/>
      <c r="V14" s="12"/>
      <c r="W14" s="12"/>
      <c r="X14" s="12"/>
      <c r="Z14" s="142">
        <v>4.4800000000000004</v>
      </c>
      <c r="AA14" s="142"/>
      <c r="AB14" s="142"/>
      <c r="AC14" s="142"/>
      <c r="AD14" s="35">
        <v>2035</v>
      </c>
    </row>
    <row r="15" spans="1:30" s="35" customFormat="1" ht="11.25" customHeight="1" x14ac:dyDescent="0.25">
      <c r="A15" s="12"/>
      <c r="B15" s="12"/>
      <c r="C15" s="12"/>
      <c r="D15" s="12"/>
      <c r="E15" s="112" t="str">
        <f>RES!E2</f>
        <v>IISCOA</v>
      </c>
      <c r="F15" s="1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Z15" s="142"/>
      <c r="AA15" s="142">
        <v>3.89</v>
      </c>
      <c r="AB15" s="142"/>
      <c r="AC15" s="142"/>
    </row>
    <row r="16" spans="1:30" s="35" customFormat="1" ht="11.25" customHeight="1" x14ac:dyDescent="0.25">
      <c r="A16" s="12"/>
      <c r="B16" s="12"/>
      <c r="C16" s="12"/>
      <c r="D16" s="12"/>
      <c r="E16" s="112" t="str">
        <f>RES!F2</f>
        <v>IFAELC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42"/>
      <c r="AA16" s="142"/>
      <c r="AB16" s="142">
        <v>8.64</v>
      </c>
      <c r="AC16" s="142"/>
    </row>
    <row r="17" spans="1:30" s="35" customFormat="1" ht="11.25" customHeight="1" x14ac:dyDescent="0.25">
      <c r="A17" s="12"/>
      <c r="B17" s="12"/>
      <c r="C17" s="12"/>
      <c r="D17" s="12"/>
      <c r="E17" s="112" t="str">
        <f>RES!G2</f>
        <v>INDBIO</v>
      </c>
      <c r="F17" s="4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Z17" s="142"/>
      <c r="AA17" s="142"/>
      <c r="AB17" s="142"/>
      <c r="AC17" s="142">
        <v>7.72</v>
      </c>
    </row>
    <row r="18" spans="1:30" ht="11.25" customHeight="1" x14ac:dyDescent="0.25">
      <c r="F18" s="112" t="str">
        <f>RES!O2</f>
        <v>IFACR</v>
      </c>
      <c r="P18" s="143">
        <f>2%*Q18</f>
        <v>201.44</v>
      </c>
      <c r="Q18" s="143">
        <v>10072</v>
      </c>
      <c r="R18" s="143">
        <v>2102</v>
      </c>
      <c r="S18" s="143">
        <f>S13*0.8</f>
        <v>0</v>
      </c>
      <c r="Y18" s="35">
        <v>1</v>
      </c>
    </row>
    <row r="19" spans="1:30" ht="11.25" customHeight="1" x14ac:dyDescent="0.25">
      <c r="B19" s="40" t="str">
        <f>RES!M22</f>
        <v>IFCEAFB-N</v>
      </c>
      <c r="C19" s="40" t="str">
        <f>RES!M18</f>
        <v>FerroChrome with biomass</v>
      </c>
      <c r="D19" s="40" t="str">
        <f>D14</f>
        <v>PJ,PJa</v>
      </c>
      <c r="E19" s="112" t="str">
        <f>E14</f>
        <v>IISCKE</v>
      </c>
      <c r="F19" s="111"/>
      <c r="H19" s="106"/>
      <c r="I19" s="106"/>
      <c r="J19" s="106"/>
      <c r="K19" s="106"/>
      <c r="L19" s="106"/>
      <c r="M19" s="106"/>
      <c r="N19" s="113"/>
      <c r="O19" s="35"/>
      <c r="Y19" s="35"/>
      <c r="Z19" s="142">
        <v>1.55</v>
      </c>
      <c r="AA19" s="142"/>
      <c r="AB19" s="142"/>
      <c r="AC19" s="142"/>
      <c r="AD19" s="12">
        <v>2040</v>
      </c>
    </row>
    <row r="20" spans="1:30" ht="11.25" customHeight="1" x14ac:dyDescent="0.25">
      <c r="E20" s="112" t="str">
        <f t="shared" ref="E20:E22" si="0">E15</f>
        <v>IISCOA</v>
      </c>
      <c r="F20" s="111"/>
      <c r="T20" s="35"/>
      <c r="Y20" s="35"/>
      <c r="Z20" s="142"/>
      <c r="AA20" s="142">
        <v>2.33</v>
      </c>
      <c r="AB20" s="142"/>
      <c r="AC20" s="142"/>
    </row>
    <row r="21" spans="1:30" ht="11.25" customHeight="1" x14ac:dyDescent="0.25">
      <c r="E21" s="112" t="str">
        <f t="shared" si="0"/>
        <v>IFAELC</v>
      </c>
      <c r="F21" s="35"/>
      <c r="Y21" s="35"/>
      <c r="Z21" s="142"/>
      <c r="AA21" s="142"/>
      <c r="AB21" s="142">
        <v>8.64</v>
      </c>
      <c r="AC21" s="142"/>
    </row>
    <row r="22" spans="1:30" ht="11.25" customHeight="1" x14ac:dyDescent="0.25">
      <c r="E22" s="112" t="str">
        <f t="shared" si="0"/>
        <v>INDBIO</v>
      </c>
      <c r="F22" s="49"/>
      <c r="Y22" s="35"/>
      <c r="Z22" s="142"/>
      <c r="AA22" s="142"/>
      <c r="AB22" s="142"/>
      <c r="AC22" s="142">
        <v>13</v>
      </c>
    </row>
    <row r="23" spans="1:30" ht="11.25" customHeight="1" x14ac:dyDescent="0.25">
      <c r="F23" s="112" t="str">
        <f>F18</f>
        <v>IFACR</v>
      </c>
      <c r="P23" s="143">
        <f>2%*Q23</f>
        <v>221.58</v>
      </c>
      <c r="Q23" s="143">
        <v>11079</v>
      </c>
      <c r="R23" s="143">
        <v>933</v>
      </c>
      <c r="S23" s="143">
        <f>S18*0.8</f>
        <v>0</v>
      </c>
      <c r="Y23" s="35">
        <v>1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0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J12" sqref="J12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35" customWidth="1"/>
    <col min="8" max="9" width="7.85546875" style="12" customWidth="1"/>
    <col min="10" max="10" width="10.42578125" style="12" bestFit="1" customWidth="1"/>
    <col min="11" max="16384" width="9.140625" style="12"/>
  </cols>
  <sheetData>
    <row r="1" spans="1:10" ht="11.25" customHeight="1" x14ac:dyDescent="0.2">
      <c r="A1" s="11" t="str">
        <f ca="1">IF(INDEX(Index!$E$6:$E$37,MATCH(A2,Index!$D$6:$D$37,0))=1,LEFT(A2,SEARCH("_",A2)-1),"")</f>
        <v/>
      </c>
      <c r="B1" s="18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ProcData_FCR - PAMS</v>
      </c>
    </row>
    <row r="3" spans="1:10" ht="34.5" customHeight="1" x14ac:dyDescent="0.2"/>
    <row r="4" spans="1:10" ht="21.75" customHeight="1" x14ac:dyDescent="0.2">
      <c r="E4" s="36"/>
      <c r="F4" s="36"/>
      <c r="G4" s="36"/>
      <c r="H4" s="103" t="s">
        <v>149</v>
      </c>
      <c r="I4" s="103" t="str">
        <f>H4</f>
        <v>PRC_ACTFLO</v>
      </c>
      <c r="J4" s="103" t="str">
        <f>I4</f>
        <v>PRC_ACTFLO</v>
      </c>
    </row>
    <row r="5" spans="1:10" ht="16.5" customHeight="1" x14ac:dyDescent="0.2">
      <c r="H5" s="12" t="str">
        <f>E9</f>
        <v>IFAELC</v>
      </c>
      <c r="I5" s="103" t="str">
        <f>H5</f>
        <v>IFAELC</v>
      </c>
      <c r="J5" s="103" t="str">
        <f>I5</f>
        <v>IFAELC</v>
      </c>
    </row>
    <row r="6" spans="1:10" ht="17.25" customHeight="1" x14ac:dyDescent="0.2"/>
    <row r="7" spans="1:10" ht="21.75" customHeight="1" x14ac:dyDescent="0.2">
      <c r="B7" s="11" t="s">
        <v>56</v>
      </c>
      <c r="C7" s="11" t="s">
        <v>57</v>
      </c>
      <c r="D7" s="15" t="s">
        <v>93</v>
      </c>
      <c r="E7" s="110" t="s">
        <v>80</v>
      </c>
      <c r="F7" s="110" t="s">
        <v>81</v>
      </c>
      <c r="G7" s="15" t="s">
        <v>94</v>
      </c>
      <c r="H7" s="12">
        <v>2012</v>
      </c>
      <c r="I7" s="12">
        <v>2020</v>
      </c>
      <c r="J7" s="12">
        <v>2030</v>
      </c>
    </row>
    <row r="8" spans="1:10" ht="11.25" customHeight="1" x14ac:dyDescent="0.2">
      <c r="A8" s="45" t="str">
        <f>Processes_BASE!A8</f>
        <v>* Conversion technologies</v>
      </c>
      <c r="B8" s="40"/>
      <c r="E8" s="112"/>
      <c r="F8" s="111"/>
    </row>
    <row r="9" spans="1:10" s="35" customFormat="1" ht="11.25" customHeight="1" x14ac:dyDescent="0.2">
      <c r="A9" s="12"/>
      <c r="B9" s="40" t="str">
        <f>Processes_BASE!B10</f>
        <v>IFCEAF-E</v>
      </c>
      <c r="C9" s="40" t="str">
        <f>Processes_BASE!C10</f>
        <v>FerroChrome existing</v>
      </c>
      <c r="D9" s="40" t="str">
        <f>Processes_BASE!D10</f>
        <v>PJ,PJa</v>
      </c>
      <c r="E9" s="111" t="str">
        <f>RES!F2</f>
        <v>IFAELC</v>
      </c>
      <c r="F9" s="112" t="str">
        <f>ProcData_FCR!F13</f>
        <v>IFACR</v>
      </c>
      <c r="H9" s="145">
        <f>ProcData_FCR!AB12</f>
        <v>12.360988518943744</v>
      </c>
      <c r="I9" s="107">
        <f>H9</f>
        <v>12.360988518943744</v>
      </c>
      <c r="J9" s="35">
        <f>I9*(1-Index!$M$11)</f>
        <v>11.742939092996556</v>
      </c>
    </row>
    <row r="10" spans="1:10" s="35" customFormat="1" ht="11.25" customHeight="1" x14ac:dyDescent="0.2">
      <c r="A10" s="12"/>
      <c r="B10" s="12"/>
      <c r="C10" s="12"/>
      <c r="D10" s="12"/>
      <c r="E10" s="112"/>
      <c r="F10" s="111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33B-AA2F-435C-A09F-9DBC97D79718}">
  <sheetPr>
    <tabColor rgb="FF00B050"/>
  </sheetPr>
  <dimension ref="A1:AA174"/>
  <sheetViews>
    <sheetView tabSelected="1" zoomScaleNormal="100" workbookViewId="0">
      <selection activeCell="G92" sqref="G92"/>
    </sheetView>
  </sheetViews>
  <sheetFormatPr defaultRowHeight="15.75" x14ac:dyDescent="0.25"/>
  <cols>
    <col min="1" max="1" width="9.140625" style="150"/>
    <col min="2" max="3" width="30.42578125" style="150" customWidth="1"/>
    <col min="4" max="4" width="13.5703125" style="150" bestFit="1" customWidth="1"/>
    <col min="5" max="5" width="12.140625" style="150" bestFit="1" customWidth="1"/>
    <col min="6" max="6" width="9.140625" style="150"/>
    <col min="7" max="7" width="12.42578125" style="150" bestFit="1" customWidth="1"/>
    <col min="8" max="8" width="13.5703125" style="150" bestFit="1" customWidth="1"/>
    <col min="9" max="9" width="11.28515625" style="150" bestFit="1" customWidth="1"/>
    <col min="10" max="10" width="11.5703125" style="150" bestFit="1" customWidth="1"/>
    <col min="11" max="16384" width="9.140625" style="150"/>
  </cols>
  <sheetData>
    <row r="1" spans="2:5" x14ac:dyDescent="0.25">
      <c r="B1" s="149" t="s">
        <v>257</v>
      </c>
    </row>
    <row r="2" spans="2:5" x14ac:dyDescent="0.25">
      <c r="B2" s="151" t="s">
        <v>258</v>
      </c>
      <c r="C2" s="152" t="s">
        <v>259</v>
      </c>
      <c r="D2" s="153"/>
    </row>
    <row r="3" spans="2:5" x14ac:dyDescent="0.25">
      <c r="B3" s="154" t="s">
        <v>260</v>
      </c>
      <c r="C3" s="155" t="s">
        <v>261</v>
      </c>
      <c r="D3" s="156"/>
    </row>
    <row r="4" spans="2:5" x14ac:dyDescent="0.25">
      <c r="B4" s="154"/>
      <c r="C4" s="155" t="s">
        <v>262</v>
      </c>
      <c r="D4" s="156"/>
    </row>
    <row r="5" spans="2:5" ht="16.5" thickBot="1" x14ac:dyDescent="0.3">
      <c r="B5" s="157"/>
      <c r="C5" s="158" t="s">
        <v>263</v>
      </c>
      <c r="D5" s="156"/>
      <c r="E5" s="150" t="s">
        <v>264</v>
      </c>
    </row>
    <row r="6" spans="2:5" x14ac:dyDescent="0.25">
      <c r="B6" s="159" t="s">
        <v>265</v>
      </c>
      <c r="C6" s="160" t="s">
        <v>266</v>
      </c>
      <c r="D6" s="156"/>
      <c r="E6" s="150" t="s">
        <v>267</v>
      </c>
    </row>
    <row r="7" spans="2:5" x14ac:dyDescent="0.25">
      <c r="B7" s="161"/>
      <c r="C7" s="160" t="s">
        <v>268</v>
      </c>
      <c r="D7" s="156"/>
      <c r="E7" s="150" t="s">
        <v>264</v>
      </c>
    </row>
    <row r="8" spans="2:5" ht="16.5" thickBot="1" x14ac:dyDescent="0.3">
      <c r="B8" s="162"/>
      <c r="C8" s="163" t="s">
        <v>269</v>
      </c>
      <c r="D8" s="156"/>
    </row>
    <row r="9" spans="2:5" x14ac:dyDescent="0.25">
      <c r="B9" s="159" t="s">
        <v>270</v>
      </c>
      <c r="C9" s="160" t="s">
        <v>271</v>
      </c>
      <c r="D9" s="156"/>
      <c r="E9" s="150" t="s">
        <v>267</v>
      </c>
    </row>
    <row r="10" spans="2:5" x14ac:dyDescent="0.25">
      <c r="B10" s="161"/>
      <c r="C10" s="160" t="s">
        <v>272</v>
      </c>
      <c r="D10" s="156"/>
      <c r="E10" s="150" t="s">
        <v>273</v>
      </c>
    </row>
    <row r="11" spans="2:5" ht="30.75" thickBot="1" x14ac:dyDescent="0.3">
      <c r="B11" s="162"/>
      <c r="C11" s="163" t="s">
        <v>274</v>
      </c>
      <c r="D11" s="156"/>
      <c r="E11" s="150" t="s">
        <v>275</v>
      </c>
    </row>
    <row r="12" spans="2:5" x14ac:dyDescent="0.25">
      <c r="B12" s="159" t="s">
        <v>276</v>
      </c>
      <c r="C12" s="160" t="s">
        <v>271</v>
      </c>
      <c r="D12" s="156"/>
    </row>
    <row r="13" spans="2:5" x14ac:dyDescent="0.25">
      <c r="B13" s="161"/>
      <c r="C13" s="160" t="s">
        <v>272</v>
      </c>
      <c r="D13" s="156"/>
    </row>
    <row r="14" spans="2:5" ht="16.5" thickBot="1" x14ac:dyDescent="0.3">
      <c r="B14" s="162"/>
      <c r="C14" s="163" t="s">
        <v>277</v>
      </c>
      <c r="D14" s="156"/>
    </row>
    <row r="15" spans="2:5" x14ac:dyDescent="0.25">
      <c r="B15" s="164"/>
      <c r="D15" s="156"/>
    </row>
    <row r="16" spans="2:5" x14ac:dyDescent="0.25">
      <c r="B16" s="164"/>
      <c r="D16" s="156"/>
    </row>
    <row r="17" spans="2:27" x14ac:dyDescent="0.25">
      <c r="B17" s="164"/>
      <c r="D17" s="156"/>
    </row>
    <row r="18" spans="2:27" x14ac:dyDescent="0.25">
      <c r="B18" s="164"/>
      <c r="D18" s="156"/>
      <c r="E18" s="150" t="s">
        <v>278</v>
      </c>
      <c r="O18" s="150" t="s">
        <v>279</v>
      </c>
    </row>
    <row r="19" spans="2:27" ht="31.5" x14ac:dyDescent="0.25">
      <c r="B19" s="165" t="s">
        <v>280</v>
      </c>
      <c r="C19" s="166" t="s">
        <v>281</v>
      </c>
      <c r="D19" s="156"/>
      <c r="E19" s="150" t="s">
        <v>282</v>
      </c>
      <c r="F19" s="150" t="s">
        <v>283</v>
      </c>
      <c r="G19" s="150" t="s">
        <v>284</v>
      </c>
      <c r="H19" s="150" t="s">
        <v>285</v>
      </c>
      <c r="J19" s="150" t="s">
        <v>286</v>
      </c>
      <c r="K19" s="150" t="s">
        <v>287</v>
      </c>
      <c r="L19" s="150" t="s">
        <v>0</v>
      </c>
      <c r="O19" s="167" t="s">
        <v>288</v>
      </c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3"/>
    </row>
    <row r="20" spans="2:27" ht="16.5" thickBot="1" x14ac:dyDescent="0.3">
      <c r="B20" s="168" t="s">
        <v>289</v>
      </c>
      <c r="C20" s="169">
        <v>2000</v>
      </c>
      <c r="D20" s="156"/>
      <c r="E20" s="150">
        <v>0.72</v>
      </c>
      <c r="F20" s="150">
        <f>C20*0.001-E20</f>
        <v>1.28</v>
      </c>
      <c r="I20" s="150" t="s">
        <v>290</v>
      </c>
      <c r="J20" s="150" t="s">
        <v>291</v>
      </c>
      <c r="O20" s="164"/>
      <c r="Z20" s="156"/>
    </row>
    <row r="21" spans="2:27" x14ac:dyDescent="0.25">
      <c r="B21" s="170" t="s">
        <v>292</v>
      </c>
      <c r="C21" s="171">
        <v>1200</v>
      </c>
      <c r="D21" s="156"/>
      <c r="F21" s="150">
        <f>C21*0.001</f>
        <v>1.2</v>
      </c>
      <c r="G21" s="172">
        <f>C26*0.001</f>
        <v>0.42</v>
      </c>
      <c r="I21" s="150" t="s">
        <v>293</v>
      </c>
      <c r="K21" s="150" t="s">
        <v>291</v>
      </c>
      <c r="O21" s="164"/>
      <c r="Z21" s="156"/>
    </row>
    <row r="22" spans="2:27" ht="16.5" thickBot="1" x14ac:dyDescent="0.3">
      <c r="B22" s="173" t="s">
        <v>294</v>
      </c>
      <c r="C22" s="174"/>
      <c r="D22" s="156"/>
      <c r="O22" s="164">
        <v>4.9000000000000004</v>
      </c>
      <c r="P22" s="150" t="s">
        <v>295</v>
      </c>
      <c r="Z22" s="156"/>
    </row>
    <row r="23" spans="2:27" ht="16.5" thickBot="1" x14ac:dyDescent="0.3">
      <c r="B23" s="168" t="s">
        <v>296</v>
      </c>
      <c r="C23" s="169">
        <v>150</v>
      </c>
      <c r="D23" s="156"/>
      <c r="G23" s="150">
        <f>C23*0.001</f>
        <v>0.15</v>
      </c>
      <c r="I23" s="150" t="s">
        <v>297</v>
      </c>
      <c r="L23" s="150" t="s">
        <v>298</v>
      </c>
      <c r="O23" s="164">
        <v>0.36</v>
      </c>
      <c r="P23" s="150" t="s">
        <v>299</v>
      </c>
      <c r="Z23" s="156"/>
    </row>
    <row r="24" spans="2:27" x14ac:dyDescent="0.25">
      <c r="B24" s="170" t="s">
        <v>300</v>
      </c>
      <c r="C24" s="171">
        <v>110</v>
      </c>
      <c r="D24" s="156"/>
      <c r="G24" s="150">
        <f>C24*0.001</f>
        <v>0.11</v>
      </c>
      <c r="I24" s="150" t="s">
        <v>297</v>
      </c>
      <c r="O24" s="164">
        <v>0.36</v>
      </c>
      <c r="P24" s="150" t="s">
        <v>301</v>
      </c>
      <c r="Z24" s="156"/>
    </row>
    <row r="25" spans="2:27" ht="30.75" thickBot="1" x14ac:dyDescent="0.3">
      <c r="B25" s="173" t="s">
        <v>302</v>
      </c>
      <c r="C25" s="174"/>
      <c r="D25" s="156"/>
      <c r="O25" s="164">
        <f>O22/O23</f>
        <v>13.611111111111112</v>
      </c>
      <c r="P25" s="150" t="s">
        <v>303</v>
      </c>
      <c r="Z25" s="156"/>
    </row>
    <row r="26" spans="2:27" ht="16.5" thickBot="1" x14ac:dyDescent="0.3">
      <c r="B26" s="168" t="s">
        <v>304</v>
      </c>
      <c r="C26" s="169">
        <v>420</v>
      </c>
      <c r="D26" s="156"/>
      <c r="G26" s="172"/>
      <c r="L26" s="150" t="s">
        <v>305</v>
      </c>
      <c r="O26" s="164"/>
      <c r="Z26" s="156"/>
    </row>
    <row r="27" spans="2:27" x14ac:dyDescent="0.25">
      <c r="B27" s="170" t="s">
        <v>306</v>
      </c>
      <c r="C27" s="171">
        <v>267</v>
      </c>
      <c r="D27" s="156"/>
      <c r="G27" s="150">
        <f>C27*0.001</f>
        <v>0.26700000000000002</v>
      </c>
      <c r="J27" s="150">
        <v>14</v>
      </c>
      <c r="L27" s="175">
        <v>0.6</v>
      </c>
      <c r="M27" s="150" t="s">
        <v>307</v>
      </c>
      <c r="N27" s="176" t="s">
        <v>308</v>
      </c>
      <c r="O27" s="177" t="s">
        <v>309</v>
      </c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9"/>
    </row>
    <row r="28" spans="2:27" ht="16.5" thickBot="1" x14ac:dyDescent="0.3">
      <c r="B28" s="173" t="s">
        <v>310</v>
      </c>
      <c r="C28" s="174"/>
      <c r="D28" s="156"/>
    </row>
    <row r="29" spans="2:27" ht="16.5" thickBot="1" x14ac:dyDescent="0.3">
      <c r="B29" s="168" t="s">
        <v>311</v>
      </c>
      <c r="C29" s="169">
        <v>410</v>
      </c>
      <c r="D29" s="156"/>
      <c r="H29" s="150">
        <f>C29*0.001</f>
        <v>0.41000000000000003</v>
      </c>
      <c r="I29" s="176" t="s">
        <v>312</v>
      </c>
      <c r="O29" s="151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3"/>
    </row>
    <row r="30" spans="2:27" ht="16.5" thickBot="1" x14ac:dyDescent="0.3">
      <c r="B30" s="180" t="s">
        <v>313</v>
      </c>
      <c r="C30" s="181">
        <v>300</v>
      </c>
      <c r="D30" s="156"/>
      <c r="G30" s="150">
        <f>C30*0.001</f>
        <v>0.3</v>
      </c>
      <c r="O30" s="182" t="s">
        <v>314</v>
      </c>
      <c r="AA30" s="156"/>
    </row>
    <row r="31" spans="2:27" x14ac:dyDescent="0.25">
      <c r="B31" s="183" t="s">
        <v>315</v>
      </c>
      <c r="C31" s="184">
        <v>4707</v>
      </c>
      <c r="D31" s="179"/>
      <c r="O31" s="164"/>
      <c r="AA31" s="156"/>
    </row>
    <row r="32" spans="2:27" x14ac:dyDescent="0.25">
      <c r="C32" s="150" t="s">
        <v>316</v>
      </c>
      <c r="D32" s="185">
        <f>SUM(E32:H32)</f>
        <v>4.8570000000000002</v>
      </c>
      <c r="E32" s="150">
        <f>SUM(E20:E30)</f>
        <v>0.72</v>
      </c>
      <c r="F32" s="150">
        <f>SUM(F20:F30)</f>
        <v>2.48</v>
      </c>
      <c r="G32" s="150">
        <f>SUM(G20:G30)</f>
        <v>1.2469999999999999</v>
      </c>
      <c r="H32" s="150">
        <f>SUM(H20:H30)</f>
        <v>0.41000000000000003</v>
      </c>
      <c r="I32" s="150" t="s">
        <v>317</v>
      </c>
      <c r="O32" s="164" t="s">
        <v>318</v>
      </c>
      <c r="AA32" s="156"/>
    </row>
    <row r="33" spans="3:27" x14ac:dyDescent="0.25">
      <c r="C33" s="150" t="s">
        <v>319</v>
      </c>
      <c r="E33" s="150">
        <f>F54</f>
        <v>2400</v>
      </c>
      <c r="F33" s="150">
        <f>F52</f>
        <v>3500</v>
      </c>
      <c r="G33" s="150">
        <f>F50</f>
        <v>4100</v>
      </c>
      <c r="H33" s="150">
        <f>G33</f>
        <v>4100</v>
      </c>
      <c r="I33" s="150" t="s">
        <v>202</v>
      </c>
      <c r="O33" s="164">
        <v>3000</v>
      </c>
      <c r="P33" s="150" t="s">
        <v>320</v>
      </c>
      <c r="AA33" s="156"/>
    </row>
    <row r="34" spans="3:27" x14ac:dyDescent="0.25">
      <c r="C34" s="150" t="s">
        <v>321</v>
      </c>
      <c r="D34" s="186">
        <f>SUM(E34:H34)</f>
        <v>17201.7</v>
      </c>
      <c r="E34" s="187">
        <f>E33*E32</f>
        <v>1728</v>
      </c>
      <c r="F34" s="187">
        <f>F33*F32</f>
        <v>8680</v>
      </c>
      <c r="G34" s="187">
        <f>G33*G32</f>
        <v>5112.7</v>
      </c>
      <c r="H34" s="187">
        <f>H33*H32</f>
        <v>1681.0000000000002</v>
      </c>
      <c r="I34" s="150" t="s">
        <v>241</v>
      </c>
      <c r="O34" s="164"/>
      <c r="AA34" s="156"/>
    </row>
    <row r="35" spans="3:27" x14ac:dyDescent="0.25">
      <c r="C35" s="150" t="s">
        <v>322</v>
      </c>
      <c r="D35" s="186">
        <f>SUM(E35:H35)</f>
        <v>73.584000000000003</v>
      </c>
      <c r="G35" s="150">
        <f>J27*L27*8.76</f>
        <v>73.584000000000003</v>
      </c>
      <c r="O35" s="164">
        <v>22</v>
      </c>
      <c r="P35" s="150" t="s">
        <v>323</v>
      </c>
      <c r="AA35" s="156"/>
    </row>
    <row r="36" spans="3:27" x14ac:dyDescent="0.25">
      <c r="C36" s="150" t="s">
        <v>324</v>
      </c>
      <c r="D36" s="188">
        <f>D34-D35</f>
        <v>17128.116000000002</v>
      </c>
      <c r="O36" s="164">
        <v>13</v>
      </c>
      <c r="P36" s="150" t="s">
        <v>325</v>
      </c>
      <c r="AA36" s="156"/>
    </row>
    <row r="37" spans="3:27" x14ac:dyDescent="0.25">
      <c r="D37" s="189"/>
      <c r="O37" s="164"/>
      <c r="AA37" s="156"/>
    </row>
    <row r="38" spans="3:27" x14ac:dyDescent="0.25">
      <c r="D38" s="190">
        <f>D34/D32</f>
        <v>3541.6306361951824</v>
      </c>
      <c r="E38" s="150" t="s">
        <v>326</v>
      </c>
      <c r="O38" s="164">
        <v>2</v>
      </c>
      <c r="P38" s="150" t="s">
        <v>327</v>
      </c>
      <c r="AA38" s="156"/>
    </row>
    <row r="39" spans="3:27" x14ac:dyDescent="0.25">
      <c r="D39" s="150">
        <f>(E34+(F20/F32)*F34)/(E20+F20)</f>
        <v>3104</v>
      </c>
      <c r="E39" s="150" t="s">
        <v>328</v>
      </c>
      <c r="O39" s="164">
        <v>4</v>
      </c>
      <c r="P39" s="150" t="s">
        <v>329</v>
      </c>
      <c r="AA39" s="156"/>
    </row>
    <row r="40" spans="3:27" x14ac:dyDescent="0.25">
      <c r="O40" s="177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9"/>
    </row>
    <row r="42" spans="3:27" x14ac:dyDescent="0.25">
      <c r="O42" s="176" t="s">
        <v>330</v>
      </c>
    </row>
    <row r="43" spans="3:27" x14ac:dyDescent="0.25">
      <c r="O43" s="151" t="s">
        <v>331</v>
      </c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3"/>
    </row>
    <row r="44" spans="3:27" x14ac:dyDescent="0.25">
      <c r="O44" s="164"/>
      <c r="AA44" s="156"/>
    </row>
    <row r="45" spans="3:27" x14ac:dyDescent="0.25">
      <c r="O45" s="191" t="s">
        <v>332</v>
      </c>
      <c r="AA45" s="156"/>
    </row>
    <row r="46" spans="3:27" x14ac:dyDescent="0.25">
      <c r="O46" s="164">
        <v>4100</v>
      </c>
      <c r="P46" s="150" t="s">
        <v>202</v>
      </c>
      <c r="AA46" s="156"/>
    </row>
    <row r="47" spans="3:27" x14ac:dyDescent="0.25">
      <c r="D47" s="187" t="s">
        <v>333</v>
      </c>
      <c r="O47" s="164"/>
      <c r="AA47" s="156"/>
    </row>
    <row r="48" spans="3:27" x14ac:dyDescent="0.25">
      <c r="D48" s="151"/>
      <c r="E48" s="152"/>
      <c r="F48" s="152"/>
      <c r="G48" s="152" t="s">
        <v>334</v>
      </c>
      <c r="H48" s="152"/>
      <c r="I48" s="152"/>
      <c r="J48" s="152"/>
      <c r="K48" s="152"/>
      <c r="L48" s="153"/>
      <c r="O48" s="191" t="s">
        <v>335</v>
      </c>
      <c r="AA48" s="156"/>
    </row>
    <row r="49" spans="1:27" x14ac:dyDescent="0.25">
      <c r="D49" s="164"/>
      <c r="F49" s="150" t="s">
        <v>240</v>
      </c>
      <c r="G49" s="150" t="s">
        <v>336</v>
      </c>
      <c r="H49" s="150" t="s">
        <v>146</v>
      </c>
      <c r="I49" s="150" t="s">
        <v>337</v>
      </c>
      <c r="J49" s="150" t="s">
        <v>338</v>
      </c>
      <c r="K49" s="150" t="s">
        <v>339</v>
      </c>
      <c r="L49" s="156"/>
      <c r="O49" s="164" t="s">
        <v>340</v>
      </c>
      <c r="AA49" s="156"/>
    </row>
    <row r="50" spans="1:27" x14ac:dyDescent="0.25">
      <c r="D50" s="164" t="s">
        <v>341</v>
      </c>
      <c r="F50" s="150">
        <f>O46</f>
        <v>4100</v>
      </c>
      <c r="G50" s="150">
        <f>'NetZero work'!P71</f>
        <v>0.69</v>
      </c>
      <c r="H50" s="150">
        <f>'NetZero work'!P73</f>
        <v>0.2</v>
      </c>
      <c r="I50" s="150">
        <f>'NetZero work'!P74</f>
        <v>0.27</v>
      </c>
      <c r="J50" s="150">
        <f>'NetZero work'!P75</f>
        <v>0.123</v>
      </c>
      <c r="K50" s="150">
        <f>G50-SUM(H50:J50)</f>
        <v>9.6999999999999975E-2</v>
      </c>
      <c r="L50" s="156"/>
      <c r="O50" s="164">
        <v>4800</v>
      </c>
      <c r="P50" s="150" t="s">
        <v>202</v>
      </c>
      <c r="AA50" s="156"/>
    </row>
    <row r="51" spans="1:27" x14ac:dyDescent="0.25">
      <c r="D51" s="164"/>
      <c r="L51" s="156"/>
      <c r="O51" s="164"/>
      <c r="AA51" s="156"/>
    </row>
    <row r="52" spans="1:27" x14ac:dyDescent="0.25">
      <c r="D52" s="164" t="s">
        <v>283</v>
      </c>
      <c r="F52" s="150">
        <f>O55</f>
        <v>3500</v>
      </c>
      <c r="G52" s="150">
        <f>'NetZero work'!P93</f>
        <v>0.61</v>
      </c>
      <c r="H52" s="150">
        <f>'NetZero work'!P95</f>
        <v>2.5999999999999999E-2</v>
      </c>
      <c r="I52" s="150">
        <f>'NetZero work'!P96</f>
        <v>0.29899999999999999</v>
      </c>
      <c r="J52" s="150">
        <f>'NetZero work'!P97</f>
        <v>0.245</v>
      </c>
      <c r="K52" s="150">
        <f>'NetZero work'!P98</f>
        <v>4.1000000000000002E-2</v>
      </c>
      <c r="L52" s="156"/>
      <c r="O52" s="191" t="s">
        <v>283</v>
      </c>
      <c r="AA52" s="156"/>
    </row>
    <row r="53" spans="1:27" x14ac:dyDescent="0.25">
      <c r="D53" s="164"/>
      <c r="L53" s="156"/>
      <c r="O53" s="164" t="s">
        <v>342</v>
      </c>
      <c r="AA53" s="156"/>
    </row>
    <row r="54" spans="1:27" x14ac:dyDescent="0.25">
      <c r="D54" s="164" t="s">
        <v>343</v>
      </c>
      <c r="F54" s="150">
        <f>O60</f>
        <v>2400</v>
      </c>
      <c r="L54" s="156"/>
      <c r="O54" s="164" t="s">
        <v>344</v>
      </c>
      <c r="AA54" s="156"/>
    </row>
    <row r="55" spans="1:27" x14ac:dyDescent="0.25">
      <c r="D55" s="164"/>
      <c r="L55" s="156"/>
      <c r="O55" s="164">
        <v>3500</v>
      </c>
      <c r="P55" s="150" t="s">
        <v>202</v>
      </c>
      <c r="AA55" s="156"/>
    </row>
    <row r="56" spans="1:27" x14ac:dyDescent="0.25">
      <c r="D56" s="164" t="s">
        <v>345</v>
      </c>
      <c r="L56" s="156"/>
      <c r="O56" s="164"/>
      <c r="AA56" s="156"/>
    </row>
    <row r="57" spans="1:27" x14ac:dyDescent="0.25">
      <c r="D57" s="164" t="s">
        <v>346</v>
      </c>
      <c r="L57" s="156"/>
      <c r="O57" s="191" t="s">
        <v>343</v>
      </c>
      <c r="AA57" s="156"/>
    </row>
    <row r="58" spans="1:27" x14ac:dyDescent="0.25">
      <c r="D58" s="164"/>
      <c r="L58" s="156"/>
      <c r="O58" s="164" t="s">
        <v>347</v>
      </c>
      <c r="AA58" s="156"/>
    </row>
    <row r="59" spans="1:27" x14ac:dyDescent="0.25">
      <c r="D59" s="177"/>
      <c r="E59" s="178"/>
      <c r="F59" s="178"/>
      <c r="G59" s="178"/>
      <c r="H59" s="178"/>
      <c r="I59" s="178"/>
      <c r="J59" s="178"/>
      <c r="K59" s="178"/>
      <c r="L59" s="179"/>
      <c r="O59" s="164" t="s">
        <v>348</v>
      </c>
      <c r="AA59" s="156"/>
    </row>
    <row r="60" spans="1:27" x14ac:dyDescent="0.25">
      <c r="O60" s="164">
        <v>2400</v>
      </c>
      <c r="P60" s="150" t="s">
        <v>202</v>
      </c>
      <c r="AA60" s="156"/>
    </row>
    <row r="61" spans="1:27" x14ac:dyDescent="0.25">
      <c r="O61" s="164"/>
      <c r="AA61" s="156"/>
    </row>
    <row r="62" spans="1:27" x14ac:dyDescent="0.25">
      <c r="O62" s="164"/>
      <c r="AA62" s="156"/>
    </row>
    <row r="63" spans="1:27" x14ac:dyDescent="0.25">
      <c r="A63" s="192" t="s">
        <v>349</v>
      </c>
      <c r="C63" s="193"/>
      <c r="D63" s="193"/>
      <c r="E63" s="194" t="s">
        <v>350</v>
      </c>
      <c r="F63" s="194" t="s">
        <v>283</v>
      </c>
      <c r="G63" s="194" t="s">
        <v>343</v>
      </c>
      <c r="H63" s="194" t="s">
        <v>351</v>
      </c>
      <c r="I63" s="194" t="s">
        <v>352</v>
      </c>
      <c r="O63" s="164"/>
      <c r="AA63" s="156"/>
    </row>
    <row r="64" spans="1:27" x14ac:dyDescent="0.25">
      <c r="A64" s="192"/>
      <c r="C64" s="194" t="s">
        <v>353</v>
      </c>
      <c r="D64" s="193" t="s">
        <v>354</v>
      </c>
      <c r="E64" s="193">
        <f>F50</f>
        <v>4100</v>
      </c>
      <c r="F64" s="193">
        <f>F52</f>
        <v>3500</v>
      </c>
      <c r="G64" s="193">
        <f>F54</f>
        <v>2400</v>
      </c>
      <c r="H64" s="193"/>
      <c r="I64" s="193"/>
      <c r="K64" s="150" t="s">
        <v>355</v>
      </c>
      <c r="L64" s="150" t="s">
        <v>356</v>
      </c>
      <c r="O64" s="164"/>
      <c r="AA64" s="156"/>
    </row>
    <row r="65" spans="1:27" x14ac:dyDescent="0.25">
      <c r="A65" s="192"/>
      <c r="C65" s="194"/>
      <c r="D65" s="193" t="s">
        <v>357</v>
      </c>
      <c r="E65" s="193"/>
      <c r="F65" s="193"/>
      <c r="G65" s="193"/>
      <c r="H65" s="193"/>
      <c r="I65" s="193"/>
      <c r="K65" s="150" t="s">
        <v>278</v>
      </c>
      <c r="O65" s="177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9"/>
    </row>
    <row r="66" spans="1:27" x14ac:dyDescent="0.25">
      <c r="A66" s="192"/>
      <c r="C66" s="194" t="s">
        <v>358</v>
      </c>
      <c r="D66" s="193" t="s">
        <v>146</v>
      </c>
      <c r="E66" s="193">
        <f>H50</f>
        <v>0.2</v>
      </c>
      <c r="F66" s="193">
        <f>H52</f>
        <v>2.5999999999999999E-2</v>
      </c>
      <c r="G66" s="193">
        <f>F66</f>
        <v>2.5999999999999999E-2</v>
      </c>
      <c r="H66" s="193"/>
      <c r="I66" s="193" t="s">
        <v>359</v>
      </c>
    </row>
    <row r="67" spans="1:27" x14ac:dyDescent="0.25">
      <c r="A67" s="192"/>
      <c r="C67" s="194"/>
      <c r="D67" s="193" t="s">
        <v>360</v>
      </c>
      <c r="E67" s="193">
        <f>I50</f>
        <v>0.27</v>
      </c>
      <c r="F67" s="193">
        <f>I52</f>
        <v>0.29899999999999999</v>
      </c>
      <c r="G67" s="193">
        <f>F67*0.5</f>
        <v>0.14949999999999999</v>
      </c>
      <c r="H67" s="193"/>
      <c r="I67" s="193"/>
      <c r="K67" s="150" t="s">
        <v>361</v>
      </c>
      <c r="O67" s="150" t="s">
        <v>362</v>
      </c>
    </row>
    <row r="68" spans="1:27" x14ac:dyDescent="0.25">
      <c r="A68" s="192"/>
      <c r="C68" s="194"/>
      <c r="D68" s="193" t="s">
        <v>363</v>
      </c>
      <c r="E68" s="193">
        <f>J50</f>
        <v>0.123</v>
      </c>
      <c r="F68" s="193">
        <f>J52</f>
        <v>0.245</v>
      </c>
      <c r="G68" s="193">
        <f t="shared" ref="G68" si="0">F68</f>
        <v>0.245</v>
      </c>
      <c r="H68" s="193"/>
      <c r="I68" s="193"/>
      <c r="O68" s="151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3"/>
    </row>
    <row r="69" spans="1:27" x14ac:dyDescent="0.25">
      <c r="A69" s="192"/>
      <c r="C69" s="194"/>
      <c r="D69" s="193" t="s">
        <v>364</v>
      </c>
      <c r="E69" s="193">
        <f>K50</f>
        <v>9.6999999999999975E-2</v>
      </c>
      <c r="F69" s="193">
        <f>K52</f>
        <v>4.1000000000000002E-2</v>
      </c>
      <c r="G69" s="193">
        <f>F67-G67+F69</f>
        <v>0.1905</v>
      </c>
      <c r="H69" s="193"/>
      <c r="I69" s="193"/>
      <c r="O69" s="164"/>
      <c r="P69" s="187" t="s">
        <v>365</v>
      </c>
      <c r="AA69" s="156"/>
    </row>
    <row r="70" spans="1:27" x14ac:dyDescent="0.25">
      <c r="A70" s="192"/>
      <c r="C70" s="194"/>
      <c r="D70" s="195" t="s">
        <v>366</v>
      </c>
      <c r="E70" s="195">
        <f>SUM(E66:E69)</f>
        <v>0.69</v>
      </c>
      <c r="F70" s="195">
        <f>SUM(F66:F69)</f>
        <v>0.6110000000000001</v>
      </c>
      <c r="G70" s="195">
        <f>SUM(G66:G69)</f>
        <v>0.61099999999999999</v>
      </c>
      <c r="H70" s="193"/>
      <c r="I70" s="193"/>
      <c r="O70" s="164"/>
      <c r="P70" s="150">
        <v>4.2699999999999996</v>
      </c>
      <c r="Q70" s="150" t="s">
        <v>367</v>
      </c>
      <c r="AA70" s="156"/>
    </row>
    <row r="71" spans="1:27" x14ac:dyDescent="0.25">
      <c r="A71" s="192"/>
      <c r="C71" s="194" t="s">
        <v>368</v>
      </c>
      <c r="D71" s="193" t="str">
        <f>B20</f>
        <v>Glencore Merafe (Xstrata)</v>
      </c>
      <c r="E71" s="193"/>
      <c r="F71" s="193">
        <f>F20</f>
        <v>1.28</v>
      </c>
      <c r="G71" s="193">
        <f>E20</f>
        <v>0.72</v>
      </c>
      <c r="H71" s="193"/>
      <c r="I71" s="193"/>
      <c r="O71" s="164"/>
      <c r="P71" s="150">
        <v>0.69</v>
      </c>
      <c r="Q71" s="150" t="s">
        <v>369</v>
      </c>
      <c r="AA71" s="156"/>
    </row>
    <row r="72" spans="1:27" x14ac:dyDescent="0.25">
      <c r="A72" s="192"/>
      <c r="C72" s="194"/>
      <c r="D72" s="193" t="str">
        <f>B21</f>
        <v>Samancor Chrome Limited</v>
      </c>
      <c r="E72" s="193">
        <f>G21</f>
        <v>0.42</v>
      </c>
      <c r="F72" s="193">
        <f>F21</f>
        <v>1.2</v>
      </c>
      <c r="G72" s="193"/>
      <c r="H72" s="193"/>
      <c r="I72" s="193" t="s">
        <v>370</v>
      </c>
      <c r="O72" s="164"/>
      <c r="Q72" s="150" t="s">
        <v>371</v>
      </c>
      <c r="AA72" s="156"/>
    </row>
    <row r="73" spans="1:27" x14ac:dyDescent="0.25">
      <c r="A73" s="192"/>
      <c r="C73" s="194"/>
      <c r="D73" s="193" t="str">
        <f>B23</f>
        <v>Tata KZN</v>
      </c>
      <c r="E73" s="193">
        <f>G23</f>
        <v>0.15</v>
      </c>
      <c r="F73" s="193"/>
      <c r="G73" s="193"/>
      <c r="H73" s="193"/>
      <c r="I73" s="193"/>
      <c r="O73" s="164"/>
      <c r="P73" s="150">
        <v>0.2</v>
      </c>
      <c r="Q73" s="150" t="s">
        <v>372</v>
      </c>
      <c r="AA73" s="156"/>
    </row>
    <row r="74" spans="1:27" x14ac:dyDescent="0.25">
      <c r="A74" s="192"/>
      <c r="C74" s="194"/>
      <c r="D74" s="193" t="str">
        <f>B24</f>
        <v>Afarak</v>
      </c>
      <c r="E74" s="193">
        <f>G24</f>
        <v>0.11</v>
      </c>
      <c r="F74" s="193"/>
      <c r="G74" s="193"/>
      <c r="H74" s="193"/>
      <c r="I74" s="193"/>
      <c r="O74" s="164"/>
      <c r="P74" s="150">
        <v>0.27</v>
      </c>
      <c r="Q74" s="150" t="s">
        <v>360</v>
      </c>
      <c r="AA74" s="156"/>
    </row>
    <row r="75" spans="1:27" x14ac:dyDescent="0.25">
      <c r="A75" s="192"/>
      <c r="C75" s="194"/>
      <c r="D75" s="193" t="str">
        <f>B27</f>
        <v>International Ferro Metals</v>
      </c>
      <c r="E75" s="193">
        <f>G27</f>
        <v>0.26700000000000002</v>
      </c>
      <c r="F75" s="193"/>
      <c r="G75" s="193"/>
      <c r="H75" s="193">
        <f>J27</f>
        <v>14</v>
      </c>
      <c r="I75" s="193"/>
      <c r="O75" s="164"/>
      <c r="P75" s="150">
        <v>0.123</v>
      </c>
      <c r="Q75" s="150" t="s">
        <v>363</v>
      </c>
      <c r="AA75" s="156"/>
    </row>
    <row r="76" spans="1:27" x14ac:dyDescent="0.25">
      <c r="A76" s="192"/>
      <c r="C76" s="194"/>
      <c r="D76" s="193" t="str">
        <f>B29</f>
        <v>ASA Metals (Newco)</v>
      </c>
      <c r="E76" s="193">
        <f>H29</f>
        <v>0.41000000000000003</v>
      </c>
      <c r="F76" s="193"/>
      <c r="G76" s="193"/>
      <c r="H76" s="193"/>
      <c r="I76" s="193" t="s">
        <v>373</v>
      </c>
      <c r="O76" s="164"/>
      <c r="AA76" s="156"/>
    </row>
    <row r="77" spans="1:27" x14ac:dyDescent="0.25">
      <c r="A77" s="192"/>
      <c r="C77" s="194"/>
      <c r="D77" s="193" t="str">
        <f>B30</f>
        <v>Assmang Chrome</v>
      </c>
      <c r="E77" s="193">
        <f>G30</f>
        <v>0.3</v>
      </c>
      <c r="F77" s="193"/>
      <c r="G77" s="193"/>
      <c r="H77" s="193"/>
      <c r="I77" s="193"/>
      <c r="O77" s="164"/>
      <c r="AA77" s="156"/>
    </row>
    <row r="78" spans="1:27" x14ac:dyDescent="0.25">
      <c r="A78" s="192"/>
      <c r="C78" s="194"/>
      <c r="D78" s="195" t="s">
        <v>366</v>
      </c>
      <c r="E78" s="196">
        <f>SUM(E71:E77)</f>
        <v>1.657</v>
      </c>
      <c r="F78" s="196">
        <f t="shared" ref="F78:G78" si="1">SUM(F71:F77)</f>
        <v>2.48</v>
      </c>
      <c r="G78" s="196">
        <f t="shared" si="1"/>
        <v>0.72</v>
      </c>
      <c r="H78" s="193"/>
      <c r="I78" s="193"/>
      <c r="O78" s="164"/>
      <c r="AA78" s="156"/>
    </row>
    <row r="79" spans="1:27" x14ac:dyDescent="0.25">
      <c r="A79" s="192"/>
      <c r="C79" s="194" t="s">
        <v>374</v>
      </c>
      <c r="D79" s="193"/>
      <c r="E79" s="197">
        <f>SUM(E78:G78)</f>
        <v>4.8570000000000002</v>
      </c>
      <c r="F79" s="198"/>
      <c r="G79" s="198"/>
      <c r="H79" s="193"/>
      <c r="I79" s="193"/>
      <c r="O79" s="164"/>
      <c r="AA79" s="156"/>
    </row>
    <row r="80" spans="1:27" x14ac:dyDescent="0.25">
      <c r="A80" s="192"/>
      <c r="O80" s="164"/>
      <c r="AA80" s="156"/>
    </row>
    <row r="81" spans="1:27" x14ac:dyDescent="0.25">
      <c r="A81" s="192"/>
      <c r="C81" s="150" t="s">
        <v>375</v>
      </c>
      <c r="O81" s="164"/>
      <c r="AA81" s="156"/>
    </row>
    <row r="82" spans="1:27" x14ac:dyDescent="0.25">
      <c r="D82" s="193" t="str">
        <f>D71</f>
        <v>Glencore Merafe (Xstrata)</v>
      </c>
      <c r="E82" s="193"/>
      <c r="F82" s="199">
        <v>0.8</v>
      </c>
      <c r="G82" s="199">
        <v>0.8</v>
      </c>
      <c r="O82" s="164"/>
      <c r="AA82" s="156"/>
    </row>
    <row r="83" spans="1:27" x14ac:dyDescent="0.25">
      <c r="D83" s="193" t="str">
        <f t="shared" ref="D83:D88" si="2">D72</f>
        <v>Samancor Chrome Limited</v>
      </c>
      <c r="E83" s="199">
        <v>0.8</v>
      </c>
      <c r="F83" s="199">
        <v>0.8</v>
      </c>
      <c r="G83" s="193"/>
      <c r="O83" s="164"/>
      <c r="AA83" s="156"/>
    </row>
    <row r="84" spans="1:27" x14ac:dyDescent="0.25">
      <c r="D84" s="193" t="str">
        <f t="shared" si="2"/>
        <v>Tata KZN</v>
      </c>
      <c r="E84" s="199">
        <v>0</v>
      </c>
      <c r="F84" s="193"/>
      <c r="G84" s="193"/>
      <c r="O84" s="164"/>
      <c r="AA84" s="156"/>
    </row>
    <row r="85" spans="1:27" x14ac:dyDescent="0.25">
      <c r="D85" s="193" t="str">
        <f t="shared" si="2"/>
        <v>Afarak</v>
      </c>
      <c r="E85" s="200">
        <f>I85</f>
        <v>0.7</v>
      </c>
      <c r="F85" s="193"/>
      <c r="G85" s="193"/>
      <c r="I85" s="201">
        <v>0.7</v>
      </c>
      <c r="O85" s="164"/>
      <c r="AA85" s="156"/>
    </row>
    <row r="86" spans="1:27" x14ac:dyDescent="0.25">
      <c r="D86" s="193" t="str">
        <f t="shared" si="2"/>
        <v>International Ferro Metals</v>
      </c>
      <c r="E86" s="199">
        <f>E85</f>
        <v>0.7</v>
      </c>
      <c r="F86" s="193"/>
      <c r="G86" s="193"/>
      <c r="O86" s="164"/>
      <c r="AA86" s="156"/>
    </row>
    <row r="87" spans="1:27" x14ac:dyDescent="0.25">
      <c r="D87" s="193" t="str">
        <f t="shared" si="2"/>
        <v>ASA Metals (Newco)</v>
      </c>
      <c r="E87" s="199">
        <f>E85</f>
        <v>0.7</v>
      </c>
      <c r="F87" s="193"/>
      <c r="G87" s="193"/>
      <c r="O87" s="164"/>
      <c r="AA87" s="156"/>
    </row>
    <row r="88" spans="1:27" x14ac:dyDescent="0.25">
      <c r="D88" s="193" t="str">
        <f t="shared" si="2"/>
        <v>Assmang Chrome</v>
      </c>
      <c r="E88" s="199">
        <v>0</v>
      </c>
      <c r="F88" s="193"/>
      <c r="G88" s="193"/>
      <c r="I88" s="150" t="s">
        <v>376</v>
      </c>
      <c r="O88" s="164"/>
      <c r="AA88" s="156"/>
    </row>
    <row r="89" spans="1:27" x14ac:dyDescent="0.25">
      <c r="I89" s="151" t="s">
        <v>377</v>
      </c>
      <c r="J89" s="152" t="s">
        <v>462</v>
      </c>
      <c r="K89" s="152"/>
      <c r="L89" s="152"/>
      <c r="M89" s="153"/>
      <c r="O89" s="164"/>
      <c r="AA89" s="156"/>
    </row>
    <row r="90" spans="1:27" x14ac:dyDescent="0.25">
      <c r="C90" s="187" t="s">
        <v>378</v>
      </c>
      <c r="E90" s="150">
        <f>SUMPRODUCT(E82:E88,E71:E77)</f>
        <v>0.88690000000000002</v>
      </c>
      <c r="F90" s="150">
        <f>SUMPRODUCT(F82:F88,F71:F77)</f>
        <v>1.984</v>
      </c>
      <c r="G90" s="150">
        <f>SUMPRODUCT(G82:G88,G71:G77)</f>
        <v>0.57599999999999996</v>
      </c>
      <c r="H90" s="150" t="s">
        <v>317</v>
      </c>
      <c r="I90" s="164">
        <f>SUM(E90:G90)</f>
        <v>3.4468999999999999</v>
      </c>
      <c r="J90" s="150">
        <v>3.484</v>
      </c>
      <c r="K90" s="150">
        <f>J90-I90</f>
        <v>3.7100000000000133E-2</v>
      </c>
      <c r="L90" s="150" t="s">
        <v>379</v>
      </c>
      <c r="M90" s="156"/>
      <c r="O90" s="164"/>
      <c r="AA90" s="156"/>
    </row>
    <row r="91" spans="1:27" x14ac:dyDescent="0.25">
      <c r="C91" s="187" t="s">
        <v>380</v>
      </c>
      <c r="I91" s="164"/>
      <c r="J91" s="150" t="s">
        <v>383</v>
      </c>
      <c r="M91" s="156"/>
      <c r="O91" s="164"/>
      <c r="P91" s="187" t="s">
        <v>381</v>
      </c>
      <c r="AA91" s="156"/>
    </row>
    <row r="92" spans="1:27" x14ac:dyDescent="0.25">
      <c r="B92" s="202" t="s">
        <v>382</v>
      </c>
      <c r="C92" s="203" t="s">
        <v>240</v>
      </c>
      <c r="E92" s="150">
        <f>E90*E64</f>
        <v>3636.29</v>
      </c>
      <c r="F92" s="150">
        <f>F90*F64</f>
        <v>6944</v>
      </c>
      <c r="G92" s="150">
        <f>G90*G64</f>
        <v>1382.3999999999999</v>
      </c>
      <c r="H92" s="150" t="s">
        <v>241</v>
      </c>
      <c r="I92" s="204">
        <f>SUM(E92:G92)</f>
        <v>11962.69</v>
      </c>
      <c r="J92" s="189">
        <v>14413.888888888889</v>
      </c>
      <c r="M92" s="156"/>
      <c r="O92" s="164"/>
      <c r="P92" s="150">
        <v>3.38</v>
      </c>
      <c r="Q92" s="150" t="s">
        <v>384</v>
      </c>
      <c r="AA92" s="156"/>
    </row>
    <row r="93" spans="1:27" x14ac:dyDescent="0.25">
      <c r="B93" s="187">
        <v>27</v>
      </c>
      <c r="C93" s="203" t="s">
        <v>146</v>
      </c>
      <c r="E93" s="205">
        <f t="shared" ref="E93:G96" si="3">E$90*E66</f>
        <v>0.17738000000000001</v>
      </c>
      <c r="F93" s="205">
        <f t="shared" si="3"/>
        <v>5.1583999999999998E-2</v>
      </c>
      <c r="G93" s="205">
        <f t="shared" si="3"/>
        <v>1.4975999999999998E-2</v>
      </c>
      <c r="H93" s="150" t="s">
        <v>317</v>
      </c>
      <c r="I93" s="206">
        <f>SUM(E93:G93)</f>
        <v>0.24393999999999999</v>
      </c>
      <c r="M93" s="156"/>
      <c r="O93" s="164"/>
      <c r="P93" s="150">
        <v>0.61</v>
      </c>
      <c r="Q93" s="150" t="s">
        <v>385</v>
      </c>
      <c r="AA93" s="156"/>
    </row>
    <row r="94" spans="1:27" x14ac:dyDescent="0.25">
      <c r="B94" s="187">
        <v>28</v>
      </c>
      <c r="C94" s="203" t="s">
        <v>337</v>
      </c>
      <c r="E94" s="205">
        <f t="shared" si="3"/>
        <v>0.23946300000000001</v>
      </c>
      <c r="F94" s="205">
        <f t="shared" si="3"/>
        <v>0.59321599999999997</v>
      </c>
      <c r="G94" s="205">
        <f t="shared" si="3"/>
        <v>8.6111999999999994E-2</v>
      </c>
      <c r="H94" s="150" t="s">
        <v>317</v>
      </c>
      <c r="I94" s="206">
        <f>SUM(E94:G94)</f>
        <v>0.91879099999999991</v>
      </c>
      <c r="M94" s="156"/>
      <c r="O94" s="164"/>
      <c r="Q94" s="150" t="s">
        <v>386</v>
      </c>
      <c r="AA94" s="156"/>
    </row>
    <row r="95" spans="1:27" x14ac:dyDescent="0.25">
      <c r="B95" s="187">
        <v>28</v>
      </c>
      <c r="C95" s="203" t="s">
        <v>338</v>
      </c>
      <c r="E95" s="205">
        <f t="shared" si="3"/>
        <v>0.1090887</v>
      </c>
      <c r="F95" s="205">
        <f t="shared" si="3"/>
        <v>0.48608000000000001</v>
      </c>
      <c r="G95" s="205">
        <f t="shared" si="3"/>
        <v>0.14112</v>
      </c>
      <c r="H95" s="150" t="s">
        <v>317</v>
      </c>
      <c r="I95" s="206">
        <f>SUM(E95:G95)</f>
        <v>0.73628870000000002</v>
      </c>
      <c r="M95" s="156"/>
      <c r="O95" s="164"/>
      <c r="P95" s="150">
        <v>2.5999999999999999E-2</v>
      </c>
      <c r="Q95" s="150" t="s">
        <v>372</v>
      </c>
      <c r="AA95" s="156"/>
    </row>
    <row r="96" spans="1:27" x14ac:dyDescent="0.25">
      <c r="B96" s="187">
        <v>27</v>
      </c>
      <c r="C96" s="203" t="s">
        <v>339</v>
      </c>
      <c r="E96" s="205">
        <f t="shared" si="3"/>
        <v>8.6029299999999975E-2</v>
      </c>
      <c r="F96" s="205">
        <f t="shared" si="3"/>
        <v>8.1344E-2</v>
      </c>
      <c r="G96" s="205">
        <f t="shared" si="3"/>
        <v>0.10972799999999999</v>
      </c>
      <c r="H96" s="150" t="s">
        <v>317</v>
      </c>
      <c r="I96" s="207">
        <f>SUM(E96:G96)</f>
        <v>0.27710129999999999</v>
      </c>
      <c r="J96" s="178"/>
      <c r="K96" s="178"/>
      <c r="L96" s="178"/>
      <c r="M96" s="179"/>
      <c r="O96" s="164"/>
      <c r="P96" s="150">
        <v>0.29899999999999999</v>
      </c>
      <c r="Q96" s="150" t="s">
        <v>360</v>
      </c>
      <c r="AA96" s="156"/>
    </row>
    <row r="97" spans="1:27" x14ac:dyDescent="0.25">
      <c r="O97" s="164"/>
      <c r="P97" s="150">
        <v>0.245</v>
      </c>
      <c r="Q97" s="150" t="s">
        <v>363</v>
      </c>
      <c r="AA97" s="156"/>
    </row>
    <row r="98" spans="1:27" x14ac:dyDescent="0.25">
      <c r="C98" s="208" t="s">
        <v>387</v>
      </c>
      <c r="O98" s="164"/>
      <c r="P98" s="150">
        <v>4.1000000000000002E-2</v>
      </c>
      <c r="Q98" s="150" t="s">
        <v>364</v>
      </c>
      <c r="AA98" s="156"/>
    </row>
    <row r="99" spans="1:27" x14ac:dyDescent="0.25">
      <c r="C99" s="203" t="s">
        <v>240</v>
      </c>
      <c r="E99" s="209">
        <f>I92/$I$90</f>
        <v>3470.5648553772958</v>
      </c>
      <c r="F99" s="150" t="s">
        <v>388</v>
      </c>
      <c r="O99" s="164"/>
      <c r="AA99" s="156"/>
    </row>
    <row r="100" spans="1:27" x14ac:dyDescent="0.25">
      <c r="C100" s="203" t="s">
        <v>242</v>
      </c>
      <c r="E100" s="209">
        <f>(I93*B93+I96*B96)/$I$90</f>
        <v>4.0813818503582935</v>
      </c>
      <c r="F100" s="150" t="s">
        <v>389</v>
      </c>
      <c r="O100" s="164"/>
      <c r="AA100" s="156"/>
    </row>
    <row r="101" spans="1:27" x14ac:dyDescent="0.25">
      <c r="C101" s="203" t="s">
        <v>243</v>
      </c>
      <c r="E101" s="209">
        <f>(I94*B94+I95*B95+I101*B95)/$I$90</f>
        <v>20.627230264875688</v>
      </c>
      <c r="F101" s="150" t="s">
        <v>389</v>
      </c>
      <c r="I101" s="210">
        <f>I102-SUM(I94:I95)-I103</f>
        <v>0.88420601428571455</v>
      </c>
      <c r="J101" s="211" t="s">
        <v>390</v>
      </c>
      <c r="O101" s="164"/>
      <c r="AA101" s="156"/>
    </row>
    <row r="102" spans="1:27" x14ac:dyDescent="0.25">
      <c r="A102" s="212" t="s">
        <v>391</v>
      </c>
      <c r="C102" s="203"/>
      <c r="I102" s="211">
        <v>2.7</v>
      </c>
      <c r="J102" s="211" t="s">
        <v>392</v>
      </c>
      <c r="O102" s="164"/>
      <c r="AA102" s="156"/>
    </row>
    <row r="103" spans="1:27" x14ac:dyDescent="0.25">
      <c r="C103" s="203" t="s">
        <v>393</v>
      </c>
      <c r="I103" s="150">
        <f>I104/B94</f>
        <v>0.16071428571428573</v>
      </c>
      <c r="J103" s="150" t="s">
        <v>394</v>
      </c>
      <c r="O103" s="164"/>
      <c r="AA103" s="156"/>
    </row>
    <row r="104" spans="1:27" x14ac:dyDescent="0.25">
      <c r="C104" s="203" t="s">
        <v>240</v>
      </c>
      <c r="E104" s="209">
        <f>E99*$I$90</f>
        <v>11962.69</v>
      </c>
      <c r="F104" s="150" t="s">
        <v>241</v>
      </c>
      <c r="I104" s="150">
        <v>4.5</v>
      </c>
      <c r="J104" s="150" t="s">
        <v>395</v>
      </c>
      <c r="O104" s="164"/>
      <c r="AA104" s="156"/>
    </row>
    <row r="105" spans="1:27" x14ac:dyDescent="0.25">
      <c r="C105" s="203" t="s">
        <v>242</v>
      </c>
      <c r="E105" s="209">
        <f>E100*$I$90</f>
        <v>14.068115100000002</v>
      </c>
      <c r="F105" s="150" t="s">
        <v>117</v>
      </c>
      <c r="O105" s="164"/>
      <c r="AA105" s="156"/>
    </row>
    <row r="106" spans="1:27" x14ac:dyDescent="0.25">
      <c r="C106" s="203" t="s">
        <v>243</v>
      </c>
      <c r="E106" s="209">
        <f>E101*$I$90</f>
        <v>71.100000000000009</v>
      </c>
      <c r="F106" s="150" t="s">
        <v>117</v>
      </c>
      <c r="O106" s="164"/>
      <c r="AA106" s="156"/>
    </row>
    <row r="107" spans="1:27" x14ac:dyDescent="0.25">
      <c r="O107" s="164"/>
      <c r="AA107" s="156"/>
    </row>
    <row r="108" spans="1:27" x14ac:dyDescent="0.25">
      <c r="C108" s="150" t="s">
        <v>396</v>
      </c>
      <c r="O108" s="164"/>
      <c r="AA108" s="156"/>
    </row>
    <row r="109" spans="1:27" x14ac:dyDescent="0.25">
      <c r="A109" s="192"/>
      <c r="C109" s="193" t="s">
        <v>397</v>
      </c>
      <c r="D109" s="213">
        <f>I90</f>
        <v>3.4468999999999999</v>
      </c>
      <c r="E109" s="193" t="s">
        <v>317</v>
      </c>
      <c r="O109" s="164"/>
      <c r="AA109" s="156"/>
    </row>
    <row r="110" spans="1:27" x14ac:dyDescent="0.25">
      <c r="C110" s="193" t="s">
        <v>398</v>
      </c>
      <c r="D110" s="214">
        <f>I92</f>
        <v>11962.69</v>
      </c>
      <c r="E110" s="193" t="s">
        <v>241</v>
      </c>
      <c r="O110" s="164"/>
      <c r="AA110" s="156"/>
    </row>
    <row r="111" spans="1:27" x14ac:dyDescent="0.25">
      <c r="C111" s="193" t="s">
        <v>399</v>
      </c>
      <c r="D111" s="214">
        <f>D110/D109</f>
        <v>3470.5648553772958</v>
      </c>
      <c r="E111" s="193" t="s">
        <v>388</v>
      </c>
      <c r="O111" s="164"/>
      <c r="AA111" s="156"/>
    </row>
    <row r="112" spans="1:27" x14ac:dyDescent="0.25">
      <c r="I112" s="150" t="s">
        <v>336</v>
      </c>
      <c r="O112" s="164"/>
      <c r="AA112" s="156"/>
    </row>
    <row r="113" spans="2:27" x14ac:dyDescent="0.25">
      <c r="C113" s="150" t="s">
        <v>400</v>
      </c>
      <c r="E113" s="150">
        <f>E90*(E66+E69)</f>
        <v>0.26340930000000001</v>
      </c>
      <c r="F113" s="150">
        <f>F90*(F66+F69)</f>
        <v>0.13292800000000002</v>
      </c>
      <c r="G113" s="150">
        <f>G90*(G66+G69)</f>
        <v>0.124704</v>
      </c>
      <c r="I113" s="150">
        <f>SUM(E113:G113)</f>
        <v>0.52104130000000004</v>
      </c>
      <c r="O113" s="164"/>
      <c r="AA113" s="156"/>
    </row>
    <row r="114" spans="2:27" x14ac:dyDescent="0.25">
      <c r="C114" s="150" t="s">
        <v>338</v>
      </c>
      <c r="E114" s="150">
        <f>E90*E68</f>
        <v>0.1090887</v>
      </c>
      <c r="F114" s="150">
        <f>F90*F68</f>
        <v>0.48608000000000001</v>
      </c>
      <c r="G114" s="150">
        <f>G90*G68</f>
        <v>0.14112</v>
      </c>
      <c r="I114" s="150">
        <f>SUM(E114:G114)</f>
        <v>0.73628870000000002</v>
      </c>
      <c r="O114" s="164"/>
      <c r="AA114" s="156"/>
    </row>
    <row r="115" spans="2:27" x14ac:dyDescent="0.25">
      <c r="O115" s="164"/>
      <c r="AA115" s="156"/>
    </row>
    <row r="116" spans="2:27" x14ac:dyDescent="0.25">
      <c r="O116" s="177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9"/>
    </row>
    <row r="120" spans="2:27" x14ac:dyDescent="0.25">
      <c r="C120" s="150" t="s">
        <v>401</v>
      </c>
      <c r="R120" s="150" t="s">
        <v>402</v>
      </c>
    </row>
    <row r="121" spans="2:27" x14ac:dyDescent="0.25">
      <c r="C121" s="150" t="s">
        <v>403</v>
      </c>
      <c r="R121" s="151" t="s">
        <v>404</v>
      </c>
      <c r="S121" s="152"/>
      <c r="T121" s="152"/>
      <c r="U121" s="152"/>
      <c r="V121" s="152"/>
      <c r="W121" s="152"/>
      <c r="X121" s="152"/>
    </row>
    <row r="122" spans="2:27" x14ac:dyDescent="0.25">
      <c r="C122" s="150" t="s">
        <v>405</v>
      </c>
      <c r="R122" s="164" t="s">
        <v>406</v>
      </c>
    </row>
    <row r="123" spans="2:27" x14ac:dyDescent="0.25">
      <c r="D123" s="150" t="s">
        <v>407</v>
      </c>
      <c r="R123" s="164"/>
    </row>
    <row r="124" spans="2:27" x14ac:dyDescent="0.25">
      <c r="C124" s="150" t="s">
        <v>408</v>
      </c>
      <c r="D124" s="175">
        <v>0.2</v>
      </c>
      <c r="R124" s="164" t="s">
        <v>409</v>
      </c>
    </row>
    <row r="125" spans="2:27" x14ac:dyDescent="0.25">
      <c r="C125" s="150" t="s">
        <v>410</v>
      </c>
      <c r="D125" s="175">
        <v>0.35</v>
      </c>
      <c r="R125" s="215" t="s">
        <v>411</v>
      </c>
    </row>
    <row r="126" spans="2:27" x14ac:dyDescent="0.25">
      <c r="R126" s="164" t="s">
        <v>245</v>
      </c>
    </row>
    <row r="127" spans="2:27" x14ac:dyDescent="0.25">
      <c r="R127" s="164">
        <v>140</v>
      </c>
      <c r="S127" s="150" t="s">
        <v>412</v>
      </c>
    </row>
    <row r="128" spans="2:27" ht="26.25" x14ac:dyDescent="0.4">
      <c r="B128" s="216" t="s">
        <v>413</v>
      </c>
    </row>
    <row r="129" spans="3:20" x14ac:dyDescent="0.25">
      <c r="C129" s="150" t="s">
        <v>414</v>
      </c>
      <c r="D129" s="150" t="s">
        <v>415</v>
      </c>
    </row>
    <row r="130" spans="3:20" x14ac:dyDescent="0.25">
      <c r="C130" s="150" t="s">
        <v>416</v>
      </c>
      <c r="D130" s="150" t="s">
        <v>417</v>
      </c>
    </row>
    <row r="131" spans="3:20" x14ac:dyDescent="0.25">
      <c r="C131" s="150" t="s">
        <v>418</v>
      </c>
      <c r="D131" s="150" t="s">
        <v>419</v>
      </c>
    </row>
    <row r="134" spans="3:20" x14ac:dyDescent="0.25">
      <c r="D134" s="187" t="s">
        <v>420</v>
      </c>
      <c r="G134" s="187" t="s">
        <v>421</v>
      </c>
      <c r="I134" s="187" t="s">
        <v>422</v>
      </c>
      <c r="M134" s="150" t="s">
        <v>423</v>
      </c>
    </row>
    <row r="136" spans="3:20" x14ac:dyDescent="0.25">
      <c r="C136" s="150" t="s">
        <v>424</v>
      </c>
      <c r="D136" s="205">
        <f>E79</f>
        <v>4.8570000000000002</v>
      </c>
      <c r="S136" s="150" t="s">
        <v>425</v>
      </c>
    </row>
    <row r="137" spans="3:20" x14ac:dyDescent="0.25">
      <c r="C137" s="150" t="s">
        <v>426</v>
      </c>
      <c r="D137" s="205"/>
      <c r="G137" s="150">
        <f>O25*1000*0.74</f>
        <v>10072.222222222224</v>
      </c>
      <c r="J137" s="150">
        <f>G137*(1+S137)</f>
        <v>11079.444444444447</v>
      </c>
      <c r="M137" s="150">
        <f>(P156/P145)*(1+S140)</f>
        <v>43.490026666666672</v>
      </c>
      <c r="S137" s="175">
        <v>0.1</v>
      </c>
      <c r="T137" s="150" t="s">
        <v>427</v>
      </c>
    </row>
    <row r="138" spans="3:20" x14ac:dyDescent="0.25">
      <c r="C138" s="150" t="s">
        <v>428</v>
      </c>
      <c r="D138" s="150">
        <f>J90</f>
        <v>3.484</v>
      </c>
      <c r="E138" s="217">
        <f>D138/D136</f>
        <v>0.71731521515338681</v>
      </c>
    </row>
    <row r="139" spans="3:20" x14ac:dyDescent="0.25">
      <c r="C139" s="150" t="s">
        <v>429</v>
      </c>
      <c r="G139" s="150">
        <v>20</v>
      </c>
      <c r="J139" s="150">
        <v>20</v>
      </c>
      <c r="M139" s="150">
        <f>P153</f>
        <v>10</v>
      </c>
      <c r="S139" s="150" t="s">
        <v>430</v>
      </c>
    </row>
    <row r="140" spans="3:20" x14ac:dyDescent="0.25">
      <c r="C140" s="150" t="s">
        <v>407</v>
      </c>
      <c r="M140" s="175">
        <f>P161</f>
        <v>0.33</v>
      </c>
      <c r="S140" s="175">
        <v>0.3</v>
      </c>
      <c r="T140" s="150" t="s">
        <v>431</v>
      </c>
    </row>
    <row r="141" spans="3:20" x14ac:dyDescent="0.25">
      <c r="C141" s="187" t="s">
        <v>432</v>
      </c>
      <c r="G141" s="209"/>
    </row>
    <row r="142" spans="3:20" x14ac:dyDescent="0.25">
      <c r="C142" s="150" t="s">
        <v>240</v>
      </c>
      <c r="D142" s="209">
        <f>E99*3.6*1000000/1000000000</f>
        <v>12.494033479358265</v>
      </c>
      <c r="E142" s="150" t="s">
        <v>389</v>
      </c>
      <c r="G142" s="218">
        <f>G64*3.6*1000000/1000000000</f>
        <v>8.64</v>
      </c>
      <c r="H142" s="218"/>
      <c r="I142" s="218">
        <f>G142</f>
        <v>8.64</v>
      </c>
      <c r="O142" s="150" t="s">
        <v>433</v>
      </c>
      <c r="P142" s="150" t="s">
        <v>389</v>
      </c>
    </row>
    <row r="143" spans="3:20" x14ac:dyDescent="0.25">
      <c r="C143" s="150" t="s">
        <v>146</v>
      </c>
      <c r="D143" s="205">
        <f>E100</f>
        <v>4.0813818503582935</v>
      </c>
      <c r="E143" s="150" t="s">
        <v>389</v>
      </c>
      <c r="G143" s="218">
        <f>(G66+G69)*P143</f>
        <v>5.8455000000000004</v>
      </c>
      <c r="H143" s="218"/>
      <c r="I143" s="218">
        <f>J143*$G$146</f>
        <v>2.314737</v>
      </c>
      <c r="J143" s="201">
        <v>0.15</v>
      </c>
      <c r="K143" s="172" t="s">
        <v>434</v>
      </c>
      <c r="O143" s="219">
        <v>0.86</v>
      </c>
      <c r="P143" s="153">
        <f>B93</f>
        <v>27</v>
      </c>
    </row>
    <row r="144" spans="3:20" x14ac:dyDescent="0.25">
      <c r="C144" s="150" t="s">
        <v>337</v>
      </c>
      <c r="D144" s="205">
        <f>E101</f>
        <v>20.627230264875688</v>
      </c>
      <c r="E144" s="150" t="s">
        <v>389</v>
      </c>
      <c r="G144" s="218">
        <f>G67*P144</f>
        <v>4.1859999999999999</v>
      </c>
      <c r="H144" s="218"/>
      <c r="I144" s="218">
        <f>J144*$G$146</f>
        <v>1.543158</v>
      </c>
      <c r="J144" s="201">
        <v>0.1</v>
      </c>
      <c r="K144" s="172" t="s">
        <v>434</v>
      </c>
      <c r="O144" s="220">
        <v>0.9</v>
      </c>
      <c r="P144" s="153">
        <f>B94</f>
        <v>28</v>
      </c>
    </row>
    <row r="145" spans="2:20" x14ac:dyDescent="0.25">
      <c r="B145" s="211" t="s">
        <v>435</v>
      </c>
      <c r="C145" s="150" t="s">
        <v>436</v>
      </c>
      <c r="D145" s="205"/>
      <c r="E145" s="150" t="s">
        <v>389</v>
      </c>
      <c r="G145" s="218">
        <f>P145*G68</f>
        <v>7.7175000000000002</v>
      </c>
      <c r="H145" s="218"/>
      <c r="I145" s="218">
        <f>J145*$G$146/O145</f>
        <v>13.457773255813954</v>
      </c>
      <c r="J145" s="201">
        <v>0.75</v>
      </c>
      <c r="K145" s="172" t="s">
        <v>434</v>
      </c>
      <c r="O145" s="221">
        <v>0.86</v>
      </c>
      <c r="P145" s="179">
        <f>R148/1000</f>
        <v>31.5</v>
      </c>
      <c r="R145" s="211" t="s">
        <v>437</v>
      </c>
    </row>
    <row r="146" spans="2:20" x14ac:dyDescent="0.25">
      <c r="B146" s="211" t="s">
        <v>438</v>
      </c>
      <c r="D146" s="222">
        <f>SUMPRODUCT(D143:D145,O143:O145)</f>
        <v>22.074495629696251</v>
      </c>
      <c r="E146" s="187"/>
      <c r="F146" s="187"/>
      <c r="G146" s="223">
        <f>SUMPRODUCT(G143:G145,O143:O145)</f>
        <v>15.43158</v>
      </c>
      <c r="H146" s="223"/>
      <c r="I146" s="223">
        <f>SUMPRODUCT(I143:I145,O143:O145)</f>
        <v>14.953201020000002</v>
      </c>
      <c r="J146" s="203"/>
      <c r="R146" s="150" t="s">
        <v>439</v>
      </c>
    </row>
    <row r="147" spans="2:20" x14ac:dyDescent="0.25">
      <c r="C147" s="187" t="s">
        <v>459</v>
      </c>
      <c r="R147" s="150">
        <v>7500</v>
      </c>
      <c r="S147" s="150" t="s">
        <v>440</v>
      </c>
    </row>
    <row r="148" spans="2:20" x14ac:dyDescent="0.25">
      <c r="C148" s="150" t="s">
        <v>441</v>
      </c>
      <c r="D148" s="224">
        <v>3.2245200000000001</v>
      </c>
      <c r="E148" s="224" t="s">
        <v>460</v>
      </c>
      <c r="F148" s="224"/>
      <c r="G148" s="224">
        <f>D148*((G144+G143)/G146)</f>
        <v>2.0961413141104153</v>
      </c>
      <c r="H148" s="224"/>
      <c r="I148" s="224">
        <f>D148*((I144+I143)/I146)</f>
        <v>0.83191950464396269</v>
      </c>
      <c r="R148" s="150">
        <f>R147*4.2</f>
        <v>31500</v>
      </c>
      <c r="S148" s="150" t="s">
        <v>442</v>
      </c>
      <c r="T148" s="150" t="s">
        <v>443</v>
      </c>
    </row>
    <row r="149" spans="2:20" x14ac:dyDescent="0.25">
      <c r="D149" s="150" t="s">
        <v>461</v>
      </c>
    </row>
    <row r="152" spans="2:20" x14ac:dyDescent="0.25">
      <c r="O152" s="150" t="s">
        <v>444</v>
      </c>
      <c r="T152" s="150" t="s">
        <v>445</v>
      </c>
    </row>
    <row r="153" spans="2:20" x14ac:dyDescent="0.25">
      <c r="O153" s="151" t="s">
        <v>446</v>
      </c>
      <c r="P153" s="152">
        <v>10</v>
      </c>
      <c r="Q153" s="152" t="s">
        <v>447</v>
      </c>
      <c r="R153" s="153"/>
      <c r="T153" s="150" t="s">
        <v>448</v>
      </c>
    </row>
    <row r="154" spans="2:20" x14ac:dyDescent="0.25">
      <c r="O154" s="164" t="s">
        <v>449</v>
      </c>
      <c r="P154" s="150">
        <v>79</v>
      </c>
      <c r="Q154" s="150" t="s">
        <v>450</v>
      </c>
      <c r="R154" s="156"/>
    </row>
    <row r="155" spans="2:20" x14ac:dyDescent="0.25">
      <c r="O155" s="164"/>
      <c r="P155" s="150">
        <f>P154*P160</f>
        <v>88.48</v>
      </c>
      <c r="Q155" s="150" t="s">
        <v>451</v>
      </c>
      <c r="R155" s="156"/>
    </row>
    <row r="156" spans="2:20" x14ac:dyDescent="0.25">
      <c r="O156" s="164"/>
      <c r="P156" s="150">
        <f>P155*P159</f>
        <v>1053.7968000000001</v>
      </c>
      <c r="Q156" s="150" t="s">
        <v>452</v>
      </c>
      <c r="R156" s="156"/>
    </row>
    <row r="157" spans="2:20" x14ac:dyDescent="0.25">
      <c r="O157" s="164"/>
      <c r="R157" s="156"/>
    </row>
    <row r="158" spans="2:20" x14ac:dyDescent="0.25">
      <c r="O158" s="164"/>
      <c r="R158" s="156"/>
    </row>
    <row r="159" spans="2:20" x14ac:dyDescent="0.25">
      <c r="O159" s="164"/>
      <c r="P159" s="150">
        <v>11.91</v>
      </c>
      <c r="Q159" s="150" t="s">
        <v>453</v>
      </c>
      <c r="R159" s="156"/>
    </row>
    <row r="160" spans="2:20" x14ac:dyDescent="0.25">
      <c r="O160" s="164"/>
      <c r="P160" s="150">
        <v>1.1200000000000001</v>
      </c>
      <c r="Q160" s="150" t="s">
        <v>454</v>
      </c>
      <c r="R160" s="156"/>
    </row>
    <row r="161" spans="5:18" x14ac:dyDescent="0.25">
      <c r="O161" s="164" t="s">
        <v>407</v>
      </c>
      <c r="P161" s="175">
        <v>0.33</v>
      </c>
      <c r="R161" s="156"/>
    </row>
    <row r="162" spans="5:18" x14ac:dyDescent="0.25">
      <c r="O162" s="177"/>
      <c r="P162" s="178"/>
      <c r="Q162" s="178"/>
      <c r="R162" s="179"/>
    </row>
    <row r="170" spans="5:18" x14ac:dyDescent="0.25">
      <c r="E170" s="150">
        <v>70</v>
      </c>
      <c r="F170" s="150" t="s">
        <v>455</v>
      </c>
    </row>
    <row r="171" spans="5:18" x14ac:dyDescent="0.25">
      <c r="E171" s="150">
        <f>1400*0.2</f>
        <v>280</v>
      </c>
      <c r="F171" s="150" t="s">
        <v>456</v>
      </c>
    </row>
    <row r="173" spans="5:18" x14ac:dyDescent="0.25">
      <c r="E173" s="150">
        <f>E170*1000000000/E171</f>
        <v>250000000</v>
      </c>
      <c r="F173" s="150" t="s">
        <v>457</v>
      </c>
    </row>
    <row r="174" spans="5:18" x14ac:dyDescent="0.25">
      <c r="E174" s="225">
        <f>SQRT(E173)</f>
        <v>15811.388300841896</v>
      </c>
      <c r="F174" s="150" t="s">
        <v>458</v>
      </c>
    </row>
  </sheetData>
  <mergeCells count="7">
    <mergeCell ref="C27:C28"/>
    <mergeCell ref="B3:B5"/>
    <mergeCell ref="B6:B8"/>
    <mergeCell ref="B9:B11"/>
    <mergeCell ref="B12:B14"/>
    <mergeCell ref="C21:C22"/>
    <mergeCell ref="C24:C25"/>
  </mergeCells>
  <hyperlinks>
    <hyperlink ref="O19" r:id="rId1" xr:uid="{8CFFA192-6679-4FBF-B0CE-9327F43C0D73}"/>
    <hyperlink ref="O30" r:id="rId2" xr:uid="{4E92E403-BC6C-4CC8-B0C3-0B98EF8FA85B}"/>
    <hyperlink ref="N27" r:id="rId3" xr:uid="{F6CDAB3A-729E-4516-A731-E27AF848E3AE}"/>
    <hyperlink ref="I29" r:id="rId4" xr:uid="{47D745A9-A6DA-4CAD-A438-F113815CB21C}"/>
    <hyperlink ref="O42" r:id="rId5" xr:uid="{C06A2F1B-A6EC-44D5-98D7-CFAA76692FB3}"/>
  </hyperlinks>
  <pageMargins left="0.7" right="0.7" top="0.75" bottom="0.75" header="0.3" footer="0.3"/>
  <pageSetup orientation="portrait" horizontalDpi="1200" verticalDpi="1200" r:id="rId6"/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D7DD-F711-45B5-8D7B-68F194C085C4}">
  <dimension ref="A2:Q63"/>
  <sheetViews>
    <sheetView zoomScaleNormal="100" workbookViewId="0">
      <selection activeCell="B58" sqref="B58"/>
    </sheetView>
  </sheetViews>
  <sheetFormatPr defaultRowHeight="15.75" x14ac:dyDescent="0.25"/>
  <cols>
    <col min="1" max="1" width="9.140625" style="150"/>
    <col min="2" max="2" width="23.28515625" style="150" customWidth="1"/>
    <col min="3" max="3" width="9.140625" style="150"/>
    <col min="4" max="4" width="14.140625" style="150" bestFit="1" customWidth="1"/>
    <col min="5" max="5" width="11.28515625" style="150" bestFit="1" customWidth="1"/>
    <col min="6" max="6" width="13.5703125" style="150" bestFit="1" customWidth="1"/>
    <col min="7" max="7" width="11.28515625" style="150" bestFit="1" customWidth="1"/>
    <col min="8" max="8" width="13.7109375" style="150" customWidth="1"/>
    <col min="9" max="10" width="11.28515625" style="150" bestFit="1" customWidth="1"/>
    <col min="11" max="14" width="9.140625" style="150"/>
    <col min="15" max="17" width="14.140625" style="150" bestFit="1" customWidth="1"/>
    <col min="18" max="16384" width="9.140625" style="150"/>
  </cols>
  <sheetData>
    <row r="2" spans="1:17" ht="23.25" x14ac:dyDescent="0.35">
      <c r="A2" s="226" t="s">
        <v>397</v>
      </c>
    </row>
    <row r="4" spans="1:17" x14ac:dyDescent="0.25">
      <c r="B4" s="150" t="s">
        <v>463</v>
      </c>
    </row>
    <row r="5" spans="1:17" x14ac:dyDescent="0.25">
      <c r="B5" s="227" t="s">
        <v>464</v>
      </c>
      <c r="C5" s="152"/>
      <c r="D5" s="152" t="s">
        <v>465</v>
      </c>
      <c r="E5" s="228">
        <v>2012</v>
      </c>
      <c r="F5" s="228">
        <v>2013</v>
      </c>
      <c r="G5" s="228">
        <v>2014</v>
      </c>
      <c r="H5" s="228">
        <v>2015</v>
      </c>
      <c r="I5" s="228">
        <v>2016</v>
      </c>
      <c r="J5" s="228">
        <v>2017</v>
      </c>
      <c r="K5" s="153"/>
    </row>
    <row r="6" spans="1:17" x14ac:dyDescent="0.25">
      <c r="B6" s="164" t="s">
        <v>466</v>
      </c>
      <c r="D6" s="150" t="s">
        <v>467</v>
      </c>
      <c r="E6" s="229">
        <v>3063000</v>
      </c>
      <c r="F6" s="229">
        <v>3219000</v>
      </c>
      <c r="G6" s="229">
        <v>3719000</v>
      </c>
      <c r="H6" s="229">
        <v>3685000</v>
      </c>
      <c r="I6" s="229">
        <v>3334705.7</v>
      </c>
      <c r="J6" s="229">
        <v>3370941.2</v>
      </c>
      <c r="K6" s="156"/>
    </row>
    <row r="7" spans="1:17" x14ac:dyDescent="0.25">
      <c r="B7" s="164" t="s">
        <v>468</v>
      </c>
      <c r="D7" s="150" t="s">
        <v>467</v>
      </c>
      <c r="E7" s="229">
        <v>706000</v>
      </c>
      <c r="F7" s="229">
        <v>681000</v>
      </c>
      <c r="G7" s="229">
        <v>814263</v>
      </c>
      <c r="H7" s="229">
        <v>492000</v>
      </c>
      <c r="I7" s="229">
        <v>684016.60000000009</v>
      </c>
      <c r="J7" s="229">
        <v>707122.60000000009</v>
      </c>
      <c r="K7" s="156"/>
    </row>
    <row r="8" spans="1:17" x14ac:dyDescent="0.25">
      <c r="B8" s="164" t="s">
        <v>469</v>
      </c>
      <c r="D8" s="150" t="s">
        <v>467</v>
      </c>
      <c r="E8" s="229">
        <v>177000</v>
      </c>
      <c r="F8" s="229">
        <v>163000</v>
      </c>
      <c r="G8" s="229">
        <v>194737</v>
      </c>
      <c r="H8" s="229">
        <v>123000</v>
      </c>
      <c r="I8" s="229">
        <v>163139.26354372373</v>
      </c>
      <c r="J8" s="229">
        <v>155493.5440824645</v>
      </c>
      <c r="K8" s="156"/>
    </row>
    <row r="9" spans="1:17" x14ac:dyDescent="0.25">
      <c r="B9" s="164" t="s">
        <v>470</v>
      </c>
      <c r="D9" s="150" t="s">
        <v>467</v>
      </c>
      <c r="E9" s="229">
        <v>83100</v>
      </c>
      <c r="F9" s="229">
        <v>78400</v>
      </c>
      <c r="G9" s="229">
        <v>87700</v>
      </c>
      <c r="H9" s="229">
        <v>138000</v>
      </c>
      <c r="I9" s="229">
        <v>105948</v>
      </c>
      <c r="J9" s="229">
        <v>104183</v>
      </c>
      <c r="K9" s="156"/>
    </row>
    <row r="10" spans="1:17" x14ac:dyDescent="0.25">
      <c r="B10" s="164" t="s">
        <v>471</v>
      </c>
      <c r="D10" s="150" t="s">
        <v>467</v>
      </c>
      <c r="E10" s="229">
        <v>53000</v>
      </c>
      <c r="F10" s="229">
        <v>34000</v>
      </c>
      <c r="G10" s="229">
        <v>47200</v>
      </c>
      <c r="H10" s="229">
        <v>42600</v>
      </c>
      <c r="I10" s="229">
        <v>38251.659999999996</v>
      </c>
      <c r="J10" s="229">
        <v>35013.760000000002</v>
      </c>
      <c r="K10" s="156"/>
    </row>
    <row r="11" spans="1:17" x14ac:dyDescent="0.25">
      <c r="B11" s="177"/>
      <c r="C11" s="178"/>
      <c r="D11" s="178"/>
      <c r="E11" s="178"/>
      <c r="F11" s="178"/>
      <c r="G11" s="178"/>
      <c r="H11" s="178"/>
      <c r="I11" s="178"/>
      <c r="J11" s="178"/>
      <c r="K11" s="179"/>
    </row>
    <row r="14" spans="1:17" x14ac:dyDescent="0.25">
      <c r="B14" s="150" t="s">
        <v>472</v>
      </c>
    </row>
    <row r="15" spans="1:17" x14ac:dyDescent="0.25">
      <c r="B15" s="151"/>
      <c r="C15" s="152"/>
      <c r="D15" s="152"/>
      <c r="E15" s="152"/>
      <c r="F15" s="152"/>
      <c r="G15" s="152"/>
      <c r="H15" s="152"/>
      <c r="I15" s="152"/>
      <c r="J15" s="152"/>
      <c r="K15" s="153"/>
      <c r="O15" s="228">
        <v>2015</v>
      </c>
      <c r="P15" s="228">
        <v>2016</v>
      </c>
      <c r="Q15" s="228">
        <v>2017</v>
      </c>
    </row>
    <row r="16" spans="1:17" x14ac:dyDescent="0.25">
      <c r="B16" s="164" t="s">
        <v>473</v>
      </c>
      <c r="E16" s="188">
        <f t="shared" ref="E16:J16" si="0">E6</f>
        <v>3063000</v>
      </c>
      <c r="F16" s="188">
        <f t="shared" si="0"/>
        <v>3219000</v>
      </c>
      <c r="G16" s="188">
        <f t="shared" si="0"/>
        <v>3719000</v>
      </c>
      <c r="H16" s="188">
        <f t="shared" si="0"/>
        <v>3685000</v>
      </c>
      <c r="I16" s="188">
        <f t="shared" si="0"/>
        <v>3334705.7</v>
      </c>
      <c r="J16" s="188">
        <f t="shared" si="0"/>
        <v>3370941.2</v>
      </c>
      <c r="K16" s="156"/>
      <c r="N16" s="164" t="s">
        <v>473</v>
      </c>
      <c r="O16" s="229">
        <v>3685000</v>
      </c>
      <c r="P16" s="229">
        <v>3334705.7</v>
      </c>
      <c r="Q16" s="229">
        <v>3370941.2</v>
      </c>
    </row>
    <row r="17" spans="1:17" x14ac:dyDescent="0.25">
      <c r="B17" s="164" t="s">
        <v>474</v>
      </c>
      <c r="E17" s="188">
        <f t="shared" ref="E17:J17" si="1">E7+E8</f>
        <v>883000</v>
      </c>
      <c r="F17" s="188">
        <f t="shared" si="1"/>
        <v>844000</v>
      </c>
      <c r="G17" s="188">
        <f t="shared" si="1"/>
        <v>1009000</v>
      </c>
      <c r="H17" s="188">
        <f t="shared" si="1"/>
        <v>615000</v>
      </c>
      <c r="I17" s="188">
        <f t="shared" si="1"/>
        <v>847155.86354372383</v>
      </c>
      <c r="J17" s="188">
        <f t="shared" si="1"/>
        <v>862616.14408246463</v>
      </c>
      <c r="K17" s="156"/>
      <c r="N17" s="164" t="s">
        <v>474</v>
      </c>
      <c r="O17" s="229">
        <v>615000</v>
      </c>
      <c r="P17" s="229">
        <v>847155.86354372383</v>
      </c>
      <c r="Q17" s="229">
        <v>862616.14408246463</v>
      </c>
    </row>
    <row r="18" spans="1:17" x14ac:dyDescent="0.25">
      <c r="B18" s="164" t="s">
        <v>475</v>
      </c>
      <c r="E18" s="188">
        <f t="shared" ref="E18:J18" si="2">E9+E10</f>
        <v>136100</v>
      </c>
      <c r="F18" s="188">
        <f t="shared" si="2"/>
        <v>112400</v>
      </c>
      <c r="G18" s="188">
        <f t="shared" si="2"/>
        <v>134900</v>
      </c>
      <c r="H18" s="188">
        <f t="shared" si="2"/>
        <v>180600</v>
      </c>
      <c r="I18" s="188">
        <f t="shared" si="2"/>
        <v>144199.66</v>
      </c>
      <c r="J18" s="188">
        <f t="shared" si="2"/>
        <v>139196.76</v>
      </c>
      <c r="K18" s="156"/>
      <c r="N18" s="164" t="s">
        <v>475</v>
      </c>
      <c r="O18" s="229">
        <v>180600</v>
      </c>
      <c r="P18" s="229">
        <v>144199.66</v>
      </c>
      <c r="Q18" s="229">
        <v>139196.76</v>
      </c>
    </row>
    <row r="19" spans="1:17" x14ac:dyDescent="0.25">
      <c r="B19" s="164"/>
      <c r="E19" s="188">
        <f t="shared" ref="E19:J19" si="3">SUM(E16:E18)</f>
        <v>4082100</v>
      </c>
      <c r="F19" s="188">
        <f t="shared" si="3"/>
        <v>4175400</v>
      </c>
      <c r="G19" s="188">
        <f t="shared" si="3"/>
        <v>4862900</v>
      </c>
      <c r="H19" s="188">
        <f t="shared" si="3"/>
        <v>4480600</v>
      </c>
      <c r="I19" s="188">
        <f t="shared" si="3"/>
        <v>4326061.223543724</v>
      </c>
      <c r="J19" s="188">
        <f t="shared" si="3"/>
        <v>4372754.1040824642</v>
      </c>
      <c r="K19" s="156"/>
      <c r="N19" s="164" t="s">
        <v>476</v>
      </c>
      <c r="O19" s="229">
        <v>4480600</v>
      </c>
      <c r="P19" s="229">
        <v>4326061.223543724</v>
      </c>
      <c r="Q19" s="229">
        <v>4372754.1040824642</v>
      </c>
    </row>
    <row r="20" spans="1:17" x14ac:dyDescent="0.25">
      <c r="B20" s="177"/>
      <c r="C20" s="178"/>
      <c r="D20" s="178"/>
      <c r="E20" s="178"/>
      <c r="F20" s="178"/>
      <c r="G20" s="178"/>
      <c r="H20" s="178"/>
      <c r="I20" s="178"/>
      <c r="J20" s="178"/>
      <c r="K20" s="179"/>
    </row>
    <row r="24" spans="1:17" ht="23.25" x14ac:dyDescent="0.35">
      <c r="A24" s="226" t="s">
        <v>245</v>
      </c>
    </row>
    <row r="26" spans="1:17" ht="50.25" customHeight="1" x14ac:dyDescent="0.25">
      <c r="B26" s="151"/>
      <c r="C26" s="152"/>
      <c r="D26" s="230" t="s">
        <v>477</v>
      </c>
      <c r="E26" s="153"/>
    </row>
    <row r="27" spans="1:17" x14ac:dyDescent="0.25">
      <c r="B27" s="164" t="s">
        <v>466</v>
      </c>
      <c r="D27" s="229">
        <v>3719000</v>
      </c>
      <c r="E27" s="156"/>
    </row>
    <row r="28" spans="1:17" x14ac:dyDescent="0.25">
      <c r="B28" s="164" t="s">
        <v>468</v>
      </c>
      <c r="D28" s="229">
        <v>814263</v>
      </c>
      <c r="E28" s="156"/>
    </row>
    <row r="29" spans="1:17" x14ac:dyDescent="0.25">
      <c r="B29" s="164" t="s">
        <v>469</v>
      </c>
      <c r="D29" s="229">
        <v>350000</v>
      </c>
      <c r="E29" s="156"/>
    </row>
    <row r="30" spans="1:17" x14ac:dyDescent="0.25">
      <c r="B30" s="164" t="s">
        <v>470</v>
      </c>
      <c r="D30" s="229">
        <v>148900</v>
      </c>
      <c r="E30" s="156"/>
    </row>
    <row r="31" spans="1:17" x14ac:dyDescent="0.25">
      <c r="B31" s="164" t="s">
        <v>471</v>
      </c>
      <c r="D31" s="229">
        <v>58800</v>
      </c>
      <c r="E31" s="156"/>
    </row>
    <row r="32" spans="1:17" x14ac:dyDescent="0.25">
      <c r="B32" s="177"/>
      <c r="C32" s="178"/>
      <c r="D32" s="178"/>
      <c r="E32" s="179"/>
    </row>
    <row r="35" spans="2:12" x14ac:dyDescent="0.25">
      <c r="B35" s="150" t="s">
        <v>478</v>
      </c>
    </row>
    <row r="36" spans="2:12" x14ac:dyDescent="0.25">
      <c r="B36" s="151"/>
      <c r="C36" s="152"/>
      <c r="D36" s="152"/>
      <c r="E36" s="152"/>
      <c r="F36" s="152"/>
      <c r="G36" s="152"/>
      <c r="H36" s="152"/>
      <c r="I36" s="152"/>
      <c r="J36" s="152"/>
      <c r="K36" s="153"/>
    </row>
    <row r="37" spans="2:12" x14ac:dyDescent="0.25">
      <c r="B37" s="164" t="s">
        <v>473</v>
      </c>
      <c r="D37" s="188">
        <f>D27</f>
        <v>3719000</v>
      </c>
      <c r="F37" s="150">
        <f>D37/$D$40</f>
        <v>0.73051012156246276</v>
      </c>
      <c r="K37" s="156"/>
    </row>
    <row r="38" spans="2:12" x14ac:dyDescent="0.25">
      <c r="B38" s="164" t="s">
        <v>474</v>
      </c>
      <c r="D38" s="188">
        <f>D29+D28</f>
        <v>1164263</v>
      </c>
      <c r="F38" s="150">
        <f>D38/$D$40</f>
        <v>0.2286920961711959</v>
      </c>
      <c r="K38" s="156"/>
    </row>
    <row r="39" spans="2:12" x14ac:dyDescent="0.25">
      <c r="B39" s="164" t="s">
        <v>475</v>
      </c>
      <c r="D39" s="188">
        <f>D31+D30</f>
        <v>207700</v>
      </c>
      <c r="F39" s="150">
        <f>D39/$D$40</f>
        <v>4.0797782266341356E-2</v>
      </c>
      <c r="K39" s="156"/>
    </row>
    <row r="40" spans="2:12" x14ac:dyDescent="0.25">
      <c r="B40" s="164" t="s">
        <v>479</v>
      </c>
      <c r="D40" s="188">
        <f>SUM(D37:D39)</f>
        <v>5090963</v>
      </c>
      <c r="K40" s="156"/>
    </row>
    <row r="41" spans="2:12" x14ac:dyDescent="0.25">
      <c r="B41" s="177"/>
      <c r="C41" s="178"/>
      <c r="D41" s="178"/>
      <c r="E41" s="178"/>
      <c r="F41" s="178"/>
      <c r="G41" s="178"/>
      <c r="H41" s="178"/>
      <c r="I41" s="178"/>
      <c r="J41" s="178"/>
      <c r="K41" s="179"/>
    </row>
    <row r="45" spans="2:12" x14ac:dyDescent="0.25">
      <c r="B45" s="150" t="s">
        <v>480</v>
      </c>
    </row>
    <row r="46" spans="2:12" x14ac:dyDescent="0.25">
      <c r="B46" s="151"/>
      <c r="C46" s="152"/>
      <c r="D46" s="152"/>
      <c r="E46" s="152"/>
      <c r="F46" s="152"/>
      <c r="G46" s="152"/>
      <c r="H46" s="152"/>
      <c r="I46" s="152"/>
      <c r="J46" s="152"/>
      <c r="K46" s="152"/>
      <c r="L46" s="153"/>
    </row>
    <row r="47" spans="2:12" ht="28.5" x14ac:dyDescent="0.25">
      <c r="B47" s="231" t="s">
        <v>481</v>
      </c>
      <c r="C47" s="232" t="s">
        <v>482</v>
      </c>
      <c r="D47" s="233"/>
      <c r="E47" s="234" t="s">
        <v>483</v>
      </c>
      <c r="F47" s="235"/>
      <c r="G47" s="236" t="s">
        <v>484</v>
      </c>
      <c r="H47" s="236"/>
      <c r="I47" s="236"/>
      <c r="L47" s="156"/>
    </row>
    <row r="48" spans="2:12" ht="28.5" x14ac:dyDescent="0.25">
      <c r="B48" s="237"/>
      <c r="C48" s="238"/>
      <c r="D48" s="239" t="s">
        <v>485</v>
      </c>
      <c r="E48" s="240" t="s">
        <v>21</v>
      </c>
      <c r="F48" s="241" t="s">
        <v>486</v>
      </c>
      <c r="G48" s="242" t="s">
        <v>487</v>
      </c>
      <c r="H48" s="242"/>
      <c r="I48" s="243" t="s">
        <v>486</v>
      </c>
      <c r="L48" s="156"/>
    </row>
    <row r="49" spans="2:12" x14ac:dyDescent="0.25">
      <c r="B49" s="244"/>
      <c r="C49" s="245" t="s">
        <v>488</v>
      </c>
      <c r="D49" s="246" t="s">
        <v>488</v>
      </c>
      <c r="E49" s="245" t="s">
        <v>489</v>
      </c>
      <c r="F49" s="247" t="s">
        <v>490</v>
      </c>
      <c r="G49" s="245" t="s">
        <v>488</v>
      </c>
      <c r="H49" s="248" t="s">
        <v>489</v>
      </c>
      <c r="I49" s="245" t="s">
        <v>490</v>
      </c>
      <c r="L49" s="156"/>
    </row>
    <row r="50" spans="2:12" x14ac:dyDescent="0.25">
      <c r="B50" s="249">
        <v>2006</v>
      </c>
      <c r="C50" s="250">
        <v>3030</v>
      </c>
      <c r="D50" s="251">
        <v>353</v>
      </c>
      <c r="E50" s="250">
        <v>1352224</v>
      </c>
      <c r="F50" s="252">
        <v>3832</v>
      </c>
      <c r="G50" s="253">
        <v>2581</v>
      </c>
      <c r="H50" s="254">
        <v>10370421</v>
      </c>
      <c r="I50" s="255">
        <v>4017</v>
      </c>
      <c r="L50" s="156"/>
    </row>
    <row r="51" spans="2:12" x14ac:dyDescent="0.25">
      <c r="B51" s="256">
        <v>2007</v>
      </c>
      <c r="C51" s="257">
        <v>3552</v>
      </c>
      <c r="D51" s="258">
        <v>395</v>
      </c>
      <c r="E51" s="257">
        <v>1995161</v>
      </c>
      <c r="F51" s="259">
        <v>5047</v>
      </c>
      <c r="G51" s="260">
        <v>2969</v>
      </c>
      <c r="H51" s="261">
        <v>15520338</v>
      </c>
      <c r="I51" s="262">
        <v>5227</v>
      </c>
      <c r="L51" s="156"/>
    </row>
    <row r="52" spans="2:12" x14ac:dyDescent="0.25">
      <c r="B52" s="256">
        <v>2008</v>
      </c>
      <c r="C52" s="257">
        <v>3269</v>
      </c>
      <c r="D52" s="258">
        <v>334</v>
      </c>
      <c r="E52" s="257">
        <v>3415822</v>
      </c>
      <c r="F52" s="259">
        <v>10227</v>
      </c>
      <c r="G52" s="260">
        <v>2525</v>
      </c>
      <c r="H52" s="261">
        <v>28355767</v>
      </c>
      <c r="I52" s="260">
        <v>11230</v>
      </c>
      <c r="L52" s="156"/>
    </row>
    <row r="53" spans="2:12" x14ac:dyDescent="0.25">
      <c r="B53" s="256">
        <v>2009</v>
      </c>
      <c r="C53" s="257">
        <v>2346</v>
      </c>
      <c r="D53" s="258">
        <v>432</v>
      </c>
      <c r="E53" s="257">
        <v>2252973</v>
      </c>
      <c r="F53" s="259">
        <v>5215</v>
      </c>
      <c r="G53" s="260">
        <v>2621</v>
      </c>
      <c r="H53" s="261">
        <v>15881599</v>
      </c>
      <c r="I53" s="262">
        <v>6059</v>
      </c>
      <c r="L53" s="156"/>
    </row>
    <row r="54" spans="2:12" x14ac:dyDescent="0.25">
      <c r="B54" s="256">
        <v>2010</v>
      </c>
      <c r="C54" s="257">
        <v>3607</v>
      </c>
      <c r="D54" s="258">
        <v>397</v>
      </c>
      <c r="E54" s="257">
        <v>2851837</v>
      </c>
      <c r="F54" s="259">
        <v>7183</v>
      </c>
      <c r="G54" s="260">
        <v>3116</v>
      </c>
      <c r="H54" s="261">
        <v>24216069</v>
      </c>
      <c r="I54" s="262">
        <v>7772</v>
      </c>
      <c r="L54" s="156"/>
    </row>
    <row r="55" spans="2:12" x14ac:dyDescent="0.25">
      <c r="B55" s="256">
        <v>2011</v>
      </c>
      <c r="C55" s="257">
        <v>3426</v>
      </c>
      <c r="D55" s="258">
        <v>451</v>
      </c>
      <c r="E55" s="257">
        <v>3430563</v>
      </c>
      <c r="F55" s="259">
        <v>7620</v>
      </c>
      <c r="G55" s="260">
        <v>3048</v>
      </c>
      <c r="H55" s="261">
        <v>23793442</v>
      </c>
      <c r="I55" s="262">
        <v>7817</v>
      </c>
      <c r="L55" s="156"/>
    </row>
    <row r="56" spans="2:12" x14ac:dyDescent="0.25">
      <c r="B56" s="256">
        <v>2012</v>
      </c>
      <c r="C56" s="257">
        <v>3063</v>
      </c>
      <c r="D56" s="258">
        <v>443</v>
      </c>
      <c r="E56" s="257">
        <v>3402210</v>
      </c>
      <c r="F56" s="259">
        <v>7677</v>
      </c>
      <c r="G56" s="260">
        <v>2745</v>
      </c>
      <c r="H56" s="261">
        <v>22290876</v>
      </c>
      <c r="I56" s="262">
        <v>8120</v>
      </c>
      <c r="L56" s="156"/>
    </row>
    <row r="57" spans="2:12" x14ac:dyDescent="0.25">
      <c r="B57" s="256">
        <v>2013</v>
      </c>
      <c r="C57" s="257">
        <v>3219</v>
      </c>
      <c r="D57" s="258">
        <v>360</v>
      </c>
      <c r="E57" s="257">
        <v>2983322</v>
      </c>
      <c r="F57" s="259">
        <v>8286</v>
      </c>
      <c r="G57" s="260">
        <v>2802</v>
      </c>
      <c r="H57" s="261">
        <v>25552642</v>
      </c>
      <c r="I57" s="262">
        <v>9120</v>
      </c>
      <c r="L57" s="156"/>
    </row>
    <row r="58" spans="2:12" x14ac:dyDescent="0.25">
      <c r="B58" s="256">
        <v>2014</v>
      </c>
      <c r="C58" s="257">
        <v>3719</v>
      </c>
      <c r="D58" s="258">
        <v>571</v>
      </c>
      <c r="E58" s="257">
        <v>5105685</v>
      </c>
      <c r="F58" s="259">
        <v>8937</v>
      </c>
      <c r="G58" s="260">
        <v>3192</v>
      </c>
      <c r="H58" s="261">
        <v>31079849</v>
      </c>
      <c r="I58" s="262">
        <v>9737</v>
      </c>
      <c r="L58" s="156"/>
    </row>
    <row r="59" spans="2:12" x14ac:dyDescent="0.25">
      <c r="B59" s="256">
        <v>2015</v>
      </c>
      <c r="C59" s="257">
        <v>3685</v>
      </c>
      <c r="D59" s="258">
        <v>613</v>
      </c>
      <c r="E59" s="257">
        <v>5678536</v>
      </c>
      <c r="F59" s="259">
        <v>9265</v>
      </c>
      <c r="G59" s="260">
        <v>3101</v>
      </c>
      <c r="H59" s="261">
        <v>30284468</v>
      </c>
      <c r="I59" s="262">
        <v>9767</v>
      </c>
      <c r="L59" s="156"/>
    </row>
    <row r="60" spans="2:12" x14ac:dyDescent="0.25">
      <c r="B60" s="256">
        <v>2016</v>
      </c>
      <c r="C60" s="257">
        <v>3524</v>
      </c>
      <c r="D60" s="258">
        <v>533</v>
      </c>
      <c r="E60" s="257">
        <v>5192025</v>
      </c>
      <c r="F60" s="259">
        <v>9733</v>
      </c>
      <c r="G60" s="260">
        <v>3284</v>
      </c>
      <c r="H60" s="261">
        <v>33379185</v>
      </c>
      <c r="I60" s="260">
        <v>10163</v>
      </c>
      <c r="L60" s="156"/>
    </row>
    <row r="61" spans="2:12" x14ac:dyDescent="0.25">
      <c r="B61" s="263">
        <v>2017</v>
      </c>
      <c r="C61" s="264">
        <v>3484</v>
      </c>
      <c r="D61" s="265">
        <v>524</v>
      </c>
      <c r="E61" s="266">
        <v>6228617</v>
      </c>
      <c r="F61" s="267">
        <v>11770</v>
      </c>
      <c r="G61" s="268">
        <v>2951</v>
      </c>
      <c r="H61" s="269">
        <v>37461378</v>
      </c>
      <c r="I61" s="268">
        <v>12649</v>
      </c>
      <c r="L61" s="156"/>
    </row>
    <row r="62" spans="2:12" x14ac:dyDescent="0.25">
      <c r="B62" s="164"/>
      <c r="L62" s="156"/>
    </row>
    <row r="63" spans="2:12" x14ac:dyDescent="0.25">
      <c r="B63" s="177"/>
      <c r="C63" s="178"/>
      <c r="D63" s="178"/>
      <c r="E63" s="178"/>
      <c r="F63" s="178"/>
      <c r="G63" s="178"/>
      <c r="H63" s="178"/>
      <c r="I63" s="178"/>
      <c r="J63" s="178"/>
      <c r="K63" s="178"/>
      <c r="L63" s="179"/>
    </row>
  </sheetData>
  <mergeCells count="3">
    <mergeCell ref="E47:F47"/>
    <mergeCell ref="G47:I47"/>
    <mergeCell ref="G48:H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17" customWidth="1"/>
    <col min="3" max="3" width="20.5703125" style="17" customWidth="1"/>
    <col min="4" max="4" width="8.7109375" style="17" customWidth="1"/>
    <col min="5" max="5" width="12.28515625" style="17" customWidth="1"/>
    <col min="6" max="7" width="12.140625" style="17" customWidth="1"/>
    <col min="8" max="8" width="10.7109375" style="17" customWidth="1"/>
    <col min="9" max="9" width="10.140625" customWidth="1"/>
    <col min="10" max="10" width="11.28515625" style="17" customWidth="1"/>
    <col min="11" max="11" width="11.140625" style="17" customWidth="1"/>
    <col min="12" max="12" width="12.85546875" style="17" customWidth="1"/>
    <col min="13" max="13" width="14" style="17" customWidth="1"/>
    <col min="14" max="14" width="13.42578125" style="17" customWidth="1"/>
    <col min="15" max="16" width="12.140625" style="17" customWidth="1"/>
    <col min="17" max="17" width="14.140625" style="17" customWidth="1"/>
    <col min="18" max="18" width="14.42578125" style="17" customWidth="1"/>
    <col min="19" max="19" width="17.42578125" style="17" customWidth="1"/>
    <col min="20" max="20" width="19.42578125" style="17" customWidth="1"/>
    <col min="21" max="21" width="19" style="17" customWidth="1"/>
    <col min="22" max="22" width="13.85546875" style="17" customWidth="1"/>
    <col min="23" max="23" width="13.7109375" style="17" customWidth="1"/>
    <col min="24" max="24" width="12.28515625" style="17" customWidth="1"/>
    <col min="25" max="25" width="10.28515625" style="17" customWidth="1"/>
    <col min="26" max="16384" width="9.140625" style="17"/>
  </cols>
  <sheetData>
    <row r="1" spans="1:24" s="18" customFormat="1" ht="11.25" x14ac:dyDescent="0.2">
      <c r="A1" s="20" t="s">
        <v>106</v>
      </c>
    </row>
    <row r="2" spans="1:24" s="18" customFormat="1" ht="11.25" customHeight="1" x14ac:dyDescent="0.2"/>
    <row r="3" spans="1:24" s="18" customFormat="1" ht="21.75" customHeight="1" x14ac:dyDescent="0.2">
      <c r="H3" s="30" t="s">
        <v>67</v>
      </c>
      <c r="I3" s="30" t="s">
        <v>68</v>
      </c>
      <c r="J3" s="30" t="s">
        <v>65</v>
      </c>
      <c r="K3" s="30" t="s">
        <v>66</v>
      </c>
      <c r="L3" s="30" t="s">
        <v>69</v>
      </c>
      <c r="M3" s="30" t="s">
        <v>70</v>
      </c>
      <c r="N3" s="31" t="s">
        <v>71</v>
      </c>
      <c r="O3" s="31" t="s">
        <v>73</v>
      </c>
      <c r="P3" s="31" t="s">
        <v>83</v>
      </c>
      <c r="Q3" s="31" t="s">
        <v>84</v>
      </c>
      <c r="R3" s="31" t="s">
        <v>85</v>
      </c>
      <c r="S3" s="31" t="s">
        <v>86</v>
      </c>
      <c r="T3" s="31" t="s">
        <v>87</v>
      </c>
      <c r="U3" s="31" t="s">
        <v>91</v>
      </c>
      <c r="V3" s="30" t="s">
        <v>88</v>
      </c>
      <c r="W3" s="30" t="s">
        <v>89</v>
      </c>
      <c r="X3" s="31" t="s">
        <v>90</v>
      </c>
    </row>
    <row r="4" spans="1:24" s="18" customFormat="1" ht="17.25" customHeight="1" x14ac:dyDescent="0.2">
      <c r="E4" s="29"/>
      <c r="F4" s="29"/>
      <c r="G4" s="29"/>
      <c r="H4" s="22" t="s">
        <v>48</v>
      </c>
      <c r="I4" s="25" t="s">
        <v>64</v>
      </c>
      <c r="J4" s="22" t="s">
        <v>60</v>
      </c>
      <c r="K4" s="22" t="s">
        <v>61</v>
      </c>
      <c r="L4" s="22" t="s">
        <v>49</v>
      </c>
      <c r="M4" s="25" t="s">
        <v>58</v>
      </c>
      <c r="N4" s="22" t="s">
        <v>53</v>
      </c>
      <c r="O4" s="25" t="s">
        <v>62</v>
      </c>
      <c r="P4" s="25" t="s">
        <v>55</v>
      </c>
      <c r="Q4" s="25" t="s">
        <v>72</v>
      </c>
      <c r="R4" s="25" t="s">
        <v>74</v>
      </c>
      <c r="S4" s="25" t="s">
        <v>75</v>
      </c>
      <c r="T4" s="25" t="s">
        <v>76</v>
      </c>
      <c r="U4" s="25" t="s">
        <v>78</v>
      </c>
      <c r="V4" s="22" t="s">
        <v>50</v>
      </c>
      <c r="W4" s="22" t="s">
        <v>52</v>
      </c>
      <c r="X4" s="22" t="s">
        <v>54</v>
      </c>
    </row>
    <row r="5" spans="1:24" s="18" customFormat="1" ht="17.25" customHeight="1" x14ac:dyDescent="0.2">
      <c r="H5" s="28"/>
      <c r="I5" s="28"/>
      <c r="J5" s="23" t="s">
        <v>59</v>
      </c>
      <c r="K5" s="23" t="s">
        <v>59</v>
      </c>
      <c r="L5" s="28"/>
      <c r="M5" s="23" t="s">
        <v>59</v>
      </c>
      <c r="N5" s="23" t="s">
        <v>59</v>
      </c>
      <c r="O5" s="26" t="s">
        <v>63</v>
      </c>
      <c r="P5" s="26" t="s">
        <v>63</v>
      </c>
      <c r="Q5" s="26" t="s">
        <v>63</v>
      </c>
      <c r="R5" s="26" t="s">
        <v>63</v>
      </c>
      <c r="S5" s="26" t="s">
        <v>63</v>
      </c>
      <c r="T5" s="26" t="s">
        <v>63</v>
      </c>
      <c r="U5" s="26" t="s">
        <v>63</v>
      </c>
    </row>
    <row r="6" spans="1:24" s="18" customFormat="1" ht="17.25" customHeight="1" x14ac:dyDescent="0.2">
      <c r="H6" s="28"/>
      <c r="I6" s="28"/>
      <c r="J6" s="28"/>
      <c r="K6" s="28"/>
      <c r="L6" s="28"/>
      <c r="M6" s="28"/>
      <c r="N6" s="28"/>
      <c r="O6" s="28"/>
      <c r="P6" s="26" t="s">
        <v>79</v>
      </c>
      <c r="Q6" s="28"/>
      <c r="R6" s="28"/>
      <c r="S6" s="28"/>
      <c r="T6" s="26" t="s">
        <v>77</v>
      </c>
      <c r="U6" s="34" t="s">
        <v>82</v>
      </c>
    </row>
    <row r="7" spans="1:24" s="18" customFormat="1" ht="17.25" customHeight="1" x14ac:dyDescent="0.2">
      <c r="B7" s="20" t="s">
        <v>46</v>
      </c>
      <c r="C7" s="20" t="s">
        <v>47</v>
      </c>
      <c r="D7" s="20" t="s">
        <v>43</v>
      </c>
      <c r="E7" s="20" t="s">
        <v>56</v>
      </c>
      <c r="F7" s="20" t="s">
        <v>40</v>
      </c>
      <c r="G7" s="20" t="s">
        <v>45</v>
      </c>
      <c r="H7" s="27" t="s">
        <v>44</v>
      </c>
      <c r="J7" s="27" t="s">
        <v>44</v>
      </c>
      <c r="K7" s="30"/>
      <c r="L7" s="27" t="s">
        <v>44</v>
      </c>
      <c r="M7" s="20"/>
      <c r="N7" s="30"/>
      <c r="O7" s="20"/>
      <c r="P7" s="25" t="s">
        <v>44</v>
      </c>
      <c r="Q7" s="25"/>
      <c r="R7" s="25"/>
      <c r="S7" s="25"/>
      <c r="T7" s="25"/>
      <c r="U7" s="25" t="s">
        <v>44</v>
      </c>
      <c r="V7" s="33" t="s">
        <v>51</v>
      </c>
      <c r="W7" s="33" t="s">
        <v>51</v>
      </c>
      <c r="X7" s="33" t="s">
        <v>51</v>
      </c>
    </row>
    <row r="9" spans="1:24" x14ac:dyDescent="0.2">
      <c r="A9" s="16"/>
      <c r="B9" s="16"/>
      <c r="C9" s="16"/>
      <c r="D9" s="16"/>
      <c r="E9" s="16"/>
      <c r="F9" s="16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3" width="9.140625" style="12"/>
    <col min="4" max="4" width="27.42578125" style="12" customWidth="1"/>
    <col min="5" max="5" width="10.140625" style="12" customWidth="1"/>
    <col min="6" max="6" width="28.7109375" style="12" customWidth="1"/>
    <col min="7" max="16384" width="9.140625" style="12"/>
  </cols>
  <sheetData>
    <row r="1" spans="1:7" x14ac:dyDescent="0.2">
      <c r="A1" s="11" t="s">
        <v>107</v>
      </c>
    </row>
    <row r="3" spans="1:7" ht="18.75" customHeight="1" x14ac:dyDescent="0.2"/>
    <row r="7" spans="1:7" x14ac:dyDescent="0.2">
      <c r="B7" s="11" t="s">
        <v>13</v>
      </c>
      <c r="C7" s="13" t="s">
        <v>14</v>
      </c>
      <c r="D7" s="11" t="s">
        <v>15</v>
      </c>
      <c r="E7" s="11" t="s">
        <v>20</v>
      </c>
      <c r="F7" s="11" t="s">
        <v>1</v>
      </c>
      <c r="G7" s="11" t="s">
        <v>0</v>
      </c>
    </row>
    <row r="9" spans="1:7" x14ac:dyDescent="0.2">
      <c r="A9" s="11" t="s">
        <v>25</v>
      </c>
    </row>
    <row r="10" spans="1:7" x14ac:dyDescent="0.2">
      <c r="B10" s="14" t="s">
        <v>26</v>
      </c>
      <c r="C10" s="12" t="s">
        <v>27</v>
      </c>
      <c r="D10" s="12" t="s">
        <v>28</v>
      </c>
      <c r="F10" s="14" t="s">
        <v>29</v>
      </c>
    </row>
    <row r="11" spans="1:7" x14ac:dyDescent="0.2">
      <c r="B11" s="14" t="s">
        <v>26</v>
      </c>
      <c r="C11" s="12" t="s">
        <v>30</v>
      </c>
      <c r="D11" s="12" t="s">
        <v>31</v>
      </c>
      <c r="F11" s="14" t="s">
        <v>29</v>
      </c>
    </row>
    <row r="12" spans="1:7" x14ac:dyDescent="0.2">
      <c r="B12" s="14" t="s">
        <v>26</v>
      </c>
      <c r="C12" s="12" t="s">
        <v>32</v>
      </c>
      <c r="D12" s="12" t="s">
        <v>33</v>
      </c>
      <c r="F12" s="14" t="s">
        <v>29</v>
      </c>
    </row>
    <row r="13" spans="1:7" x14ac:dyDescent="0.2">
      <c r="B13" s="14" t="s">
        <v>26</v>
      </c>
      <c r="C13" s="12" t="s">
        <v>34</v>
      </c>
      <c r="D13" s="12" t="s">
        <v>35</v>
      </c>
      <c r="F13" s="14" t="s">
        <v>29</v>
      </c>
    </row>
    <row r="14" spans="1:7" x14ac:dyDescent="0.2">
      <c r="B14" s="14" t="s">
        <v>26</v>
      </c>
      <c r="C14" s="12" t="s">
        <v>36</v>
      </c>
      <c r="D14" s="12" t="s">
        <v>37</v>
      </c>
      <c r="F14" s="14" t="s">
        <v>29</v>
      </c>
    </row>
    <row r="15" spans="1:7" x14ac:dyDescent="0.2">
      <c r="B15" s="14" t="s">
        <v>26</v>
      </c>
      <c r="C15" s="12" t="s">
        <v>38</v>
      </c>
      <c r="D15" s="12" t="s">
        <v>39</v>
      </c>
      <c r="F15" s="14" t="s">
        <v>29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2" width="12.140625" style="12" customWidth="1"/>
    <col min="3" max="8" width="9.140625" style="12"/>
    <col min="9" max="9" width="6.7109375" style="12" customWidth="1"/>
    <col min="10" max="16384" width="9.140625" style="12"/>
  </cols>
  <sheetData>
    <row r="1" spans="1:18" x14ac:dyDescent="0.2">
      <c r="A1" s="11" t="s">
        <v>10</v>
      </c>
    </row>
    <row r="3" spans="1:18" ht="17.25" customHeight="1" x14ac:dyDescent="0.2"/>
    <row r="7" spans="1:18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12" customWidth="1"/>
    <col min="2" max="2" width="12" style="12" customWidth="1"/>
    <col min="3" max="16384" width="9.140625" style="12"/>
  </cols>
  <sheetData>
    <row r="1" spans="1:9" x14ac:dyDescent="0.2">
      <c r="A1" s="11" t="s">
        <v>23</v>
      </c>
    </row>
    <row r="3" spans="1:9" ht="15.75" customHeight="1" x14ac:dyDescent="0.2"/>
    <row r="4" spans="1:9" ht="12.75" customHeight="1" x14ac:dyDescent="0.2"/>
    <row r="7" spans="1:9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21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12" customWidth="1"/>
    <col min="2" max="2" width="12" style="12" customWidth="1"/>
    <col min="3" max="3" width="9.140625" style="12"/>
    <col min="4" max="4" width="9.28515625" style="12" customWidth="1"/>
    <col min="5" max="8" width="9.140625" style="12"/>
    <col min="9" max="9" width="7.42578125" style="12" customWidth="1"/>
    <col min="10" max="16384" width="9.140625" style="12"/>
  </cols>
  <sheetData>
    <row r="1" spans="1:18" x14ac:dyDescent="0.2">
      <c r="A1" s="11" t="s">
        <v>108</v>
      </c>
    </row>
    <row r="3" spans="1:18" ht="15" customHeight="1" x14ac:dyDescent="0.2"/>
    <row r="7" spans="1:18" ht="22.5" customHeight="1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5" t="s">
        <v>22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12" customWidth="1"/>
    <col min="2" max="2" width="11.5703125" style="12" customWidth="1"/>
    <col min="3" max="3" width="11.85546875" style="12" customWidth="1"/>
    <col min="4" max="4" width="9.42578125" style="12" customWidth="1"/>
    <col min="5" max="5" width="9.28515625" style="12" customWidth="1"/>
    <col min="6" max="9" width="9.140625" style="12"/>
    <col min="10" max="10" width="7.140625" style="12" customWidth="1"/>
    <col min="11" max="16384" width="9.140625" style="12"/>
  </cols>
  <sheetData>
    <row r="1" spans="1:19" x14ac:dyDescent="0.2">
      <c r="A1" s="11" t="s">
        <v>11</v>
      </c>
    </row>
    <row r="3" spans="1:19" ht="18.75" customHeight="1" x14ac:dyDescent="0.2"/>
    <row r="7" spans="1:19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x14ac:dyDescent="0.2">
      <c r="A9" s="11" t="s">
        <v>113</v>
      </c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12" customWidth="1"/>
    <col min="2" max="2" width="10.7109375" style="12" customWidth="1"/>
    <col min="3" max="3" width="11.85546875" style="12" customWidth="1"/>
    <col min="4" max="4" width="9.42578125" style="12" customWidth="1"/>
    <col min="5" max="5" width="9.28515625" style="12" customWidth="1"/>
    <col min="6" max="16384" width="9.140625" style="12"/>
  </cols>
  <sheetData>
    <row r="1" spans="1:10" x14ac:dyDescent="0.2">
      <c r="A1" s="11" t="s">
        <v>12</v>
      </c>
    </row>
    <row r="3" spans="1:10" ht="15.75" customHeight="1" x14ac:dyDescent="0.2"/>
    <row r="7" spans="1:10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21</v>
      </c>
    </row>
    <row r="9" spans="1:10" x14ac:dyDescent="0.2">
      <c r="A9" s="11" t="s">
        <v>112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12" customWidth="1"/>
    <col min="2" max="2" width="9.140625" style="12"/>
    <col min="3" max="3" width="12.28515625" style="12" customWidth="1"/>
    <col min="4" max="9" width="9.140625" style="12"/>
    <col min="10" max="10" width="7.42578125" style="12" customWidth="1"/>
    <col min="11" max="16384" width="9.140625" style="12"/>
  </cols>
  <sheetData>
    <row r="1" spans="1:19" ht="13.5" customHeight="1" x14ac:dyDescent="0.2">
      <c r="A1" s="11" t="s">
        <v>109</v>
      </c>
    </row>
    <row r="3" spans="1:19" ht="20.25" customHeight="1" x14ac:dyDescent="0.2"/>
    <row r="7" spans="1:19" ht="23.25" customHeight="1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5" t="s">
        <v>22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ht="13.5" customHeight="1" x14ac:dyDescent="0.2">
      <c r="A9" s="11" t="s">
        <v>111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ANSv2-692-Home</vt:lpstr>
      <vt:lpstr>Index</vt:lpstr>
      <vt:lpstr>RES</vt:lpstr>
      <vt:lpstr>EB_Exist</vt:lpstr>
      <vt:lpstr>Commodities_BASE</vt:lpstr>
      <vt:lpstr>CommData_BASE</vt:lpstr>
      <vt:lpstr>Processes_BASE</vt:lpstr>
      <vt:lpstr>ProcData_FCR</vt:lpstr>
      <vt:lpstr>ProcData_FCR - PAMS</vt:lpstr>
      <vt:lpstr>NetZero work</vt:lpstr>
      <vt:lpstr>Production and Capacity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Mccall</cp:lastModifiedBy>
  <cp:lastPrinted>2005-06-23T04:07:43Z</cp:lastPrinted>
  <dcterms:created xsi:type="dcterms:W3CDTF">2005-05-01T12:39:10Z</dcterms:created>
  <dcterms:modified xsi:type="dcterms:W3CDTF">2023-02-28T11:16:22Z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